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ustomProperty1.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theme/themeOverride1.xml" ContentType="application/vnd.openxmlformats-officedocument.themeOverride+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charts/chart5.xml" ContentType="application/vnd.openxmlformats-officedocument.drawingml.chart+xml"/>
  <Override PartName="/xl/theme/themeOverride2.xml" ContentType="application/vnd.openxmlformats-officedocument.themeOverride+xml"/>
  <Override PartName="/xl/drawings/drawing7.xml" ContentType="application/vnd.openxmlformats-officedocument.drawing+xml"/>
  <Override PartName="/xl/charts/chart6.xml" ContentType="application/vnd.openxmlformats-officedocument.drawingml.chart+xml"/>
  <Override PartName="/xl/theme/themeOverride3.xml" ContentType="application/vnd.openxmlformats-officedocument.themeOverride+xml"/>
  <Override PartName="/xl/drawings/drawing8.xml" ContentType="application/vnd.openxmlformats-officedocument.drawing+xml"/>
  <Override PartName="/xl/charts/chart7.xml" ContentType="application/vnd.openxmlformats-officedocument.drawingml.chart+xml"/>
  <Override PartName="/xl/theme/themeOverride4.xml" ContentType="application/vnd.openxmlformats-officedocument.themeOverride+xml"/>
  <Override PartName="/xl/drawings/drawing9.xml" ContentType="application/vnd.openxmlformats-officedocument.drawing+xml"/>
  <Override PartName="/xl/charts/chart8.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xml"/>
  <Override PartName="/xl/charts/chart9.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xml"/>
  <Override PartName="/xl/charts/chart10.xml" ContentType="application/vnd.openxmlformats-officedocument.drawingml.chart+xml"/>
  <Override PartName="/xl/theme/themeOverride7.xml" ContentType="application/vnd.openxmlformats-officedocument.themeOverride+xml"/>
  <Override PartName="/xl/drawings/drawing12.xml" ContentType="application/vnd.openxmlformats-officedocument.drawing+xml"/>
  <Override PartName="/xl/charts/chart11.xml" ContentType="application/vnd.openxmlformats-officedocument.drawingml.chart+xml"/>
  <Override PartName="/xl/theme/themeOverride8.xml" ContentType="application/vnd.openxmlformats-officedocument.themeOverride+xml"/>
  <Override PartName="/xl/drawings/drawing13.xml" ContentType="application/vnd.openxmlformats-officedocument.drawing+xml"/>
  <Override PartName="/xl/charts/chart12.xml" ContentType="application/vnd.openxmlformats-officedocument.drawingml.chart+xml"/>
  <Override PartName="/xl/charts/style3.xml" ContentType="application/vnd.ms-office.chartstyle+xml"/>
  <Override PartName="/xl/charts/colors3.xml" ContentType="application/vnd.ms-office.chartcolorstyle+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charts/chart16.xml" ContentType="application/vnd.openxmlformats-officedocument.drawingml.chart+xml"/>
  <Override PartName="/xl/charts/style7.xml" ContentType="application/vnd.ms-office.chartstyle+xml"/>
  <Override PartName="/xl/charts/colors7.xml" ContentType="application/vnd.ms-office.chartcolorstyle+xml"/>
  <Override PartName="/xl/charts/chart17.xml" ContentType="application/vnd.openxmlformats-officedocument.drawingml.chart+xml"/>
  <Override PartName="/xl/charts/style8.xml" ContentType="application/vnd.ms-office.chartstyle+xml"/>
  <Override PartName="/xl/charts/colors8.xml" ContentType="application/vnd.ms-office.chartcolorstyle+xml"/>
  <Override PartName="/xl/charts/chart18.xml" ContentType="application/vnd.openxmlformats-officedocument.drawingml.chart+xml"/>
  <Override PartName="/xl/charts/style9.xml" ContentType="application/vnd.ms-office.chartstyle+xml"/>
  <Override PartName="/xl/charts/colors9.xml" ContentType="application/vnd.ms-office.chartcolorstyle+xml"/>
  <Override PartName="/xl/charts/chart19.xml" ContentType="application/vnd.openxmlformats-officedocument.drawingml.chart+xml"/>
  <Override PartName="/xl/charts/style10.xml" ContentType="application/vnd.ms-office.chartstyle+xml"/>
  <Override PartName="/xl/charts/colors10.xml" ContentType="application/vnd.ms-office.chartcolorstyle+xml"/>
  <Override PartName="/xl/charts/chart20.xml" ContentType="application/vnd.openxmlformats-officedocument.drawingml.chart+xml"/>
  <Override PartName="/xl/charts/style11.xml" ContentType="application/vnd.ms-office.chartstyle+xml"/>
  <Override PartName="/xl/charts/colors11.xml" ContentType="application/vnd.ms-office.chartcolorstyle+xml"/>
  <Override PartName="/xl/charts/chart21.xml" ContentType="application/vnd.openxmlformats-officedocument.drawingml.chart+xml"/>
  <Override PartName="/xl/charts/style12.xml" ContentType="application/vnd.ms-office.chartstyle+xml"/>
  <Override PartName="/xl/charts/colors12.xml" ContentType="application/vnd.ms-office.chartcolorstyle+xml"/>
  <Override PartName="/xl/charts/chart22.xml" ContentType="application/vnd.openxmlformats-officedocument.drawingml.chart+xml"/>
  <Override PartName="/xl/charts/style13.xml" ContentType="application/vnd.ms-office.chartstyle+xml"/>
  <Override PartName="/xl/charts/colors13.xml" ContentType="application/vnd.ms-office.chartcolorstyle+xml"/>
  <Override PartName="/xl/charts/chart23.xml" ContentType="application/vnd.openxmlformats-officedocument.drawingml.chart+xml"/>
  <Override PartName="/xl/charts/style14.xml" ContentType="application/vnd.ms-office.chartstyle+xml"/>
  <Override PartName="/xl/charts/colors14.xml" ContentType="application/vnd.ms-office.chartcolorstyle+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style18.xml" ContentType="application/vnd.ms-office.chartstyle+xml"/>
  <Override PartName="/xl/charts/colors18.xml" ContentType="application/vnd.ms-office.chartcolorstyle+xml"/>
  <Override PartName="/xl/charts/chart28.xml" ContentType="application/vnd.openxmlformats-officedocument.drawingml.chart+xml"/>
  <Override PartName="/xl/charts/style19.xml" ContentType="application/vnd.ms-office.chartstyle+xml"/>
  <Override PartName="/xl/charts/colors19.xml" ContentType="application/vnd.ms-office.chartcolorstyle+xml"/>
  <Override PartName="/xl/charts/chart29.xml" ContentType="application/vnd.openxmlformats-officedocument.drawingml.chart+xml"/>
  <Override PartName="/xl/charts/style20.xml" ContentType="application/vnd.ms-office.chartstyle+xml"/>
  <Override PartName="/xl/charts/colors20.xml" ContentType="application/vnd.ms-office.chartcolorstyle+xml"/>
  <Override PartName="/xl/charts/chart30.xml" ContentType="application/vnd.openxmlformats-officedocument.drawingml.chart+xml"/>
  <Override PartName="/xl/charts/style21.xml" ContentType="application/vnd.ms-office.chartstyle+xml"/>
  <Override PartName="/xl/charts/colors21.xml" ContentType="application/vnd.ms-office.chartcolorstyle+xml"/>
  <Override PartName="/xl/charts/chart31.xml" ContentType="application/vnd.openxmlformats-officedocument.drawingml.chart+xml"/>
  <Override PartName="/xl/charts/style22.xml" ContentType="application/vnd.ms-office.chartstyle+xml"/>
  <Override PartName="/xl/charts/colors22.xml" ContentType="application/vnd.ms-office.chartcolorstyle+xml"/>
  <Override PartName="/xl/charts/chart3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4.xml" ContentType="application/vnd.openxmlformats-officedocument.drawing+xml"/>
  <Override PartName="/xl/charts/chart33.xml" ContentType="application/vnd.openxmlformats-officedocument.drawingml.chart+xml"/>
  <Override PartName="/xl/theme/themeOverride9.xml" ContentType="application/vnd.openxmlformats-officedocument.themeOverride+xml"/>
  <Override PartName="/xl/drawings/drawing15.xml" ContentType="application/vnd.openxmlformats-officedocument.drawing+xml"/>
  <Override PartName="/xl/charts/chart34.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35.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36.xml" ContentType="application/vnd.openxmlformats-officedocument.drawingml.chart+xml"/>
  <Override PartName="/xl/theme/themeOverride12.xml" ContentType="application/vnd.openxmlformats-officedocument.themeOverride+xml"/>
  <Override PartName="/xl/drawings/drawing18.xml" ContentType="application/vnd.openxmlformats-officedocument.drawing+xml"/>
  <Override PartName="/xl/charts/chart37.xml" ContentType="application/vnd.openxmlformats-officedocument.drawingml.chart+xml"/>
  <Override PartName="/xl/theme/themeOverride13.xml" ContentType="application/vnd.openxmlformats-officedocument.themeOverride+xml"/>
  <Override PartName="/xl/drawings/drawing19.xml" ContentType="application/vnd.openxmlformats-officedocument.drawing+xml"/>
  <Override PartName="/xl/charts/chart38.xml" ContentType="application/vnd.openxmlformats-officedocument.drawingml.chart+xml"/>
  <Override PartName="/xl/theme/themeOverride14.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T:\Clients\Hudbay\Projects\2025\2025-06 EC Benchmarking\01. Analysis\"/>
    </mc:Choice>
  </mc:AlternateContent>
  <xr:revisionPtr revIDLastSave="0" documentId="13_ncr:1_{48EDEA53-159E-4E5D-B72E-BE641A7472D0}" xr6:coauthVersionLast="47" xr6:coauthVersionMax="47" xr10:uidLastSave="{00000000-0000-0000-0000-000000000000}"/>
  <bookViews>
    <workbookView xWindow="-57720" yWindow="0" windowWidth="29040" windowHeight="15720" tabRatio="826" activeTab="17" xr2:uid="{12BA13AB-D9A6-4FB6-98EC-1A5A1FA7B4F5}"/>
  </bookViews>
  <sheets>
    <sheet name="Instructions" sheetId="425" r:id="rId1"/>
    <sheet name="Import 2023 Data" sheetId="693" r:id="rId2"/>
    <sheet name="Pension Analysis" sheetId="900" r:id="rId3"/>
    <sheet name="Target Comp" sheetId="902" r:id="rId4"/>
    <sheet name="Raw Data" sheetId="2" r:id="rId5"/>
    <sheet name="Master - Summary" sheetId="4" state="hidden" r:id="rId6"/>
    <sheet name="Master - Charts" sheetId="51" state="hidden" r:id="rId7"/>
    <sheet name="TC Chart" sheetId="881" r:id="rId8"/>
    <sheet name="CEO" sheetId="346" r:id="rId9"/>
    <sheet name="CFO" sheetId="701" r:id="rId10"/>
    <sheet name="NEO3" sheetId="702" r:id="rId11"/>
    <sheet name="NEO4" sheetId="703" r:id="rId12"/>
    <sheet name="NEO5" sheetId="704" r:id="rId13"/>
    <sheet name="Legal" sheetId="706" r:id="rId14"/>
    <sheet name="COO" sheetId="705" r:id="rId15"/>
    <sheet name="Tech" sheetId="707" r:id="rId16"/>
    <sheet name="_CIQHiddenCacheSheet" sheetId="920" state="veryHidden" r:id="rId17"/>
    <sheet name="Region" sheetId="708" r:id="rId18"/>
    <sheet name="CEO - YoY" sheetId="715" r:id="rId19"/>
    <sheet name="CFO - YoY" sheetId="729" r:id="rId20"/>
    <sheet name="COO - YoY" sheetId="730" r:id="rId21"/>
    <sheet name="Legal - YoY" sheetId="731" r:id="rId22"/>
    <sheet name="SVP US" sheetId="840" r:id="rId23"/>
    <sheet name="SVP-Explo." sheetId="778" r:id="rId24"/>
    <sheet name="CIQ_LinkingNames" sheetId="740" state="hidden" r:id="rId25"/>
    <sheet name="SVP Canada" sheetId="786" r:id="rId26"/>
    <sheet name="Cash vs Equity" sheetId="739" r:id="rId27"/>
    <sheet name="NEO5 - YoY" sheetId="732" r:id="rId28"/>
    <sheet name="CEO - Charts" sheetId="351" r:id="rId29"/>
    <sheet name="CFO - Charts" sheetId="411" r:id="rId30"/>
    <sheet name="NEO1 - Charts" sheetId="414" r:id="rId31"/>
    <sheet name="NEO3 - Charts" sheetId="517" r:id="rId32"/>
    <sheet name="NEO2 - Charts" sheetId="516" r:id="rId33"/>
    <sheet name="Footnotes" sheetId="474" r:id="rId34"/>
    <sheet name="Peer Group" sheetId="475" r:id="rId35"/>
    <sheet name="Sheet2" sheetId="756" r:id="rId36"/>
    <sheet name="Master - LTI Review" sheetId="52" state="hidden" r:id="rId37"/>
    <sheet name="Tab-Sort" sheetId="74" state="hidden" r:id="rId38"/>
  </sheets>
  <externalReferences>
    <externalReference r:id="rId39"/>
    <externalReference r:id="rId40"/>
    <externalReference r:id="rId41"/>
    <externalReference r:id="rId42"/>
    <externalReference r:id="rId43"/>
  </externalReferences>
  <definedNames>
    <definedName name="_asda" hidden="1">"2e0383b1-b143-44be-8760-5df9344b0314"</definedName>
    <definedName name="_xlnm._FilterDatabase" localSheetId="8" hidden="1">CEO!$C$1:$W$48</definedName>
    <definedName name="_xlnm._FilterDatabase" localSheetId="9" hidden="1">CFO!$C$1:$W$48</definedName>
    <definedName name="_xlnm._FilterDatabase" localSheetId="14" hidden="1">COO!$C$1:$W$47</definedName>
    <definedName name="_xlnm._FilterDatabase" localSheetId="1" hidden="1">'Import 2023 Data'!$C$3:$I$113</definedName>
    <definedName name="_xlnm._FilterDatabase" localSheetId="13" hidden="1">Legal!$C$1:$W$36</definedName>
    <definedName name="_xlnm._FilterDatabase" localSheetId="5" hidden="1">'Master - Summary'!$C$1:$V$44</definedName>
    <definedName name="_xlnm._FilterDatabase" localSheetId="10" hidden="1">'NEO3'!$C$1:$W$48</definedName>
    <definedName name="_xlnm._FilterDatabase" localSheetId="11" hidden="1">'NEO4'!$C$1:$W$48</definedName>
    <definedName name="_xlnm._FilterDatabase" localSheetId="12" hidden="1">'NEO5'!$C$1:$W$54</definedName>
    <definedName name="_xlnm._FilterDatabase" localSheetId="34" hidden="1">'Peer Group'!$C$4:$H$5</definedName>
    <definedName name="_xlnm._FilterDatabase" localSheetId="17" hidden="1">Region!$C$1:$W$36</definedName>
    <definedName name="_xlnm._FilterDatabase" localSheetId="15" hidden="1">Tech!$C$1:$W$47</definedName>
    <definedName name="_Hlk3298152" localSheetId="0">Instructions!$B$32</definedName>
    <definedName name="_Order1" hidden="1">255</definedName>
    <definedName name="_Order2" hidden="1">0</definedName>
    <definedName name="CFO" localSheetId="6">[1]Variables!$E$10</definedName>
    <definedName name="CFO" localSheetId="36">[1]Variables!$E$10</definedName>
    <definedName name="CIQANR_081a3e368f9b417c8ff4e09aa708c00b" hidden="1">CEO!$C$6:$AA$40</definedName>
    <definedName name="CIQANR_0b4f34ab9e0843cda50ab80fa02a4cde" localSheetId="32" hidden="1">#REF!</definedName>
    <definedName name="CIQANR_0b4f34ab9e0843cda50ab80fa02a4cde" localSheetId="31" hidden="1">#REF!</definedName>
    <definedName name="CIQANR_0b4f34ab9e0843cda50ab80fa02a4cde" localSheetId="34" hidden="1">#REF!</definedName>
    <definedName name="CIQANR_0b4f34ab9e0843cda50ab80fa02a4cde" hidden="1">#REF!</definedName>
    <definedName name="CIQANR_1e1dcf74151944c4b47b17216f152940" localSheetId="32" hidden="1">#REF!</definedName>
    <definedName name="CIQANR_1e1dcf74151944c4b47b17216f152940" localSheetId="31" hidden="1">#REF!</definedName>
    <definedName name="CIQANR_1e1dcf74151944c4b47b17216f152940" localSheetId="34" hidden="1">#REF!</definedName>
    <definedName name="CIQANR_1e1dcf74151944c4b47b17216f152940" hidden="1">#REF!</definedName>
    <definedName name="CIQANR_2d6de563ff32482484ad4eccdb652f99" localSheetId="32" hidden="1">#REF!</definedName>
    <definedName name="CIQANR_2d6de563ff32482484ad4eccdb652f99" localSheetId="31" hidden="1">#REF!</definedName>
    <definedName name="CIQANR_2d6de563ff32482484ad4eccdb652f99" localSheetId="34" hidden="1">#REF!</definedName>
    <definedName name="CIQANR_2d6de563ff32482484ad4eccdb652f99" hidden="1">#REF!</definedName>
    <definedName name="CIQANR_33b277f9efef412a9e79a7725ba81ba0" localSheetId="34" hidden="1">'Peer Group'!$C$3:$H$28</definedName>
    <definedName name="CIQANR_43210c266ffd4ea79648618234c0a936" localSheetId="34" hidden="1">'Peer Group'!$C$3:$H$27</definedName>
    <definedName name="CIQANR_531351b3872847c89f80f04c8840f981" localSheetId="32" hidden="1">#REF!</definedName>
    <definedName name="CIQANR_531351b3872847c89f80f04c8840f981" localSheetId="31" hidden="1">#REF!</definedName>
    <definedName name="CIQANR_531351b3872847c89f80f04c8840f981" hidden="1">#REF!</definedName>
    <definedName name="CIQANR_90fe3f2cb30d425ea19a4a869bd7cf11" localSheetId="32" hidden="1">#REF!</definedName>
    <definedName name="CIQANR_90fe3f2cb30d425ea19a4a869bd7cf11" localSheetId="31" hidden="1">#REF!</definedName>
    <definedName name="CIQANR_90fe3f2cb30d425ea19a4a869bd7cf11" hidden="1">#REF!</definedName>
    <definedName name="CIQANR_9b7364f6f35846baba7337c8fd8412b7" localSheetId="34" hidden="1">'Peer Group'!$C$3:$H$28</definedName>
    <definedName name="CIQANR_9c7634c39731443f994e42ffd2a0ebd2" hidden="1">'Target Comp'!$B$6:$K$13</definedName>
    <definedName name="CIQANR_9d65c1c077454736b01512d6739b1647" hidden="1">COO!$C$6:$AA$39</definedName>
    <definedName name="CIQANR_a1659ae407434094823a49e173dbcb9c" hidden="1">'NEO4'!$C$6:$AA$40</definedName>
    <definedName name="CIQANR_ac8bc0d90e134daeb0555f5f9c954483" localSheetId="32" hidden="1">#REF!</definedName>
    <definedName name="CIQANR_ac8bc0d90e134daeb0555f5f9c954483" localSheetId="31" hidden="1">#REF!</definedName>
    <definedName name="CIQANR_ac8bc0d90e134daeb0555f5f9c954483" localSheetId="34" hidden="1">#REF!</definedName>
    <definedName name="CIQANR_ac8bc0d90e134daeb0555f5f9c954483" hidden="1">#REF!</definedName>
    <definedName name="CIQANR_bbcdf40974154674afdd61ceb0cae10b" localSheetId="32" hidden="1">#REF!</definedName>
    <definedName name="CIQANR_bbcdf40974154674afdd61ceb0cae10b" localSheetId="31" hidden="1">#REF!</definedName>
    <definedName name="CIQANR_bbcdf40974154674afdd61ceb0cae10b" localSheetId="34" hidden="1">#REF!</definedName>
    <definedName name="CIQANR_bbcdf40974154674afdd61ceb0cae10b" hidden="1">#REF!</definedName>
    <definedName name="CIQANR_d0c5fc5b84c44675a9274e121233bd2d" hidden="1">CFO!$C$6:$AA$40</definedName>
    <definedName name="CIQANR_d96f41dda1764f8cb3274351e01b690e" hidden="1">Region!$C$6:$W$28</definedName>
    <definedName name="CIQANR_dabfefba8de946338bdcf85bdfeead94" hidden="1">Tech!$C$6:$AN$38</definedName>
    <definedName name="CIQANR_dbd5665a8b704b3ab5042ce98739c226" hidden="1">Legal!$C$6:$AA$28</definedName>
    <definedName name="CIQANR_e0a8f13b52f9480a874aa5765dc88c56" hidden="1">'NEO5'!$C$6:$AA$44</definedName>
    <definedName name="CIQANR_eea84e77db684f4580a8825b75daf9f0" hidden="1">'NEO5'!$C$6:$AM$44</definedName>
    <definedName name="CIQANR_f0736372724d46219734bf846b8205d5" localSheetId="32" hidden="1">#REF!</definedName>
    <definedName name="CIQANR_f0736372724d46219734bf846b8205d5" localSheetId="31" hidden="1">#REF!</definedName>
    <definedName name="CIQANR_f0736372724d46219734bf846b8205d5" hidden="1">#REF!</definedName>
    <definedName name="CIQANR_f6654dc9453a44898392ee4c3bfdb5e2" hidden="1">Tech!$C$6:$AM$38</definedName>
    <definedName name="CIQANR_fe4269565cac4142aa726f19f9c264f9" localSheetId="32" hidden="1">#REF!</definedName>
    <definedName name="CIQANR_fe4269565cac4142aa726f19f9c264f9" localSheetId="31" hidden="1">#REF!</definedName>
    <definedName name="CIQANR_fe4269565cac4142aa726f19f9c264f9" localSheetId="34" hidden="1">#REF!</definedName>
    <definedName name="CIQANR_fe4269565cac4142aa726f19f9c264f9" hidden="1">#REF!</definedName>
    <definedName name="CIQWBGuid" localSheetId="5" hidden="1">"d22c400b-f230-4092-aa19-2bdf3392b229"</definedName>
    <definedName name="CIQWBGuid" localSheetId="34" hidden="1">"d05aaeac-933a-467c-85db-655834f39197"</definedName>
    <definedName name="CIQWBGuid" hidden="1">"6f83a367-95e6-456c-ad5c-13944adfd697"</definedName>
    <definedName name="CIQWBInfo" hidden="1">"{ ""CIQVersion"":""9.51.3510.3078"" }"</definedName>
    <definedName name="Client_Ticker" localSheetId="6">[1]Variables!$B$5</definedName>
    <definedName name="Client_Ticker" localSheetId="36">[1]Variables!$B$5</definedName>
    <definedName name="Component">'Raw Data'!$B$31:$AY$31</definedName>
    <definedName name="Currency_CAD" localSheetId="6">[1]Variables!$B$3</definedName>
    <definedName name="Currency_CAD" localSheetId="36">[1]Variables!$B$3</definedName>
    <definedName name="fff" localSheetId="32" hidden="1">#REF!</definedName>
    <definedName name="fff" localSheetId="31" hidden="1">#REF!</definedName>
    <definedName name="fff" localSheetId="34" hidden="1">#REF!</definedName>
    <definedName name="fff" hidden="1">#REF!</definedName>
    <definedName name="FX_2011" localSheetId="6">[1]Variables!$H$4</definedName>
    <definedName name="FX_2011" localSheetId="36">[1]Variables!$H$4</definedName>
    <definedName name="FX_2012" localSheetId="6">[1]Variables!$H$5</definedName>
    <definedName name="FX_2012" localSheetId="36">[1]Variables!$H$5</definedName>
    <definedName name="FX_2013" localSheetId="6">[1]Variables!$H$6</definedName>
    <definedName name="FX_2013" localSheetId="36">[1]Variables!$H$6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SH_DIVIDENDS_NET_INCOME_FDIC" hidden="1">"c6738"</definedName>
    <definedName name="IQ_CASH_IN_PROCESS_FDIC" hidden="1">"c6386"</definedName>
    <definedName name="IQ_CCE_FDIC" hidden="1">"c6296"</definedName>
    <definedName name="IQ_CH">110000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Y">10000</definedName>
    <definedName name="IQ_DAILY">500000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ENSE_CODE_" hidden="1">"019802400"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REE_OPERATING_CASH_FLOW_DEBT_CSD" hidden="1">"c27718"</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"10/03/2024 16:18:08"</definedName>
    <definedName name="IQ_NAV_ACT_OR_EST" hidden="1">"c2225"</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PENED55" hidden="1">1</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D_DATE" hidden="1">"c28809"</definedName>
    <definedName name="IQ_PD_SCORE" hidden="1">"c28808"</definedName>
    <definedName name="IQ_PD_Z_SCORE" hidden="1">"c28810"</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1</definedName>
    <definedName name="IQB_BOOKMARK_LOCATION_0" hidden="1">'TC Chart'!$C$3</definedName>
    <definedName name="IQR1YearDailyB3" localSheetId="32" hidden="1">#REF!</definedName>
    <definedName name="IQR1YearDailyB3" localSheetId="31" hidden="1">#REF!</definedName>
    <definedName name="IQR1YearDailyB3" localSheetId="34" hidden="1">#REF!</definedName>
    <definedName name="IQR1YearDailyB3" hidden="1">#REF!</definedName>
    <definedName name="IQR3YearDailyB3" localSheetId="32" hidden="1">#REF!</definedName>
    <definedName name="IQR3YearDailyB3" localSheetId="31" hidden="1">#REF!</definedName>
    <definedName name="IQR3YearDailyB3" localSheetId="34" hidden="1">#REF!</definedName>
    <definedName name="IQR3YearDailyB3" hidden="1">#REF!</definedName>
    <definedName name="IQRA4" hidden="1">"$A$5:$A$13"</definedName>
    <definedName name="IQRAA4" hidden="1">"$AA$5:$AA$6"</definedName>
    <definedName name="IQRAB4" hidden="1">"$AB$5"</definedName>
    <definedName name="IQRAC4" hidden="1">"$AC$5"</definedName>
    <definedName name="IQRAD4" hidden="1">"$AD$5"</definedName>
    <definedName name="IQRAE4" hidden="1">"$AE$5"</definedName>
    <definedName name="IQRAF4" hidden="1">"$AF$5"</definedName>
    <definedName name="IQRAG4" hidden="1">"$AG$5"</definedName>
    <definedName name="IQRAH4" hidden="1">"$AH$5:$AH$18"</definedName>
    <definedName name="IQRAI4" hidden="1">"$AI$5:$AI$18"</definedName>
    <definedName name="IQRB2" hidden="1">"$B$3:$B$1260"</definedName>
    <definedName name="IQRB3" hidden="1">"$B$4:$B$757"</definedName>
    <definedName name="IQRB4" hidden="1">"$B$5:$B$13"</definedName>
    <definedName name="IQRC4" hidden="1">"$C$5:$C$25"</definedName>
    <definedName name="IQRC5" hidden="1">"$C$6:$C$25"</definedName>
    <definedName name="IQRC6" hidden="1">"$C$7:$C$26"</definedName>
    <definedName name="IQRcoppervs.hudbayA3" hidden="1">'[2]copper vs. hudbay'!$A$4:$A$121</definedName>
    <definedName name="IQRD37" hidden="1">"$D$38"</definedName>
    <definedName name="IQRD4" hidden="1">"$D$5:$D$8"</definedName>
    <definedName name="IQRD5" hidden="1">"$D$6:$D$26"</definedName>
    <definedName name="IQRE4" hidden="1">"$E$5:$E$8"</definedName>
    <definedName name="IQRE5" hidden="1">"$E$6:$E$25"</definedName>
    <definedName name="IQRE6" hidden="1">"$E$7:$E$26"</definedName>
    <definedName name="IQREBITDAB2" localSheetId="32" hidden="1">#REF!</definedName>
    <definedName name="IQREBITDAB2" localSheetId="31" hidden="1">#REF!</definedName>
    <definedName name="IQREBITDAB2" localSheetId="34" hidden="1">#REF!</definedName>
    <definedName name="IQREBITDAB2" hidden="1">#REF!</definedName>
    <definedName name="IQRF4" hidden="1">"$F$5:$F$13"</definedName>
    <definedName name="IQRF5" hidden="1">"$F$6:$F$25"</definedName>
    <definedName name="IQRG4" hidden="1">"$G$5:$G$9"</definedName>
    <definedName name="IQRG5" hidden="1">"$G$6:$G$25"</definedName>
    <definedName name="IQRG6" hidden="1">"$G$7:$G$26"</definedName>
    <definedName name="IQRH4" hidden="1">"$H$5"</definedName>
    <definedName name="IQRH5" hidden="1">"$H$6:$H$14"</definedName>
    <definedName name="IQRI4" hidden="1">"$I$5"</definedName>
    <definedName name="IQRI5" hidden="1">"$I$6:$I$25"</definedName>
    <definedName name="IQRI6" hidden="1">"$I$7:$I$26"</definedName>
    <definedName name="IQRJ4" hidden="1">"$J$5:$J$17"</definedName>
    <definedName name="IQRK4" hidden="1">"$K$5:$K$17"</definedName>
    <definedName name="IQRK5" hidden="1">"$K$6:$K$25"</definedName>
    <definedName name="IQRK6" hidden="1">"$K$7:$K$26"</definedName>
    <definedName name="IQRL4" hidden="1">"$L$5:$L$15"</definedName>
    <definedName name="IQRM4" hidden="1">"$M$5:$M$15"</definedName>
    <definedName name="IQRN4" hidden="1">"$N$5:$N$7"</definedName>
    <definedName name="IQRO4" hidden="1">"$O$5:$O$7"</definedName>
    <definedName name="IQRP4" hidden="1">"$P$5:$P$10"</definedName>
    <definedName name="IQRQ4" hidden="1">"$Q$5:$Q$10"</definedName>
    <definedName name="IQRR4" hidden="1">"$R$5:$R$9"</definedName>
    <definedName name="IQRS4" hidden="1">"$S$5:$S$9"</definedName>
    <definedName name="IQRSheet1C4" localSheetId="32" hidden="1">#REF!</definedName>
    <definedName name="IQRSheet1C4" localSheetId="31" hidden="1">#REF!</definedName>
    <definedName name="IQRSheet1C4" localSheetId="34" hidden="1">#REF!</definedName>
    <definedName name="IQRSheet1C4" hidden="1">#REF!</definedName>
    <definedName name="IQRSheet1C5" localSheetId="32" hidden="1">#REF!</definedName>
    <definedName name="IQRSheet1C5" localSheetId="31" hidden="1">#REF!</definedName>
    <definedName name="IQRSheet1C5" localSheetId="34" hidden="1">#REF!</definedName>
    <definedName name="IQRSheet1C5" hidden="1">#REF!</definedName>
    <definedName name="IQRSheet1C6" localSheetId="32" hidden="1">#REF!</definedName>
    <definedName name="IQRSheet1C6" localSheetId="31" hidden="1">#REF!</definedName>
    <definedName name="IQRSheet1C6" localSheetId="34" hidden="1">#REF!</definedName>
    <definedName name="IQRSheet1C6" hidden="1">#REF!</definedName>
    <definedName name="IQRSheet2B2" localSheetId="32" hidden="1">#REF!</definedName>
    <definedName name="IQRSheet2B2" localSheetId="31" hidden="1">#REF!</definedName>
    <definedName name="IQRSheet2B2" localSheetId="34" hidden="1">#REF!</definedName>
    <definedName name="IQRSheet2B2" hidden="1">#REF!</definedName>
    <definedName name="IQRSheet2C2" localSheetId="32" hidden="1">#REF!</definedName>
    <definedName name="IQRSheet2C2" localSheetId="31" hidden="1">#REF!</definedName>
    <definedName name="IQRSheet2C2" localSheetId="34" hidden="1">#REF!</definedName>
    <definedName name="IQRSheet2C2" hidden="1">#REF!</definedName>
    <definedName name="IQRSheet2D2" localSheetId="32" hidden="1">#REF!</definedName>
    <definedName name="IQRSheet2D2" localSheetId="31" hidden="1">#REF!</definedName>
    <definedName name="IQRSheet2D2" localSheetId="34" hidden="1">#REF!</definedName>
    <definedName name="IQRSheet2D2" hidden="1">#REF!</definedName>
    <definedName name="IQRSheet2D3" localSheetId="32" hidden="1">#REF!</definedName>
    <definedName name="IQRSheet2D3" localSheetId="31" hidden="1">#REF!</definedName>
    <definedName name="IQRSheet2D3" localSheetId="34" hidden="1">#REF!</definedName>
    <definedName name="IQRSheet2D3" hidden="1">#REF!</definedName>
    <definedName name="IQRSheet2E2" localSheetId="32" hidden="1">#REF!</definedName>
    <definedName name="IQRSheet2E2" localSheetId="31" hidden="1">#REF!</definedName>
    <definedName name="IQRSheet2E2" localSheetId="34" hidden="1">#REF!</definedName>
    <definedName name="IQRSheet2E2" hidden="1">#REF!</definedName>
    <definedName name="IQRSheet2F2" localSheetId="32" hidden="1">#REF!</definedName>
    <definedName name="IQRSheet2F2" localSheetId="31" hidden="1">#REF!</definedName>
    <definedName name="IQRSheet2F2" localSheetId="34" hidden="1">#REF!</definedName>
    <definedName name="IQRSheet2F2" hidden="1">#REF!</definedName>
    <definedName name="IQRSheet2G2" localSheetId="32" hidden="1">#REF!</definedName>
    <definedName name="IQRSheet2G2" localSheetId="31" hidden="1">#REF!</definedName>
    <definedName name="IQRSheet2G2" localSheetId="34" hidden="1">#REF!</definedName>
    <definedName name="IQRSheet2G2" hidden="1">#REF!</definedName>
    <definedName name="IQRSheet2H2" localSheetId="32" hidden="1">#REF!</definedName>
    <definedName name="IQRSheet2H2" localSheetId="31" hidden="1">#REF!</definedName>
    <definedName name="IQRSheet2H2" localSheetId="34" hidden="1">#REF!</definedName>
    <definedName name="IQRSheet2H2" hidden="1">#REF!</definedName>
    <definedName name="IQRSheet2I2" localSheetId="32" hidden="1">#REF!</definedName>
    <definedName name="IQRSheet2I2" localSheetId="31" hidden="1">#REF!</definedName>
    <definedName name="IQRSheet2I2" localSheetId="34" hidden="1">#REF!</definedName>
    <definedName name="IQRSheet2I2" hidden="1">#REF!</definedName>
    <definedName name="IQRSheet2J2" localSheetId="32" hidden="1">#REF!</definedName>
    <definedName name="IQRSheet2J2" localSheetId="31" hidden="1">#REF!</definedName>
    <definedName name="IQRSheet2J2" localSheetId="34" hidden="1">#REF!</definedName>
    <definedName name="IQRSheet2J2" hidden="1">#REF!</definedName>
    <definedName name="IQRSheet2K2" localSheetId="32" hidden="1">#REF!</definedName>
    <definedName name="IQRSheet2K2" localSheetId="31" hidden="1">#REF!</definedName>
    <definedName name="IQRSheet2K2" localSheetId="34" hidden="1">#REF!</definedName>
    <definedName name="IQRSheet2K2" hidden="1">#REF!</definedName>
    <definedName name="IQRSheet2L2" localSheetId="32" hidden="1">#REF!</definedName>
    <definedName name="IQRSheet2L2" localSheetId="31" hidden="1">#REF!</definedName>
    <definedName name="IQRSheet2L2" localSheetId="34" hidden="1">#REF!</definedName>
    <definedName name="IQRSheet2L2" hidden="1">#REF!</definedName>
    <definedName name="IQRSheet2M2" localSheetId="32" hidden="1">#REF!</definedName>
    <definedName name="IQRSheet2M2" localSheetId="31" hidden="1">#REF!</definedName>
    <definedName name="IQRSheet2M2" localSheetId="34" hidden="1">#REF!</definedName>
    <definedName name="IQRSheet2M2" hidden="1">#REF!</definedName>
    <definedName name="IQRSheet2N2" localSheetId="32" hidden="1">#REF!</definedName>
    <definedName name="IQRSheet2N2" localSheetId="31" hidden="1">#REF!</definedName>
    <definedName name="IQRSheet2N2" localSheetId="34" hidden="1">#REF!</definedName>
    <definedName name="IQRSheet2N2" hidden="1">#REF!</definedName>
    <definedName name="IQRSheet2O2" localSheetId="32" hidden="1">#REF!</definedName>
    <definedName name="IQRSheet2O2" localSheetId="31" hidden="1">#REF!</definedName>
    <definedName name="IQRSheet2O2" localSheetId="34" hidden="1">#REF!</definedName>
    <definedName name="IQRSheet2O2" hidden="1">#REF!</definedName>
    <definedName name="IQRSheet2P2" localSheetId="32" hidden="1">#REF!</definedName>
    <definedName name="IQRSheet2P2" localSheetId="31" hidden="1">#REF!</definedName>
    <definedName name="IQRSheet2P2" localSheetId="34" hidden="1">#REF!</definedName>
    <definedName name="IQRSheet2P2" hidden="1">#REF!</definedName>
    <definedName name="IQRSheet2Q2" localSheetId="32" hidden="1">#REF!</definedName>
    <definedName name="IQRSheet2Q2" localSheetId="31" hidden="1">#REF!</definedName>
    <definedName name="IQRSheet2Q2" localSheetId="34" hidden="1">#REF!</definedName>
    <definedName name="IQRSheet2Q2" hidden="1">#REF!</definedName>
    <definedName name="IQRSheet2R2" localSheetId="32" hidden="1">#REF!</definedName>
    <definedName name="IQRSheet2R2" localSheetId="31" hidden="1">#REF!</definedName>
    <definedName name="IQRSheet2R2" localSheetId="34" hidden="1">#REF!</definedName>
    <definedName name="IQRSheet2R2" hidden="1">#REF!</definedName>
    <definedName name="IQRSheet2S2" localSheetId="32" hidden="1">#REF!</definedName>
    <definedName name="IQRSheet2S2" localSheetId="31" hidden="1">#REF!</definedName>
    <definedName name="IQRSheet2S2" localSheetId="34" hidden="1">#REF!</definedName>
    <definedName name="IQRSheet2S2" hidden="1">#REF!</definedName>
    <definedName name="IQRSheet2T2" localSheetId="32" hidden="1">#REF!</definedName>
    <definedName name="IQRSheet2T2" localSheetId="31" hidden="1">#REF!</definedName>
    <definedName name="IQRSheet2T2" localSheetId="34" hidden="1">#REF!</definedName>
    <definedName name="IQRSheet2T2" hidden="1">#REF!</definedName>
    <definedName name="IQRSheet2U2" localSheetId="32" hidden="1">#REF!</definedName>
    <definedName name="IQRSheet2U2" localSheetId="31" hidden="1">#REF!</definedName>
    <definedName name="IQRSheet2U2" localSheetId="34" hidden="1">#REF!</definedName>
    <definedName name="IQRSheet2U2" hidden="1">#REF!</definedName>
    <definedName name="IQRSheet2V2" localSheetId="32" hidden="1">#REF!</definedName>
    <definedName name="IQRSheet2V2" localSheetId="31" hidden="1">#REF!</definedName>
    <definedName name="IQRSheet2V2" localSheetId="34" hidden="1">#REF!</definedName>
    <definedName name="IQRSheet2V2" hidden="1">#REF!</definedName>
    <definedName name="IQRSheet2W2" localSheetId="32" hidden="1">#REF!</definedName>
    <definedName name="IQRSheet2W2" localSheetId="31" hidden="1">#REF!</definedName>
    <definedName name="IQRSheet2W2" localSheetId="34" hidden="1">#REF!</definedName>
    <definedName name="IQRSheet2W2" hidden="1">#REF!</definedName>
    <definedName name="IQRT4" hidden="1">"$T$5"</definedName>
    <definedName name="IQRTrailing5yrTSRA4" hidden="1">'[3]Trailing 5 yr TSR'!$A$5:$A$265</definedName>
    <definedName name="IQRTSX602B2" localSheetId="32" hidden="1">#REF!</definedName>
    <definedName name="IQRTSX602B2" localSheetId="31" hidden="1">#REF!</definedName>
    <definedName name="IQRTSX602B2" localSheetId="34" hidden="1">#REF!</definedName>
    <definedName name="IQRTSX602B2" hidden="1">#REF!</definedName>
    <definedName name="IQRTSX60A1" localSheetId="32" hidden="1">#REF!</definedName>
    <definedName name="IQRTSX60A1" localSheetId="31" hidden="1">#REF!</definedName>
    <definedName name="IQRTSX60A1" localSheetId="34" hidden="1">#REF!</definedName>
    <definedName name="IQRTSX60A1" hidden="1">#REF!</definedName>
    <definedName name="IQRTSX60E3" localSheetId="32" hidden="1">#REF!</definedName>
    <definedName name="IQRTSX60E3" localSheetId="31" hidden="1">#REF!</definedName>
    <definedName name="IQRTSX60E3" localSheetId="34" hidden="1">#REF!</definedName>
    <definedName name="IQRTSX60E3" hidden="1">#REF!</definedName>
    <definedName name="IQRU4" hidden="1">"$U$5:$U$11"</definedName>
    <definedName name="IQRV4" hidden="1">"$V$5:$V$8"</definedName>
    <definedName name="IQRW4" hidden="1">"$W$5:$W$8"</definedName>
    <definedName name="IQRX4" hidden="1">"$X$5:$X$14"</definedName>
    <definedName name="IQRY4" hidden="1">"$Y$5:$Y$14"</definedName>
    <definedName name="IQRZ4" hidden="1">"$Z$5:$Z$6"</definedName>
    <definedName name="ListOffset" hidden="1">1</definedName>
    <definedName name="Look_Up">'Raw Data'!$B$31:$B$1048576</definedName>
    <definedName name="Look_Up2">'Raw Data'!$A$31:$A$1048576</definedName>
    <definedName name="new" localSheetId="32" hidden="1">#REF!</definedName>
    <definedName name="new" localSheetId="31" hidden="1">#REF!</definedName>
    <definedName name="new" localSheetId="34" hidden="1">#REF!</definedName>
    <definedName name="new" hidden="1">#REF!</definedName>
    <definedName name="newname" localSheetId="32" hidden="1">#REF!</definedName>
    <definedName name="newname" localSheetId="31" hidden="1">#REF!</definedName>
    <definedName name="newname" localSheetId="34" hidden="1">#REF!</definedName>
    <definedName name="newname" hidden="1">#REF!</definedName>
    <definedName name="Peer_1_Ticker" localSheetId="6">[1]Variables!$B$7</definedName>
    <definedName name="Peer_1_Ticker" localSheetId="36">[1]Variables!$B$7</definedName>
    <definedName name="Peer_10_Ticker" localSheetId="6">[1]Variables!$B$16</definedName>
    <definedName name="Peer_10_Ticker" localSheetId="36">[1]Variables!$B$16</definedName>
    <definedName name="Peer_12_Ticker" localSheetId="6">[1]Variables!$B$18</definedName>
    <definedName name="Peer_12_Ticker" localSheetId="36">[1]Variables!$B$18</definedName>
    <definedName name="Peer_13_Ticker" localSheetId="6">[1]Variables!$B$19</definedName>
    <definedName name="Peer_13_Ticker" localSheetId="36">[1]Variables!$B$19</definedName>
    <definedName name="Peer_14_Ticker" localSheetId="6">[1]Variables!$B$20</definedName>
    <definedName name="Peer_14_Ticker" localSheetId="36">[1]Variables!$B$20</definedName>
    <definedName name="Peer_2_Ticker" localSheetId="6">[1]Variables!$B$8</definedName>
    <definedName name="Peer_2_Ticker" localSheetId="36">[1]Variables!$B$8</definedName>
    <definedName name="Peer_3_Ticker" localSheetId="6">[1]Variables!$B$9</definedName>
    <definedName name="Peer_3_Ticker" localSheetId="36">[1]Variables!$B$9</definedName>
    <definedName name="Peer_4_Ticker" localSheetId="6">[1]Variables!$B$10</definedName>
    <definedName name="Peer_4_Ticker" localSheetId="36">[1]Variables!$B$10</definedName>
    <definedName name="Peer_5_Ticker" localSheetId="6">[1]Variables!$B$11</definedName>
    <definedName name="Peer_5_Ticker" localSheetId="36">[1]Variables!$B$11</definedName>
    <definedName name="Peer_6_Ticker" localSheetId="6">[1]Variables!$B$12</definedName>
    <definedName name="Peer_6_Ticker" localSheetId="36">[1]Variables!$B$12</definedName>
    <definedName name="Peer_7_Ticker" localSheetId="6">[1]Variables!$B$13</definedName>
    <definedName name="Peer_7_Ticker" localSheetId="36">[1]Variables!$B$13</definedName>
    <definedName name="Peer_8_Ticker" localSheetId="6">[1]Variables!$B$14</definedName>
    <definedName name="Peer_8_Ticker" localSheetId="36">[1]Variables!$B$14</definedName>
    <definedName name="Peer_9_Ticker" localSheetId="6">[1]Variables!$B$15</definedName>
    <definedName name="Peer_9_Ticker" localSheetId="36">[1]Variables!$B$15</definedName>
    <definedName name="_xlnm.Print_Area" localSheetId="8">CEO!$C$5:$W$42</definedName>
    <definedName name="_xlnm.Print_Area" localSheetId="9">CFO!$C$5:$W$42</definedName>
    <definedName name="_xlnm.Print_Area" localSheetId="14">COO!$C$5:$W$41</definedName>
    <definedName name="_xlnm.Print_Area" localSheetId="13">Legal!$C$5:$W$30</definedName>
    <definedName name="_xlnm.Print_Area" localSheetId="5">'Master - Summary'!$C$5:$V$38</definedName>
    <definedName name="_xlnm.Print_Area" localSheetId="10">'NEO3'!$C$5:$W$42</definedName>
    <definedName name="_xlnm.Print_Area" localSheetId="11">'NEO4'!$C$5:$W$42</definedName>
    <definedName name="_xlnm.Print_Area" localSheetId="12">'NEO5'!$C$5:$W$48</definedName>
    <definedName name="_xlnm.Print_Area" localSheetId="17">Region!$C$5:$W$30</definedName>
    <definedName name="_xlnm.Print_Area" localSheetId="15">Tech!$C$5:$W$41</definedName>
    <definedName name="raw" localSheetId="6">'[4]Raw Data'!$A$1:$AJ$289</definedName>
    <definedName name="raw" localSheetId="36">'[4]Raw Data'!$A$1:$AJ$289</definedName>
    <definedName name="Raw_Data" localSheetId="6">'[1]Raw Data'!$1:$1048576</definedName>
    <definedName name="Raw_Data" localSheetId="36">'[1]Raw Data'!$1:$1048576</definedName>
    <definedName name="Raw_Data">'Raw Data'!$B$31:$AY$1048576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T8" i="346" l="1"/>
  <c r="AT9" i="346"/>
  <c r="D8" i="346"/>
  <c r="E8" i="346"/>
  <c r="AT10" i="346"/>
  <c r="D9" i="346"/>
  <c r="E9" i="346"/>
  <c r="AT11" i="346"/>
  <c r="D10" i="346"/>
  <c r="E10" i="346"/>
  <c r="AT12" i="346"/>
  <c r="E11" i="346"/>
  <c r="D11" i="346"/>
  <c r="AT13" i="346"/>
  <c r="E12" i="346"/>
  <c r="D12" i="346"/>
  <c r="AT14" i="346"/>
  <c r="D13" i="346"/>
  <c r="E13" i="346"/>
  <c r="AT15" i="346"/>
  <c r="E14" i="346"/>
  <c r="D14" i="346"/>
  <c r="AT16" i="346"/>
  <c r="E15" i="346"/>
  <c r="D15" i="346"/>
  <c r="AT17" i="346"/>
  <c r="D16" i="346"/>
  <c r="E16" i="346"/>
  <c r="AT18" i="346"/>
  <c r="D17" i="346"/>
  <c r="E17" i="346"/>
  <c r="AT19" i="346"/>
  <c r="E18" i="346"/>
  <c r="D18" i="346"/>
  <c r="AT20" i="346"/>
  <c r="E19" i="346"/>
  <c r="D19" i="346"/>
  <c r="AT21" i="346"/>
  <c r="E20" i="346"/>
  <c r="D20" i="346"/>
  <c r="E27" i="346"/>
  <c r="D23" i="346"/>
  <c r="D27" i="346"/>
  <c r="E22" i="346"/>
  <c r="D21" i="346"/>
  <c r="E21" i="346"/>
  <c r="D24" i="346"/>
  <c r="E24" i="346"/>
  <c r="D22" i="346"/>
  <c r="E25" i="346"/>
  <c r="D26" i="346"/>
  <c r="E23" i="346"/>
  <c r="AT39" i="346"/>
  <c r="E26" i="346"/>
  <c r="D25" i="346"/>
  <c r="D11" i="701"/>
  <c r="D13" i="702"/>
  <c r="D22" i="703"/>
  <c r="D8" i="705"/>
  <c r="E27" i="701"/>
  <c r="E22" i="702"/>
  <c r="E21" i="703"/>
  <c r="D14" i="706"/>
  <c r="E14" i="706"/>
  <c r="D38" i="705"/>
  <c r="D17" i="705"/>
  <c r="D10" i="705"/>
  <c r="E38" i="707"/>
  <c r="E20" i="707"/>
  <c r="E13" i="707"/>
  <c r="D39" i="346"/>
  <c r="E22" i="701"/>
  <c r="E12" i="701"/>
  <c r="E21" i="702"/>
  <c r="E14" i="702"/>
  <c r="E23" i="703"/>
  <c r="E16" i="703"/>
  <c r="E25" i="704"/>
  <c r="E15" i="704"/>
  <c r="E8" i="704"/>
  <c r="E27" i="706"/>
  <c r="E26" i="705"/>
  <c r="E19" i="705"/>
  <c r="E9" i="705"/>
  <c r="D20" i="707"/>
  <c r="D13" i="707"/>
  <c r="D22" i="701"/>
  <c r="D15" i="701"/>
  <c r="D24" i="702"/>
  <c r="D14" i="702"/>
  <c r="D23" i="703"/>
  <c r="D16" i="703"/>
  <c r="D9" i="703"/>
  <c r="D25" i="704"/>
  <c r="D18" i="704"/>
  <c r="D8" i="704"/>
  <c r="D27" i="706"/>
  <c r="D9" i="706"/>
  <c r="D26" i="705"/>
  <c r="D19" i="705"/>
  <c r="D12" i="705"/>
  <c r="E22" i="707"/>
  <c r="E12" i="707"/>
  <c r="E18" i="707"/>
  <c r="E20" i="701"/>
  <c r="E23" i="704"/>
  <c r="D15" i="706"/>
  <c r="D25" i="705"/>
  <c r="E12" i="702"/>
  <c r="E43" i="704"/>
  <c r="D22" i="702"/>
  <c r="D21" i="701"/>
  <c r="E24" i="705"/>
  <c r="D24" i="704"/>
  <c r="E14" i="703"/>
  <c r="E16" i="704"/>
  <c r="D21" i="707"/>
  <c r="D39" i="701"/>
  <c r="D13" i="701"/>
  <c r="D20" i="702"/>
  <c r="D15" i="703"/>
  <c r="D14" i="704"/>
  <c r="E11" i="707"/>
  <c r="E17" i="705"/>
  <c r="D14" i="703"/>
  <c r="D9" i="704"/>
  <c r="E23" i="702"/>
  <c r="D22" i="707"/>
  <c r="E14" i="701"/>
  <c r="E15" i="703"/>
  <c r="E15" i="706"/>
  <c r="E18" i="705"/>
  <c r="E14" i="707"/>
  <c r="D15" i="707"/>
  <c r="E8" i="702"/>
  <c r="E26" i="704"/>
  <c r="E9" i="704"/>
  <c r="E10" i="706"/>
  <c r="E20" i="705"/>
  <c r="D18" i="702"/>
  <c r="D17" i="703"/>
  <c r="E24" i="702"/>
  <c r="E19" i="703"/>
  <c r="E9" i="703"/>
  <c r="E39" i="704"/>
  <c r="E22" i="705"/>
  <c r="D9" i="707"/>
  <c r="D25" i="701"/>
  <c r="D18" i="701"/>
  <c r="D8" i="701"/>
  <c r="D27" i="702"/>
  <c r="D17" i="702"/>
  <c r="D10" i="702"/>
  <c r="D26" i="703"/>
  <c r="D19" i="703"/>
  <c r="D12" i="703"/>
  <c r="D39" i="704"/>
  <c r="D21" i="704"/>
  <c r="D11" i="704"/>
  <c r="D12" i="706"/>
  <c r="D22" i="705"/>
  <c r="D15" i="705"/>
  <c r="E25" i="707"/>
  <c r="E15" i="707"/>
  <c r="E8" i="707"/>
  <c r="E24" i="701"/>
  <c r="E17" i="701"/>
  <c r="E10" i="701"/>
  <c r="E26" i="702"/>
  <c r="E19" i="702"/>
  <c r="E9" i="702"/>
  <c r="E39" i="703"/>
  <c r="E18" i="703"/>
  <c r="E11" i="703"/>
  <c r="E27" i="704"/>
  <c r="E20" i="704"/>
  <c r="E13" i="704"/>
  <c r="E11" i="706"/>
  <c r="E21" i="705"/>
  <c r="E14" i="705"/>
  <c r="D25" i="707"/>
  <c r="D18" i="707"/>
  <c r="D8" i="707"/>
  <c r="E16" i="702"/>
  <c r="D24" i="701"/>
  <c r="D23" i="702"/>
  <c r="D25" i="703"/>
  <c r="D8" i="703"/>
  <c r="D17" i="704"/>
  <c r="D11" i="705"/>
  <c r="E23" i="701"/>
  <c r="E15" i="702"/>
  <c r="E24" i="703"/>
  <c r="E17" i="703"/>
  <c r="E19" i="704"/>
  <c r="E38" i="705"/>
  <c r="D24" i="707"/>
  <c r="D14" i="707"/>
  <c r="E25" i="701"/>
  <c r="D16" i="701"/>
  <c r="E17" i="702"/>
  <c r="D43" i="704"/>
  <c r="D20" i="704"/>
  <c r="E11" i="704"/>
  <c r="D11" i="706"/>
  <c r="D24" i="705"/>
  <c r="D14" i="705"/>
  <c r="E24" i="707"/>
  <c r="E17" i="707"/>
  <c r="E10" i="707"/>
  <c r="F6" i="475"/>
  <c r="D23" i="704"/>
  <c r="E8" i="703"/>
  <c r="E17" i="704"/>
  <c r="D10" i="703"/>
  <c r="D19" i="704"/>
  <c r="D20" i="705"/>
  <c r="E16" i="707"/>
  <c r="E8" i="701"/>
  <c r="E10" i="702"/>
  <c r="E26" i="703"/>
  <c r="E9" i="706"/>
  <c r="D16" i="707"/>
  <c r="D26" i="702"/>
  <c r="D11" i="703"/>
  <c r="D13" i="704"/>
  <c r="E26" i="701"/>
  <c r="E19" i="701"/>
  <c r="E9" i="701"/>
  <c r="E39" i="702"/>
  <c r="E18" i="702"/>
  <c r="E11" i="702"/>
  <c r="E27" i="703"/>
  <c r="E20" i="703"/>
  <c r="E13" i="703"/>
  <c r="E41" i="704"/>
  <c r="E22" i="704"/>
  <c r="E12" i="704"/>
  <c r="E13" i="706"/>
  <c r="E23" i="705"/>
  <c r="E16" i="705"/>
  <c r="D38" i="707"/>
  <c r="D17" i="707"/>
  <c r="D10" i="707"/>
  <c r="E6" i="475"/>
  <c r="D18" i="705"/>
  <c r="E13" i="701"/>
  <c r="E10" i="705"/>
  <c r="D11" i="707"/>
  <c r="E39" i="346"/>
  <c r="D20" i="701"/>
  <c r="D15" i="702"/>
  <c r="D24" i="703"/>
  <c r="D16" i="704"/>
  <c r="E21" i="701"/>
  <c r="E25" i="703"/>
  <c r="E24" i="704"/>
  <c r="D18" i="703"/>
  <c r="D27" i="704"/>
  <c r="D10" i="704"/>
  <c r="D8" i="706"/>
  <c r="E25" i="702"/>
  <c r="E10" i="703"/>
  <c r="D23" i="701"/>
  <c r="D9" i="701"/>
  <c r="D25" i="702"/>
  <c r="D8" i="702"/>
  <c r="D27" i="703"/>
  <c r="D26" i="704"/>
  <c r="D12" i="704"/>
  <c r="D10" i="706"/>
  <c r="D13" i="705"/>
  <c r="E23" i="707"/>
  <c r="E15" i="701"/>
  <c r="D23" i="707"/>
  <c r="D10" i="701"/>
  <c r="D39" i="703"/>
  <c r="D26" i="701"/>
  <c r="D21" i="702"/>
  <c r="D13" i="703"/>
  <c r="D22" i="704"/>
  <c r="D15" i="704"/>
  <c r="D13" i="706"/>
  <c r="D23" i="705"/>
  <c r="D16" i="705"/>
  <c r="D9" i="705"/>
  <c r="E26" i="707"/>
  <c r="E19" i="707"/>
  <c r="E9" i="707"/>
  <c r="D6" i="475"/>
  <c r="E10" i="704"/>
  <c r="E8" i="706"/>
  <c r="E11" i="705"/>
  <c r="D14" i="701"/>
  <c r="D16" i="702"/>
  <c r="D9" i="702"/>
  <c r="D21" i="705"/>
  <c r="E21" i="707"/>
  <c r="E16" i="701"/>
  <c r="E13" i="705"/>
  <c r="E18" i="704"/>
  <c r="E12" i="705"/>
  <c r="D27" i="701"/>
  <c r="D17" i="701"/>
  <c r="D19" i="702"/>
  <c r="D12" i="702"/>
  <c r="D21" i="703"/>
  <c r="D19" i="701"/>
  <c r="D12" i="701"/>
  <c r="D39" i="702"/>
  <c r="D11" i="702"/>
  <c r="D20" i="703"/>
  <c r="D41" i="704"/>
  <c r="E39" i="701"/>
  <c r="E18" i="701"/>
  <c r="E11" i="701"/>
  <c r="E27" i="702"/>
  <c r="E20" i="702"/>
  <c r="E13" i="702"/>
  <c r="E22" i="703"/>
  <c r="E12" i="703"/>
  <c r="E21" i="704"/>
  <c r="E14" i="704"/>
  <c r="E12" i="706"/>
  <c r="E25" i="705"/>
  <c r="E15" i="705"/>
  <c r="E8" i="705"/>
  <c r="D26" i="707"/>
  <c r="D19" i="707"/>
  <c r="D12" i="707"/>
  <c r="D7" i="475"/>
  <c r="G6" i="475"/>
  <c r="H6" i="475"/>
  <c r="H7" i="475"/>
  <c r="E7" i="475"/>
  <c r="F7" i="475"/>
  <c r="F8" i="475"/>
  <c r="D8" i="475"/>
  <c r="G7" i="475"/>
  <c r="G8" i="475"/>
  <c r="H8" i="475"/>
  <c r="E8" i="475"/>
  <c r="E9" i="475"/>
  <c r="F9" i="475"/>
  <c r="D9" i="475"/>
  <c r="D10" i="475"/>
  <c r="G9" i="475"/>
  <c r="H9" i="475"/>
  <c r="H10" i="475"/>
  <c r="F10" i="475"/>
  <c r="E10" i="475"/>
  <c r="E11" i="475"/>
  <c r="D11" i="475"/>
  <c r="G10" i="475"/>
  <c r="G11" i="475"/>
  <c r="H11" i="475"/>
  <c r="F11" i="475"/>
  <c r="F12" i="475"/>
  <c r="E12" i="475"/>
  <c r="D12" i="475"/>
  <c r="D13" i="475"/>
  <c r="G12" i="475"/>
  <c r="H12" i="475"/>
  <c r="H13" i="475"/>
  <c r="E13" i="475"/>
  <c r="F13" i="475"/>
  <c r="E14" i="475"/>
  <c r="D14" i="475"/>
  <c r="G13" i="475"/>
  <c r="G14" i="475"/>
  <c r="H14" i="475"/>
  <c r="F14" i="475"/>
  <c r="E15" i="475"/>
  <c r="D15" i="475"/>
  <c r="F15" i="475"/>
  <c r="F16" i="475"/>
  <c r="G15" i="475"/>
  <c r="H15" i="475"/>
  <c r="H16" i="475"/>
  <c r="E16" i="475"/>
  <c r="D16" i="475"/>
  <c r="D17" i="475"/>
  <c r="F17" i="475"/>
  <c r="G16" i="475"/>
  <c r="G17" i="475"/>
  <c r="H17" i="475"/>
  <c r="E17" i="475"/>
  <c r="E18" i="475"/>
  <c r="D18" i="475"/>
  <c r="F18" i="475"/>
  <c r="D25" i="475"/>
  <c r="G18" i="475"/>
  <c r="H18" i="475"/>
  <c r="D19" i="475"/>
  <c r="E19" i="475"/>
  <c r="F19" i="475"/>
  <c r="G25" i="475"/>
  <c r="G19" i="475"/>
  <c r="H19" i="475"/>
  <c r="H25" i="475"/>
  <c r="F25" i="475"/>
  <c r="E25" i="475"/>
  <c r="A6" i="52"/>
  <c r="A7" i="52"/>
  <c r="A8" i="52"/>
  <c r="A9" i="52"/>
  <c r="A10" i="52"/>
  <c r="A11" i="52"/>
  <c r="A12" i="52"/>
  <c r="A13" i="52"/>
  <c r="A14" i="52"/>
  <c r="A15" i="52"/>
  <c r="A16" i="52"/>
  <c r="A17" i="52"/>
  <c r="A18" i="52"/>
  <c r="A19" i="52"/>
  <c r="A20" i="52"/>
  <c r="A21" i="52"/>
  <c r="A22" i="52"/>
  <c r="A23" i="52"/>
  <c r="A24" i="52"/>
  <c r="A25" i="52"/>
  <c r="A29" i="52"/>
  <c r="A3" i="475"/>
  <c r="A25" i="475"/>
  <c r="A4" i="475"/>
  <c r="A6" i="475"/>
  <c r="A7" i="475"/>
  <c r="B7" i="475"/>
  <c r="A8" i="475"/>
  <c r="B8" i="475"/>
  <c r="A9" i="475"/>
  <c r="B9" i="475"/>
  <c r="B10" i="475" s="1"/>
  <c r="B11" i="475" s="1"/>
  <c r="B12" i="475" s="1"/>
  <c r="B13" i="475" s="1"/>
  <c r="B14" i="475" s="1"/>
  <c r="B15" i="475" s="1"/>
  <c r="B16" i="475" s="1"/>
  <c r="B17" i="475" s="1"/>
  <c r="B18" i="475" s="1"/>
  <c r="B19" i="475" s="1"/>
  <c r="A10" i="475"/>
  <c r="A11" i="475"/>
  <c r="A12" i="475"/>
  <c r="A13" i="475"/>
  <c r="A14" i="475"/>
  <c r="A15" i="475"/>
  <c r="A16" i="475"/>
  <c r="A17" i="475"/>
  <c r="A18" i="475"/>
  <c r="A19" i="475"/>
  <c r="C27" i="475"/>
  <c r="A1" i="474"/>
  <c r="C5" i="474"/>
  <c r="C6" i="474" s="1"/>
  <c r="A6" i="474" s="1"/>
  <c r="A5" i="474"/>
  <c r="C7" i="474"/>
  <c r="A7" i="474"/>
  <c r="C8" i="474"/>
  <c r="C9" i="474" s="1"/>
  <c r="A9" i="474" s="1"/>
  <c r="C10" i="474"/>
  <c r="C15" i="474"/>
  <c r="A15" i="474"/>
  <c r="C16" i="474"/>
  <c r="C17" i="474" s="1"/>
  <c r="C18" i="474" s="1"/>
  <c r="A18" i="474" s="1"/>
  <c r="A16" i="474"/>
  <c r="A17" i="474"/>
  <c r="C20" i="474"/>
  <c r="C21" i="474"/>
  <c r="A21" i="474"/>
  <c r="C22" i="474"/>
  <c r="C23" i="474" s="1"/>
  <c r="C24" i="474" s="1"/>
  <c r="A24" i="474" s="1"/>
  <c r="A22" i="474"/>
  <c r="A23" i="474"/>
  <c r="C25" i="474"/>
  <c r="A25" i="474"/>
  <c r="C26" i="474"/>
  <c r="C30" i="474"/>
  <c r="A30" i="474"/>
  <c r="C31" i="474"/>
  <c r="C35" i="474"/>
  <c r="C36" i="474" s="1"/>
  <c r="A36" i="474" s="1"/>
  <c r="A35" i="474"/>
  <c r="C37" i="474"/>
  <c r="C38" i="474" s="1"/>
  <c r="A37" i="474"/>
  <c r="A38" i="474"/>
  <c r="C39" i="474"/>
  <c r="A39" i="474" s="1"/>
  <c r="C40" i="474"/>
  <c r="C41" i="474" s="1"/>
  <c r="A40" i="474"/>
  <c r="C45" i="474"/>
  <c r="A45" i="474" s="1"/>
  <c r="C46" i="474"/>
  <c r="A46" i="474"/>
  <c r="C47" i="474"/>
  <c r="A47" i="474" s="1"/>
  <c r="C50" i="474"/>
  <c r="A50" i="474"/>
  <c r="C51" i="474"/>
  <c r="C52" i="474" s="1"/>
  <c r="A52" i="474" s="1"/>
  <c r="A51" i="474"/>
  <c r="C53" i="474"/>
  <c r="C55" i="474"/>
  <c r="A55" i="474"/>
  <c r="C56" i="474"/>
  <c r="C60" i="474"/>
  <c r="A60" i="474" s="1"/>
  <c r="C61" i="474"/>
  <c r="A61" i="474" s="1"/>
  <c r="C65" i="474"/>
  <c r="C66" i="474" s="1"/>
  <c r="A66" i="474" s="1"/>
  <c r="A65" i="474"/>
  <c r="C67" i="474"/>
  <c r="C68" i="474" s="1"/>
  <c r="A68" i="474" s="1"/>
  <c r="A67" i="474"/>
  <c r="C69" i="474"/>
  <c r="A69" i="474" s="1"/>
  <c r="C70" i="474"/>
  <c r="C71" i="474" s="1"/>
  <c r="A70" i="474"/>
  <c r="C75" i="474"/>
  <c r="A75" i="474" s="1"/>
  <c r="C76" i="474"/>
  <c r="C77" i="474" s="1"/>
  <c r="A77" i="474" s="1"/>
  <c r="A76" i="474"/>
  <c r="C80" i="474"/>
  <c r="C81" i="474" s="1"/>
  <c r="A80" i="474"/>
  <c r="C85" i="474"/>
  <c r="A85" i="474"/>
  <c r="C86" i="474"/>
  <c r="C90" i="474"/>
  <c r="C95" i="474"/>
  <c r="C96" i="474" s="1"/>
  <c r="A95" i="474"/>
  <c r="C100" i="474"/>
  <c r="C101" i="474"/>
  <c r="A101" i="474" s="1"/>
  <c r="C102" i="474"/>
  <c r="C105" i="474"/>
  <c r="D3" i="516"/>
  <c r="E3" i="516"/>
  <c r="C6" i="516"/>
  <c r="D6" i="516"/>
  <c r="E6" i="516"/>
  <c r="E15" i="516" s="1"/>
  <c r="C7" i="516"/>
  <c r="D7" i="516"/>
  <c r="D14" i="516" s="1"/>
  <c r="E7" i="516"/>
  <c r="C8" i="516"/>
  <c r="C14" i="516" s="1"/>
  <c r="D8" i="516"/>
  <c r="E8" i="516"/>
  <c r="C9" i="516"/>
  <c r="D9" i="516"/>
  <c r="E9" i="516"/>
  <c r="E16" i="516" s="1"/>
  <c r="C10" i="516"/>
  <c r="C17" i="516" s="1"/>
  <c r="D10" i="516"/>
  <c r="E10" i="516"/>
  <c r="E19" i="516" s="1"/>
  <c r="D13" i="516"/>
  <c r="E13" i="516"/>
  <c r="E14" i="516"/>
  <c r="C15" i="516"/>
  <c r="C16" i="516"/>
  <c r="D16" i="516"/>
  <c r="D17" i="516"/>
  <c r="E17" i="516"/>
  <c r="D19" i="516"/>
  <c r="D3" i="517"/>
  <c r="E3" i="517"/>
  <c r="C6" i="517"/>
  <c r="C15" i="517" s="1"/>
  <c r="D6" i="517"/>
  <c r="D15" i="517" s="1"/>
  <c r="E6" i="517"/>
  <c r="E15" i="517" s="1"/>
  <c r="C7" i="517"/>
  <c r="D7" i="517"/>
  <c r="E7" i="517"/>
  <c r="C8" i="517"/>
  <c r="C14" i="517" s="1"/>
  <c r="D8" i="517"/>
  <c r="D14" i="517" s="1"/>
  <c r="E8" i="517"/>
  <c r="C9" i="517"/>
  <c r="C16" i="517" s="1"/>
  <c r="D9" i="517"/>
  <c r="D16" i="517" s="1"/>
  <c r="E9" i="517"/>
  <c r="E16" i="517" s="1"/>
  <c r="C10" i="517"/>
  <c r="D10" i="517"/>
  <c r="E10" i="517"/>
  <c r="C13" i="517"/>
  <c r="C17" i="517"/>
  <c r="D17" i="517"/>
  <c r="E17" i="517"/>
  <c r="C19" i="517"/>
  <c r="D19" i="517"/>
  <c r="E19" i="517"/>
  <c r="D3" i="414"/>
  <c r="E3" i="414"/>
  <c r="C6" i="414"/>
  <c r="D6" i="414"/>
  <c r="E6" i="414"/>
  <c r="C7" i="414"/>
  <c r="D7" i="414"/>
  <c r="E7" i="414"/>
  <c r="C8" i="414"/>
  <c r="D8" i="414"/>
  <c r="D13" i="414" s="1"/>
  <c r="E8" i="414"/>
  <c r="E13" i="414" s="1"/>
  <c r="C9" i="414"/>
  <c r="D9" i="414"/>
  <c r="D16" i="414" s="1"/>
  <c r="E9" i="414"/>
  <c r="C10" i="414"/>
  <c r="C19" i="414" s="1"/>
  <c r="D10" i="414"/>
  <c r="E10" i="414"/>
  <c r="E14" i="414"/>
  <c r="C15" i="414"/>
  <c r="D15" i="414"/>
  <c r="E15" i="414"/>
  <c r="C16" i="414"/>
  <c r="E16" i="414"/>
  <c r="D17" i="414"/>
  <c r="D19" i="414"/>
  <c r="D3" i="411"/>
  <c r="E3" i="411"/>
  <c r="C6" i="411"/>
  <c r="D6" i="411"/>
  <c r="D15" i="411" s="1"/>
  <c r="E6" i="411"/>
  <c r="E15" i="411" s="1"/>
  <c r="C7" i="411"/>
  <c r="D7" i="411"/>
  <c r="E7" i="411"/>
  <c r="C8" i="411"/>
  <c r="C13" i="411" s="1"/>
  <c r="D8" i="411"/>
  <c r="D14" i="411" s="1"/>
  <c r="E8" i="411"/>
  <c r="C9" i="411"/>
  <c r="D9" i="411"/>
  <c r="D16" i="411" s="1"/>
  <c r="E9" i="411"/>
  <c r="C10" i="411"/>
  <c r="D10" i="411"/>
  <c r="D17" i="411" s="1"/>
  <c r="E10" i="411"/>
  <c r="E17" i="411" s="1"/>
  <c r="D13" i="411"/>
  <c r="E13" i="411"/>
  <c r="C14" i="411"/>
  <c r="E14" i="411"/>
  <c r="C16" i="411"/>
  <c r="E16" i="411"/>
  <c r="C17" i="411"/>
  <c r="E19" i="411"/>
  <c r="D3" i="351"/>
  <c r="E3" i="351" s="1"/>
  <c r="D2" i="732"/>
  <c r="E2" i="732" s="1"/>
  <c r="B3" i="732"/>
  <c r="B4" i="732"/>
  <c r="B5" i="732"/>
  <c r="B6" i="732"/>
  <c r="C12" i="475"/>
  <c r="C9" i="475"/>
  <c r="C17" i="475"/>
  <c r="C25" i="475"/>
  <c r="C14" i="475"/>
  <c r="C15" i="475"/>
  <c r="C6" i="475"/>
  <c r="C10" i="475"/>
  <c r="C19" i="475"/>
  <c r="C18" i="475"/>
  <c r="C8" i="475"/>
  <c r="C16" i="475"/>
  <c r="C7" i="475"/>
  <c r="G9" i="2"/>
  <c r="C11" i="475"/>
  <c r="C13" i="475"/>
  <c r="C3" i="475" l="1"/>
  <c r="G23" i="475"/>
  <c r="G22" i="475"/>
  <c r="G26" i="475"/>
  <c r="G21" i="475"/>
  <c r="G24" i="475"/>
  <c r="H24" i="475"/>
  <c r="H22" i="475"/>
  <c r="H23" i="475"/>
  <c r="H26" i="475"/>
  <c r="H21" i="475"/>
  <c r="E21" i="475"/>
  <c r="E26" i="475"/>
  <c r="E23" i="475"/>
  <c r="E22" i="475"/>
  <c r="E24" i="475"/>
  <c r="F21" i="475"/>
  <c r="F26" i="475"/>
  <c r="F23" i="475"/>
  <c r="F22" i="475"/>
  <c r="F24" i="475"/>
  <c r="C72" i="474"/>
  <c r="A71" i="474"/>
  <c r="C42" i="474"/>
  <c r="A41" i="474"/>
  <c r="C19" i="516"/>
  <c r="C97" i="474"/>
  <c r="A96" i="474"/>
  <c r="C27" i="474"/>
  <c r="A26" i="474"/>
  <c r="C82" i="474"/>
  <c r="A81" i="474"/>
  <c r="C19" i="411"/>
  <c r="C15" i="411"/>
  <c r="C54" i="474"/>
  <c r="A54" i="474" s="1"/>
  <c r="A53" i="474"/>
  <c r="A86" i="474"/>
  <c r="C87" i="474"/>
  <c r="A8" i="474"/>
  <c r="C106" i="474"/>
  <c r="A105" i="474"/>
  <c r="E19" i="414"/>
  <c r="E17" i="414"/>
  <c r="A31" i="474"/>
  <c r="C32" i="474"/>
  <c r="A56" i="474"/>
  <c r="C57" i="474"/>
  <c r="E14" i="517"/>
  <c r="E13" i="517"/>
  <c r="C91" i="474"/>
  <c r="A90" i="474"/>
  <c r="C62" i="474"/>
  <c r="C48" i="474"/>
  <c r="C17" i="414"/>
  <c r="C78" i="474"/>
  <c r="C11" i="474"/>
  <c r="A10" i="474"/>
  <c r="C13" i="414"/>
  <c r="C14" i="414"/>
  <c r="D14" i="414"/>
  <c r="D15" i="516"/>
  <c r="C19" i="474"/>
  <c r="A19" i="474" s="1"/>
  <c r="A102" i="474"/>
  <c r="C103" i="474"/>
  <c r="D13" i="517"/>
  <c r="C13" i="516"/>
  <c r="A20" i="474"/>
  <c r="A100" i="474"/>
  <c r="D19" i="411"/>
  <c r="C63" i="474" l="1"/>
  <c r="A62" i="474"/>
  <c r="C33" i="474"/>
  <c r="A32" i="474"/>
  <c r="A106" i="474"/>
  <c r="C107" i="474"/>
  <c r="A27" i="474"/>
  <c r="C28" i="474"/>
  <c r="C88" i="474"/>
  <c r="A87" i="474"/>
  <c r="A103" i="474"/>
  <c r="C104" i="474"/>
  <c r="A104" i="474" s="1"/>
  <c r="A78" i="474"/>
  <c r="C79" i="474"/>
  <c r="A79" i="474" s="1"/>
  <c r="A57" i="474"/>
  <c r="C58" i="474"/>
  <c r="A91" i="474"/>
  <c r="C92" i="474"/>
  <c r="C98" i="474"/>
  <c r="A97" i="474"/>
  <c r="C43" i="474"/>
  <c r="A42" i="474"/>
  <c r="A82" i="474"/>
  <c r="C83" i="474"/>
  <c r="A11" i="474"/>
  <c r="C12" i="474"/>
  <c r="A72" i="474"/>
  <c r="C73" i="474"/>
  <c r="C49" i="474"/>
  <c r="A49" i="474" s="1"/>
  <c r="A48" i="474"/>
  <c r="A98" i="474" l="1"/>
  <c r="C99" i="474"/>
  <c r="A99" i="474" s="1"/>
  <c r="A12" i="474"/>
  <c r="C13" i="474"/>
  <c r="C84" i="474"/>
  <c r="A84" i="474" s="1"/>
  <c r="A83" i="474"/>
  <c r="A28" i="474"/>
  <c r="C29" i="474"/>
  <c r="A29" i="474" s="1"/>
  <c r="C93" i="474"/>
  <c r="A92" i="474"/>
  <c r="A107" i="474"/>
  <c r="C108" i="474"/>
  <c r="A73" i="474"/>
  <c r="C74" i="474"/>
  <c r="A74" i="474" s="1"/>
  <c r="C89" i="474"/>
  <c r="A89" i="474" s="1"/>
  <c r="A88" i="474"/>
  <c r="C34" i="474"/>
  <c r="A34" i="474" s="1"/>
  <c r="A33" i="474"/>
  <c r="C59" i="474"/>
  <c r="A59" i="474" s="1"/>
  <c r="A58" i="474"/>
  <c r="A43" i="474"/>
  <c r="C44" i="474"/>
  <c r="A44" i="474" s="1"/>
  <c r="A63" i="474"/>
  <c r="C64" i="474"/>
  <c r="A64" i="474" s="1"/>
  <c r="A13" i="474" l="1"/>
  <c r="C14" i="474"/>
  <c r="A14" i="474" s="1"/>
  <c r="A93" i="474"/>
  <c r="C94" i="474"/>
  <c r="A94" i="474" s="1"/>
  <c r="A108" i="474"/>
  <c r="C109" i="474"/>
  <c r="A109" i="474" s="1"/>
  <c r="C21" i="732"/>
  <c r="C22" i="732"/>
  <c r="C23" i="732"/>
  <c r="C24" i="732"/>
  <c r="C25" i="732"/>
  <c r="C27" i="732"/>
  <c r="D14" i="739" a="1"/>
  <c r="D14" i="739"/>
  <c r="E14" i="739" a="1"/>
  <c r="E14" i="739"/>
  <c r="H14" i="739" a="1"/>
  <c r="H14" i="739"/>
  <c r="I14" i="739" a="1"/>
  <c r="I14" i="739"/>
  <c r="K14" i="739" s="1"/>
  <c r="D15" i="739" a="1"/>
  <c r="D15" i="739"/>
  <c r="E15" i="739" a="1"/>
  <c r="E15" i="739"/>
  <c r="D16" i="739" a="1"/>
  <c r="D16" i="739"/>
  <c r="E16" i="739" a="1"/>
  <c r="E16" i="739"/>
  <c r="F16" i="739" a="1"/>
  <c r="F16" i="739"/>
  <c r="G16" i="739" a="1"/>
  <c r="G16" i="739"/>
  <c r="H16" i="739" a="1"/>
  <c r="H16" i="739"/>
  <c r="I16" i="739" a="1"/>
  <c r="I16" i="739"/>
  <c r="K16" i="739" s="1"/>
  <c r="J16" i="739"/>
  <c r="D2" i="786"/>
  <c r="E2" i="786"/>
  <c r="B3" i="786"/>
  <c r="B4" i="786"/>
  <c r="B5" i="786"/>
  <c r="B6" i="786"/>
  <c r="C21" i="786"/>
  <c r="C22" i="786"/>
  <c r="C23" i="786"/>
  <c r="C24" i="786"/>
  <c r="C25" i="786"/>
  <c r="C27" i="786"/>
  <c r="D2" i="778"/>
  <c r="E2" i="778"/>
  <c r="B3" i="778"/>
  <c r="B4" i="778"/>
  <c r="B5" i="778"/>
  <c r="B6" i="778"/>
  <c r="C21" i="778"/>
  <c r="C22" i="778"/>
  <c r="C23" i="778"/>
  <c r="C24" i="778"/>
  <c r="C25" i="778"/>
  <c r="C27" i="778"/>
  <c r="C28" i="778"/>
  <c r="D2" i="840"/>
  <c r="E2" i="840"/>
  <c r="B3" i="840"/>
  <c r="B4" i="840"/>
  <c r="B5" i="840"/>
  <c r="B6" i="840"/>
  <c r="C21" i="840"/>
  <c r="C22" i="840"/>
  <c r="C23" i="840"/>
  <c r="C24" i="840"/>
  <c r="C25" i="840"/>
  <c r="C27" i="840"/>
  <c r="D2" i="731"/>
  <c r="E2" i="731" s="1"/>
  <c r="G2" i="731"/>
  <c r="H2" i="731"/>
  <c r="B3" i="731"/>
  <c r="B4" i="731"/>
  <c r="B5" i="731"/>
  <c r="B6" i="731"/>
  <c r="F12" i="731"/>
  <c r="G12" i="731"/>
  <c r="H12" i="731"/>
  <c r="H48" i="731"/>
  <c r="K15" i="731" s="1"/>
  <c r="H59" i="731"/>
  <c r="N15" i="731" s="1"/>
  <c r="K17" i="731"/>
  <c r="N17" i="731"/>
  <c r="C21" i="731"/>
  <c r="F21" i="731"/>
  <c r="C22" i="731"/>
  <c r="F22" i="731"/>
  <c r="C23" i="731"/>
  <c r="F23" i="731"/>
  <c r="C24" i="731"/>
  <c r="F24" i="731"/>
  <c r="C25" i="731"/>
  <c r="F25" i="731"/>
  <c r="C27" i="731"/>
  <c r="F27" i="731"/>
  <c r="D2" i="730"/>
  <c r="E2" i="730"/>
  <c r="B3" i="730"/>
  <c r="B4" i="730"/>
  <c r="B5" i="730"/>
  <c r="B6" i="730"/>
  <c r="C21" i="730"/>
  <c r="C22" i="730"/>
  <c r="C23" i="730"/>
  <c r="C24" i="730"/>
  <c r="C25" i="730"/>
  <c r="C27" i="730"/>
  <c r="C34" i="730"/>
  <c r="D2" i="729"/>
  <c r="E2" i="729" s="1"/>
  <c r="B3" i="729"/>
  <c r="B4" i="729"/>
  <c r="B5" i="729"/>
  <c r="B6" i="729"/>
  <c r="H48" i="729"/>
  <c r="G15" i="729" s="1"/>
  <c r="H15" i="729" s="1"/>
  <c r="C21" i="729"/>
  <c r="C22" i="729"/>
  <c r="C23" i="729"/>
  <c r="C24" i="729"/>
  <c r="C25" i="729"/>
  <c r="C27" i="729"/>
  <c r="D2" i="715"/>
  <c r="E2" i="715"/>
  <c r="B3" i="715"/>
  <c r="B4" i="715"/>
  <c r="B5" i="715"/>
  <c r="B6" i="715"/>
  <c r="H50" i="715"/>
  <c r="G15" i="715" s="1"/>
  <c r="H15" i="715" s="1"/>
  <c r="C21" i="715"/>
  <c r="C22" i="715"/>
  <c r="C23" i="715"/>
  <c r="C24" i="715"/>
  <c r="C25" i="715"/>
  <c r="C27" i="715"/>
  <c r="C34" i="715"/>
  <c r="C3" i="708"/>
  <c r="X4" i="708"/>
  <c r="Y4" i="708"/>
  <c r="C5" i="708"/>
  <c r="AE7" i="708"/>
  <c r="B8" i="708"/>
  <c r="AE8" i="708" s="1"/>
  <c r="AG8" i="708" s="1" a="1"/>
  <c r="AG8" i="708" s="1"/>
  <c r="B9" i="708"/>
  <c r="B37" i="708" s="1"/>
  <c r="B10" i="708"/>
  <c r="AE10" i="708" s="1"/>
  <c r="B11" i="708"/>
  <c r="B12" i="708"/>
  <c r="AE12" i="708" s="1"/>
  <c r="AA35" i="708"/>
  <c r="AA38" i="708"/>
  <c r="AA40" i="708"/>
  <c r="AA41" i="708"/>
  <c r="AA42" i="708"/>
  <c r="AA43" i="708"/>
  <c r="AA45" i="708"/>
  <c r="AA48" i="708"/>
  <c r="AA49" i="708"/>
  <c r="AA50" i="708"/>
  <c r="AA51" i="708"/>
  <c r="AA52" i="708"/>
  <c r="AA53" i="708"/>
  <c r="AA54" i="708"/>
  <c r="A35" i="708"/>
  <c r="H35" i="708" s="1"/>
  <c r="I35" i="708" s="1"/>
  <c r="A38" i="708"/>
  <c r="H38" i="708" s="1"/>
  <c r="I38" i="708" s="1"/>
  <c r="T38" i="708" s="1"/>
  <c r="A40" i="708"/>
  <c r="H40" i="708" s="1"/>
  <c r="I40" i="708" s="1"/>
  <c r="A41" i="708"/>
  <c r="H41" i="708" s="1"/>
  <c r="I41" i="708" s="1"/>
  <c r="A42" i="708"/>
  <c r="H42" i="708" s="1"/>
  <c r="I42" i="708" s="1"/>
  <c r="A43" i="708"/>
  <c r="H43" i="708" s="1"/>
  <c r="I43" i="708" s="1"/>
  <c r="A45" i="708"/>
  <c r="H45" i="708" s="1"/>
  <c r="I45" i="708" s="1"/>
  <c r="A48" i="708"/>
  <c r="H48" i="708" s="1"/>
  <c r="I48" i="708" s="1"/>
  <c r="M48" i="708" s="1"/>
  <c r="P48" i="708" s="1"/>
  <c r="A49" i="708"/>
  <c r="H49" i="708" s="1"/>
  <c r="I49" i="708" s="1"/>
  <c r="A50" i="708"/>
  <c r="H50" i="708" s="1"/>
  <c r="I50" i="708" s="1"/>
  <c r="M50" i="708" s="1"/>
  <c r="P50" i="708" s="1"/>
  <c r="A51" i="708"/>
  <c r="H51" i="708" s="1"/>
  <c r="I51" i="708" s="1"/>
  <c r="A52" i="708"/>
  <c r="H52" i="708" s="1"/>
  <c r="I52" i="708" s="1"/>
  <c r="A53" i="708"/>
  <c r="H53" i="708" s="1"/>
  <c r="I53" i="708" s="1"/>
  <c r="M53" i="708" s="1"/>
  <c r="P53" i="708" s="1"/>
  <c r="A54" i="708"/>
  <c r="H54" i="708" s="1"/>
  <c r="I54" i="708" s="1"/>
  <c r="T54" i="708" s="1"/>
  <c r="J20" i="708"/>
  <c r="K20" i="708"/>
  <c r="L20" i="708"/>
  <c r="Q20" i="708"/>
  <c r="R20" i="708"/>
  <c r="S20" i="708"/>
  <c r="J21" i="708"/>
  <c r="K21" i="708"/>
  <c r="L21" i="708"/>
  <c r="Q21" i="708"/>
  <c r="R21" i="708"/>
  <c r="S21" i="708"/>
  <c r="J22" i="708"/>
  <c r="K22" i="708"/>
  <c r="L22" i="708"/>
  <c r="Q22" i="708"/>
  <c r="R22" i="708"/>
  <c r="S22" i="708"/>
  <c r="J23" i="708"/>
  <c r="K23" i="708"/>
  <c r="L23" i="708"/>
  <c r="Q23" i="708"/>
  <c r="R23" i="708"/>
  <c r="S23" i="708"/>
  <c r="B25" i="708"/>
  <c r="B28" i="708" s="1"/>
  <c r="B35" i="708"/>
  <c r="B38" i="708"/>
  <c r="B40" i="708"/>
  <c r="B41" i="708"/>
  <c r="B42" i="708"/>
  <c r="B43" i="708"/>
  <c r="B45" i="708"/>
  <c r="B48" i="708"/>
  <c r="B49" i="708"/>
  <c r="B50" i="708"/>
  <c r="B51" i="708"/>
  <c r="B52" i="708"/>
  <c r="B53" i="708"/>
  <c r="B54" i="708"/>
  <c r="C3" i="707"/>
  <c r="A12" i="707" s="1"/>
  <c r="X4" i="707"/>
  <c r="Y4" i="707"/>
  <c r="C5" i="707"/>
  <c r="AE7" i="707"/>
  <c r="B8" i="707"/>
  <c r="AE8" i="707"/>
  <c r="AG8" i="707" s="1" a="1"/>
  <c r="AG8" i="707" s="1"/>
  <c r="B9" i="707"/>
  <c r="B10" i="707"/>
  <c r="A10" i="707" s="1"/>
  <c r="AE10" i="707"/>
  <c r="AG10" i="707" a="1"/>
  <c r="AG10" i="707" s="1"/>
  <c r="B11" i="707"/>
  <c r="B12" i="707"/>
  <c r="AE12" i="707"/>
  <c r="AL12" i="707" a="1"/>
  <c r="AL12" i="707"/>
  <c r="AM12" i="707" a="1"/>
  <c r="AM12" i="707" s="1"/>
  <c r="B13" i="707"/>
  <c r="AE13" i="707"/>
  <c r="AG13" i="707" a="1"/>
  <c r="AG13" i="707" s="1"/>
  <c r="B14" i="707"/>
  <c r="A14" i="707"/>
  <c r="B15" i="707"/>
  <c r="AE15" i="707"/>
  <c r="AG15" i="707" a="1"/>
  <c r="AG15" i="707" s="1"/>
  <c r="AH15" i="707" a="1"/>
  <c r="AH15" i="707" s="1"/>
  <c r="B16" i="707"/>
  <c r="A16" i="707"/>
  <c r="B17" i="707"/>
  <c r="A17" i="707" s="1"/>
  <c r="AE17" i="707"/>
  <c r="AG17" i="707" a="1"/>
  <c r="AG17" i="707" s="1"/>
  <c r="AH17" i="707" a="1"/>
  <c r="AH17" i="707" s="1"/>
  <c r="AM17" i="707" a="1"/>
  <c r="AM17" i="707" s="1"/>
  <c r="B18" i="707"/>
  <c r="A18" i="707" s="1"/>
  <c r="B19" i="707"/>
  <c r="A19" i="707" s="1"/>
  <c r="AE19" i="707"/>
  <c r="AG19" i="707" s="1" a="1"/>
  <c r="AG19" i="707" s="1"/>
  <c r="AM19" i="707" a="1"/>
  <c r="AM19" i="707" s="1"/>
  <c r="B20" i="707"/>
  <c r="B21" i="707"/>
  <c r="A21" i="707"/>
  <c r="B22" i="707"/>
  <c r="B23" i="707"/>
  <c r="B24" i="707"/>
  <c r="AE24" i="707"/>
  <c r="AG24" i="707" a="1"/>
  <c r="AG24" i="707" s="1"/>
  <c r="AH24" i="707" a="1"/>
  <c r="AH24" i="707" s="1"/>
  <c r="AK24" i="707" a="1"/>
  <c r="AK24" i="707" s="1"/>
  <c r="B25" i="707"/>
  <c r="A25" i="707"/>
  <c r="B26" i="707"/>
  <c r="A26" i="707" s="1"/>
  <c r="AE26" i="707"/>
  <c r="AG26" i="707" a="1"/>
  <c r="AG26" i="707"/>
  <c r="AH26" i="707" a="1"/>
  <c r="AH26" i="707" s="1"/>
  <c r="C27" i="707"/>
  <c r="A48" i="707"/>
  <c r="A50" i="707"/>
  <c r="A52" i="707"/>
  <c r="AA55" i="707"/>
  <c r="A57" i="707"/>
  <c r="A58" i="707"/>
  <c r="C32" i="707"/>
  <c r="A55" i="707"/>
  <c r="H55" i="707" s="1"/>
  <c r="I55" i="707"/>
  <c r="J33" i="707"/>
  <c r="K33" i="707"/>
  <c r="L33" i="707"/>
  <c r="Q33" i="707"/>
  <c r="R33" i="707"/>
  <c r="S33" i="707"/>
  <c r="J34" i="707"/>
  <c r="K34" i="707"/>
  <c r="L34" i="707"/>
  <c r="Q34" i="707"/>
  <c r="R34" i="707"/>
  <c r="S34" i="707"/>
  <c r="J35" i="707"/>
  <c r="K35" i="707"/>
  <c r="L35" i="707"/>
  <c r="Q35" i="707"/>
  <c r="R35" i="707"/>
  <c r="S35" i="707"/>
  <c r="J36" i="707"/>
  <c r="K36" i="707"/>
  <c r="L36" i="707"/>
  <c r="Q36" i="707"/>
  <c r="R36" i="707"/>
  <c r="S36" i="707"/>
  <c r="B38" i="707"/>
  <c r="B46" i="707"/>
  <c r="B47" i="707"/>
  <c r="B48" i="707"/>
  <c r="B49" i="707"/>
  <c r="B50" i="707"/>
  <c r="B51" i="707"/>
  <c r="B52" i="707"/>
  <c r="B54" i="707"/>
  <c r="B55" i="707"/>
  <c r="B56" i="707"/>
  <c r="B57" i="707"/>
  <c r="B58" i="707"/>
  <c r="B59" i="707"/>
  <c r="B62" i="707"/>
  <c r="B63" i="707"/>
  <c r="B64" i="707"/>
  <c r="B65" i="707"/>
  <c r="C3" i="705"/>
  <c r="X4" i="705"/>
  <c r="Y4" i="705"/>
  <c r="C5" i="705"/>
  <c r="AE7" i="705"/>
  <c r="B8" i="705"/>
  <c r="AE8" i="705"/>
  <c r="B9" i="705"/>
  <c r="AE9" i="705"/>
  <c r="AH9" i="705" a="1"/>
  <c r="AH9" i="705" s="1"/>
  <c r="AK9" i="705" a="1"/>
  <c r="AK9" i="705" s="1"/>
  <c r="AL9" i="705" a="1"/>
  <c r="AL9" i="705" s="1"/>
  <c r="B10" i="705"/>
  <c r="B11" i="705"/>
  <c r="AE11" i="705"/>
  <c r="AM11" i="705" a="1"/>
  <c r="AM11" i="705" s="1"/>
  <c r="AP11" i="705"/>
  <c r="B12" i="705"/>
  <c r="B13" i="705"/>
  <c r="AE13" i="705"/>
  <c r="B14" i="705"/>
  <c r="AE14" i="705"/>
  <c r="AG14" i="705" s="1" a="1"/>
  <c r="AG14" i="705" s="1"/>
  <c r="B15" i="705"/>
  <c r="B16" i="705"/>
  <c r="AE16" i="705"/>
  <c r="AG16" i="705" a="1"/>
  <c r="AG16" i="705" s="1"/>
  <c r="B17" i="705"/>
  <c r="B18" i="705"/>
  <c r="A18" i="705" s="1"/>
  <c r="B19" i="705"/>
  <c r="A19" i="705"/>
  <c r="B20" i="705"/>
  <c r="AE20" i="705"/>
  <c r="B21" i="705"/>
  <c r="AE21" i="705"/>
  <c r="AG21" i="705" s="1" a="1"/>
  <c r="AG21" i="705" s="1"/>
  <c r="B22" i="705"/>
  <c r="B23" i="705"/>
  <c r="AE23" i="705"/>
  <c r="AG23" i="705" a="1"/>
  <c r="AG23" i="705" s="1"/>
  <c r="AH23" i="705" a="1"/>
  <c r="AH23" i="705" s="1"/>
  <c r="B24" i="705"/>
  <c r="B25" i="705"/>
  <c r="B26" i="705"/>
  <c r="AE26" i="705"/>
  <c r="AH26" i="705" s="1" a="1"/>
  <c r="AH26" i="705" s="1"/>
  <c r="AG26" i="705" a="1"/>
  <c r="AG26" i="705" s="1"/>
  <c r="AK26" i="705" a="1"/>
  <c r="AK26" i="705" s="1"/>
  <c r="A57" i="705"/>
  <c r="H57" i="705" s="1"/>
  <c r="I57" i="705" s="1"/>
  <c r="M57" i="705" s="1"/>
  <c r="P57" i="705" s="1"/>
  <c r="J33" i="705"/>
  <c r="K33" i="705"/>
  <c r="L33" i="705"/>
  <c r="Q33" i="705"/>
  <c r="R33" i="705"/>
  <c r="S33" i="705"/>
  <c r="AA57" i="705"/>
  <c r="J34" i="705"/>
  <c r="K34" i="705"/>
  <c r="L34" i="705"/>
  <c r="Q34" i="705"/>
  <c r="R34" i="705"/>
  <c r="S34" i="705"/>
  <c r="J35" i="705"/>
  <c r="K35" i="705"/>
  <c r="L35" i="705"/>
  <c r="Q35" i="705"/>
  <c r="R35" i="705"/>
  <c r="S35" i="705"/>
  <c r="J36" i="705"/>
  <c r="K36" i="705"/>
  <c r="L36" i="705"/>
  <c r="Q36" i="705"/>
  <c r="R36" i="705"/>
  <c r="S36" i="705"/>
  <c r="B38" i="705"/>
  <c r="A38" i="705"/>
  <c r="AE38" i="705"/>
  <c r="B46" i="705"/>
  <c r="B47" i="705"/>
  <c r="B48" i="705"/>
  <c r="B49" i="705"/>
  <c r="B50" i="705"/>
  <c r="B51" i="705"/>
  <c r="B52" i="705"/>
  <c r="B54" i="705"/>
  <c r="B56" i="705"/>
  <c r="B57" i="705"/>
  <c r="B58" i="705"/>
  <c r="B59" i="705"/>
  <c r="B60" i="705"/>
  <c r="B61" i="705"/>
  <c r="B62" i="705"/>
  <c r="B65" i="705"/>
  <c r="C3" i="706"/>
  <c r="X4" i="706"/>
  <c r="Y4" i="706"/>
  <c r="C5" i="706"/>
  <c r="AE7" i="706"/>
  <c r="B8" i="706"/>
  <c r="A8" i="706" s="1"/>
  <c r="B9" i="706"/>
  <c r="A9" i="706"/>
  <c r="AE9" i="706"/>
  <c r="AG9" i="706" s="1" a="1"/>
  <c r="AG9" i="706" s="1"/>
  <c r="AK9" i="706" a="1"/>
  <c r="AK9" i="706" s="1"/>
  <c r="B10" i="706"/>
  <c r="B11" i="706"/>
  <c r="AE11" i="706"/>
  <c r="AG11" i="706" a="1"/>
  <c r="AG11" i="706"/>
  <c r="AK11" i="706" a="1"/>
  <c r="AK11" i="706" s="1"/>
  <c r="AL11" i="706" a="1"/>
  <c r="AL11" i="706" s="1"/>
  <c r="B12" i="706"/>
  <c r="A12" i="706"/>
  <c r="AE12" i="706"/>
  <c r="AH12" i="706" s="1" a="1"/>
  <c r="AH12" i="706" s="1"/>
  <c r="AL12" i="706" a="1"/>
  <c r="AL12" i="706" s="1"/>
  <c r="AM12" i="706" a="1"/>
  <c r="AM12" i="706" s="1"/>
  <c r="B13" i="706"/>
  <c r="A13" i="706"/>
  <c r="B14" i="706"/>
  <c r="AE14" i="706"/>
  <c r="AG14" i="706" a="1"/>
  <c r="AG14" i="706" s="1"/>
  <c r="AH14" i="706" a="1"/>
  <c r="AH14" i="706" s="1"/>
  <c r="B15" i="706"/>
  <c r="A15" i="706"/>
  <c r="AE15" i="706"/>
  <c r="AG15" i="706" a="1"/>
  <c r="AG15" i="706" s="1"/>
  <c r="AK15" i="706" a="1"/>
  <c r="AK15" i="706" s="1"/>
  <c r="C16" i="706"/>
  <c r="C21" i="706"/>
  <c r="AQ21" i="706"/>
  <c r="A35" i="706"/>
  <c r="H35" i="706" s="1"/>
  <c r="I35" i="706"/>
  <c r="A37" i="706"/>
  <c r="H37" i="706"/>
  <c r="I37" i="706" s="1"/>
  <c r="A38" i="706"/>
  <c r="A41" i="706"/>
  <c r="A42" i="706"/>
  <c r="A43" i="706"/>
  <c r="H43" i="706" s="1"/>
  <c r="I43" i="706" s="1"/>
  <c r="A45" i="706"/>
  <c r="H45" i="706" s="1"/>
  <c r="I45" i="706" s="1"/>
  <c r="A46" i="706"/>
  <c r="H46" i="706"/>
  <c r="I46" i="706"/>
  <c r="A47" i="706"/>
  <c r="H47" i="706"/>
  <c r="I47" i="706" s="1"/>
  <c r="A48" i="706"/>
  <c r="A49" i="706"/>
  <c r="H49" i="706"/>
  <c r="I49" i="706" s="1"/>
  <c r="A50" i="706"/>
  <c r="H50" i="706"/>
  <c r="I50" i="706" s="1"/>
  <c r="A51" i="706"/>
  <c r="H51" i="706" s="1"/>
  <c r="I51" i="706" s="1"/>
  <c r="A52" i="706"/>
  <c r="H52" i="706"/>
  <c r="I52" i="706"/>
  <c r="A53" i="706"/>
  <c r="H53" i="706" s="1"/>
  <c r="I53" i="706"/>
  <c r="A54" i="706"/>
  <c r="H54" i="706"/>
  <c r="I54" i="706" s="1"/>
  <c r="J22" i="706"/>
  <c r="K22" i="706"/>
  <c r="L22" i="706"/>
  <c r="Q22" i="706"/>
  <c r="R22" i="706"/>
  <c r="S22" i="706"/>
  <c r="AA35" i="706"/>
  <c r="AA37" i="706"/>
  <c r="AA43" i="706"/>
  <c r="AA45" i="706"/>
  <c r="AA46" i="706"/>
  <c r="AA47" i="706"/>
  <c r="AA49" i="706"/>
  <c r="AA50" i="706"/>
  <c r="AA51" i="706"/>
  <c r="AA52" i="706"/>
  <c r="AA53" i="706"/>
  <c r="AA54" i="706"/>
  <c r="AQ22" i="706"/>
  <c r="J23" i="706"/>
  <c r="K23" i="706"/>
  <c r="L23" i="706"/>
  <c r="Q23" i="706"/>
  <c r="R23" i="706"/>
  <c r="S23" i="706"/>
  <c r="AQ23" i="706"/>
  <c r="J24" i="706"/>
  <c r="K24" i="706"/>
  <c r="L24" i="706"/>
  <c r="Q24" i="706"/>
  <c r="R24" i="706"/>
  <c r="S24" i="706"/>
  <c r="AQ24" i="706"/>
  <c r="J25" i="706"/>
  <c r="K25" i="706"/>
  <c r="L25" i="706"/>
  <c r="Q25" i="706"/>
  <c r="R25" i="706"/>
  <c r="S25" i="706"/>
  <c r="AQ25" i="706"/>
  <c r="AQ26" i="706"/>
  <c r="B27" i="706"/>
  <c r="A27" i="706"/>
  <c r="AE27" i="706"/>
  <c r="AQ29" i="706"/>
  <c r="AH30" i="706"/>
  <c r="AQ30" i="706"/>
  <c r="B35" i="706"/>
  <c r="B36" i="706"/>
  <c r="B37" i="706"/>
  <c r="B38" i="706"/>
  <c r="B39" i="706"/>
  <c r="B40" i="706"/>
  <c r="B41" i="706"/>
  <c r="B43" i="706"/>
  <c r="B45" i="706"/>
  <c r="B46" i="706"/>
  <c r="B47" i="706"/>
  <c r="B48" i="706"/>
  <c r="B49" i="706"/>
  <c r="B50" i="706"/>
  <c r="B51" i="706"/>
  <c r="B52" i="706"/>
  <c r="B53" i="706"/>
  <c r="B54" i="706"/>
  <c r="C3" i="704"/>
  <c r="A22" i="704" s="1"/>
  <c r="X4" i="704"/>
  <c r="Y4" i="704"/>
  <c r="C5" i="704"/>
  <c r="AE7" i="704"/>
  <c r="B8" i="704"/>
  <c r="A8" i="704"/>
  <c r="AE8" i="704"/>
  <c r="AH8" i="704" s="1" a="1"/>
  <c r="AG8" i="704" a="1"/>
  <c r="AG8" i="704" s="1"/>
  <c r="AH8" i="704"/>
  <c r="AK8" i="704" a="1"/>
  <c r="AK8" i="704" s="1"/>
  <c r="B9" i="704"/>
  <c r="AE9" i="704"/>
  <c r="AG9" i="704" s="1" a="1"/>
  <c r="AG9" i="704" s="1"/>
  <c r="AK9" i="704" a="1"/>
  <c r="AK9" i="704"/>
  <c r="AL9" i="704" a="1"/>
  <c r="AL9" i="704" s="1"/>
  <c r="AM9" i="704" a="1"/>
  <c r="AM9" i="704" s="1"/>
  <c r="B10" i="704"/>
  <c r="A10" i="704"/>
  <c r="B11" i="704"/>
  <c r="A11" i="704"/>
  <c r="B12" i="704"/>
  <c r="AE12" i="704"/>
  <c r="AG12" i="704" s="1" a="1"/>
  <c r="AG12" i="704" s="1"/>
  <c r="AH12" i="704" a="1"/>
  <c r="AH12" i="704"/>
  <c r="AM12" i="704" a="1"/>
  <c r="AM12" i="704"/>
  <c r="B13" i="704"/>
  <c r="B14" i="704"/>
  <c r="A14" i="704" s="1"/>
  <c r="AE14" i="704"/>
  <c r="AL14" i="704" s="1" a="1"/>
  <c r="AL14" i="704" s="1"/>
  <c r="AG14" i="704" a="1"/>
  <c r="AG14" i="704" s="1"/>
  <c r="B15" i="704"/>
  <c r="A15" i="704" s="1"/>
  <c r="B16" i="704"/>
  <c r="A16" i="704" s="1"/>
  <c r="AE16" i="704"/>
  <c r="AM16" i="704" s="1" a="1"/>
  <c r="AM16" i="704" s="1"/>
  <c r="B17" i="704"/>
  <c r="AE17" i="704" s="1"/>
  <c r="A17" i="704"/>
  <c r="AG17" i="704" a="1"/>
  <c r="AG17" i="704" s="1"/>
  <c r="B18" i="704"/>
  <c r="A18" i="704" s="1"/>
  <c r="B19" i="704"/>
  <c r="AE19" i="704" s="1"/>
  <c r="B20" i="704"/>
  <c r="A20" i="704"/>
  <c r="B21" i="704"/>
  <c r="AE21" i="704"/>
  <c r="AG21" i="704" a="1"/>
  <c r="AG21" i="704"/>
  <c r="AH21" i="704" a="1"/>
  <c r="AH21" i="704" s="1"/>
  <c r="B22" i="704"/>
  <c r="B23" i="704"/>
  <c r="A23" i="704" s="1"/>
  <c r="AE23" i="704"/>
  <c r="AG23" i="704" s="1" a="1"/>
  <c r="AG23" i="704" s="1"/>
  <c r="AH23" i="704" a="1"/>
  <c r="AH23" i="704" s="1"/>
  <c r="AK23" i="704" a="1"/>
  <c r="AK23" i="704" s="1"/>
  <c r="B24" i="704"/>
  <c r="AE24" i="704"/>
  <c r="B25" i="704"/>
  <c r="B26" i="704"/>
  <c r="A26" i="704" s="1"/>
  <c r="AE26" i="704"/>
  <c r="AG26" i="704" s="1" a="1"/>
  <c r="AG26" i="704" s="1"/>
  <c r="AH26" i="704" a="1"/>
  <c r="AH26" i="704" s="1"/>
  <c r="B27" i="704"/>
  <c r="A27" i="704"/>
  <c r="C33" i="704"/>
  <c r="A60" i="704"/>
  <c r="A62" i="704"/>
  <c r="A67" i="704"/>
  <c r="A71" i="704"/>
  <c r="A72" i="704"/>
  <c r="J34" i="704"/>
  <c r="K34" i="704"/>
  <c r="L34" i="704"/>
  <c r="Q34" i="704"/>
  <c r="R34" i="704"/>
  <c r="S34" i="704"/>
  <c r="J35" i="704"/>
  <c r="K35" i="704"/>
  <c r="L35" i="704"/>
  <c r="Q35" i="704"/>
  <c r="R35" i="704"/>
  <c r="S35" i="704"/>
  <c r="J36" i="704"/>
  <c r="K36" i="704"/>
  <c r="L36" i="704"/>
  <c r="Q36" i="704"/>
  <c r="R36" i="704"/>
  <c r="S36" i="704"/>
  <c r="J37" i="704"/>
  <c r="K37" i="704"/>
  <c r="L37" i="704"/>
  <c r="Q37" i="704"/>
  <c r="R37" i="704"/>
  <c r="S37" i="704"/>
  <c r="B39" i="704"/>
  <c r="B43" i="704"/>
  <c r="A43" i="704"/>
  <c r="AE43" i="704"/>
  <c r="AH48" i="704"/>
  <c r="B53" i="704"/>
  <c r="B54" i="704"/>
  <c r="B56" i="704"/>
  <c r="B57" i="704"/>
  <c r="B58" i="704"/>
  <c r="B59" i="704"/>
  <c r="B61" i="704"/>
  <c r="B62" i="704"/>
  <c r="B63" i="704"/>
  <c r="B65" i="704"/>
  <c r="B66" i="704"/>
  <c r="B67" i="704"/>
  <c r="B68" i="704"/>
  <c r="B70" i="704"/>
  <c r="B71" i="704"/>
  <c r="C3" i="703"/>
  <c r="X4" i="703"/>
  <c r="Y4" i="703"/>
  <c r="C5" i="703"/>
  <c r="AE7" i="703"/>
  <c r="B8" i="703"/>
  <c r="A8" i="703" s="1"/>
  <c r="AE8" i="703"/>
  <c r="AH8" i="703" a="1"/>
  <c r="AH8" i="703" s="1"/>
  <c r="B9" i="703"/>
  <c r="A9" i="703" s="1"/>
  <c r="AE9" i="703"/>
  <c r="AG9" i="703" s="1" a="1"/>
  <c r="AG9" i="703" s="1"/>
  <c r="AK9" i="703" a="1"/>
  <c r="AK9" i="703" s="1"/>
  <c r="AM9" i="703" a="1"/>
  <c r="AM9" i="703" s="1"/>
  <c r="B10" i="703"/>
  <c r="A10" i="703"/>
  <c r="B11" i="703"/>
  <c r="AE11" i="703"/>
  <c r="AL11" i="703" a="1"/>
  <c r="AL11" i="703"/>
  <c r="AM11" i="703" a="1"/>
  <c r="AM11" i="703" s="1"/>
  <c r="B12" i="703"/>
  <c r="A12" i="703"/>
  <c r="AE12" i="703"/>
  <c r="AG12" i="703" a="1"/>
  <c r="AG12" i="703" s="1"/>
  <c r="AK12" i="703" a="1"/>
  <c r="AK12" i="703" s="1"/>
  <c r="AL12" i="703" a="1"/>
  <c r="AL12" i="703" s="1"/>
  <c r="B13" i="703"/>
  <c r="A13" i="703"/>
  <c r="AE13" i="703"/>
  <c r="AH13" i="703" a="1"/>
  <c r="AH13" i="703" s="1"/>
  <c r="AK13" i="703" a="1"/>
  <c r="AK13" i="703" s="1"/>
  <c r="B14" i="703"/>
  <c r="AE14" i="703"/>
  <c r="AH14" i="703" a="1"/>
  <c r="AH14" i="703" s="1"/>
  <c r="AK14" i="703" a="1"/>
  <c r="AK14" i="703" s="1"/>
  <c r="B15" i="703"/>
  <c r="A15" i="703" s="1"/>
  <c r="B16" i="703"/>
  <c r="AE16" i="703"/>
  <c r="AG16" i="703" a="1"/>
  <c r="AG16" i="703" s="1"/>
  <c r="B17" i="703"/>
  <c r="B18" i="703"/>
  <c r="A18" i="703"/>
  <c r="AE18" i="703"/>
  <c r="AG18" i="703" s="1" a="1"/>
  <c r="AG18" i="703" s="1"/>
  <c r="AH18" i="703" a="1"/>
  <c r="AH18" i="703" s="1"/>
  <c r="B19" i="703"/>
  <c r="A19" i="703"/>
  <c r="AE19" i="703"/>
  <c r="AG19" i="703" a="1"/>
  <c r="AG19" i="703"/>
  <c r="AH19" i="703" a="1"/>
  <c r="AH19" i="703" s="1"/>
  <c r="AK19" i="703" a="1"/>
  <c r="AK19" i="703" s="1"/>
  <c r="AL19" i="703" a="1"/>
  <c r="AL19" i="703" s="1"/>
  <c r="AM19" i="703" a="1"/>
  <c r="AM19" i="703" s="1"/>
  <c r="B20" i="703"/>
  <c r="B21" i="703"/>
  <c r="A21" i="703"/>
  <c r="AE21" i="703"/>
  <c r="B22" i="703"/>
  <c r="A22" i="703"/>
  <c r="AE22" i="703"/>
  <c r="AH22" i="703" a="1"/>
  <c r="AH22" i="703" s="1"/>
  <c r="AM22" i="703" a="1"/>
  <c r="AM22" i="703" s="1"/>
  <c r="B23" i="703"/>
  <c r="B24" i="703"/>
  <c r="B25" i="703"/>
  <c r="A25" i="703"/>
  <c r="AE25" i="703"/>
  <c r="AG25" i="703" a="1"/>
  <c r="AG25" i="703" s="1"/>
  <c r="AH25" i="703" a="1"/>
  <c r="AH25" i="703" s="1"/>
  <c r="AK25" i="703" a="1"/>
  <c r="AK25" i="703" s="1"/>
  <c r="AL25" i="703" a="1"/>
  <c r="AL25" i="703" s="1"/>
  <c r="AM25" i="703" a="1"/>
  <c r="AM25" i="703" s="1"/>
  <c r="B26" i="703"/>
  <c r="B27" i="703"/>
  <c r="AE27" i="703"/>
  <c r="AG27" i="703" a="1"/>
  <c r="AG27" i="703" s="1"/>
  <c r="C28" i="703"/>
  <c r="C33" i="703"/>
  <c r="A48" i="703"/>
  <c r="A49" i="703"/>
  <c r="A51" i="703"/>
  <c r="A57" i="703"/>
  <c r="A58" i="703"/>
  <c r="A64" i="703"/>
  <c r="J34" i="703"/>
  <c r="K34" i="703"/>
  <c r="L34" i="703"/>
  <c r="Q34" i="703"/>
  <c r="R34" i="703"/>
  <c r="S34" i="703"/>
  <c r="J35" i="703"/>
  <c r="K35" i="703"/>
  <c r="L35" i="703"/>
  <c r="Q35" i="703"/>
  <c r="R35" i="703"/>
  <c r="S35" i="703"/>
  <c r="J36" i="703"/>
  <c r="K36" i="703"/>
  <c r="L36" i="703"/>
  <c r="Q36" i="703"/>
  <c r="R36" i="703"/>
  <c r="S36" i="703"/>
  <c r="J37" i="703"/>
  <c r="K37" i="703"/>
  <c r="L37" i="703"/>
  <c r="Q37" i="703"/>
  <c r="R37" i="703"/>
  <c r="S37" i="703"/>
  <c r="B39" i="703"/>
  <c r="A39" i="703"/>
  <c r="B47" i="703"/>
  <c r="B48" i="703"/>
  <c r="B49" i="703"/>
  <c r="B50" i="703"/>
  <c r="B51" i="703"/>
  <c r="B52" i="703"/>
  <c r="B53" i="703"/>
  <c r="B56" i="703"/>
  <c r="B57" i="703"/>
  <c r="B60" i="703"/>
  <c r="B61" i="703"/>
  <c r="B62" i="703"/>
  <c r="B63" i="703"/>
  <c r="B64" i="703"/>
  <c r="B65" i="703"/>
  <c r="B66" i="703"/>
  <c r="C3" i="702"/>
  <c r="X4" i="702"/>
  <c r="Y4" i="702"/>
  <c r="C5" i="702"/>
  <c r="AE7" i="702"/>
  <c r="B8" i="702"/>
  <c r="AE8" i="702"/>
  <c r="B9" i="702"/>
  <c r="B10" i="702"/>
  <c r="A10" i="702"/>
  <c r="AE10" i="702"/>
  <c r="AK10" i="702" s="1" a="1"/>
  <c r="AK10" i="702" s="1"/>
  <c r="AG10" i="702" a="1"/>
  <c r="AG10" i="702" s="1"/>
  <c r="AH10" i="702" a="1"/>
  <c r="AH10" i="702"/>
  <c r="AM10" i="702" a="1"/>
  <c r="AM10" i="702"/>
  <c r="B11" i="702"/>
  <c r="A11" i="702"/>
  <c r="B12" i="702"/>
  <c r="A12" i="702" s="1"/>
  <c r="AE12" i="702"/>
  <c r="B13" i="702"/>
  <c r="A13" i="702"/>
  <c r="AE13" i="702"/>
  <c r="AG13" i="702" a="1"/>
  <c r="AG13" i="702" s="1"/>
  <c r="AH13" i="702" a="1"/>
  <c r="AH13" i="702" s="1"/>
  <c r="B14" i="702"/>
  <c r="A14" i="702"/>
  <c r="AE14" i="702"/>
  <c r="B15" i="702"/>
  <c r="A15" i="702"/>
  <c r="AE15" i="702"/>
  <c r="B16" i="702"/>
  <c r="A16" i="702" s="1"/>
  <c r="AE16" i="702"/>
  <c r="B17" i="702"/>
  <c r="AE17" i="702"/>
  <c r="AG17" i="702" a="1"/>
  <c r="AG17" i="702" s="1"/>
  <c r="B18" i="702"/>
  <c r="A18" i="702"/>
  <c r="B19" i="702"/>
  <c r="AE19" i="702"/>
  <c r="AK19" i="702" s="1" a="1"/>
  <c r="AK19" i="702" s="1"/>
  <c r="AH19" i="702" a="1"/>
  <c r="AH19" i="702" s="1"/>
  <c r="AL19" i="702" a="1"/>
  <c r="AL19" i="702"/>
  <c r="AM19" i="702" a="1"/>
  <c r="AM19" i="702" s="1"/>
  <c r="B20" i="702"/>
  <c r="A20" i="702" s="1"/>
  <c r="AE20" i="702"/>
  <c r="AM20" i="702" s="1" a="1"/>
  <c r="AH20" i="702" a="1"/>
  <c r="AH20" i="702" s="1"/>
  <c r="AK20" i="702" a="1"/>
  <c r="AK20" i="702"/>
  <c r="AL20" i="702" a="1"/>
  <c r="AL20" i="702"/>
  <c r="AM20" i="702"/>
  <c r="B21" i="702"/>
  <c r="AE21" i="702"/>
  <c r="AG21" i="702" a="1"/>
  <c r="AG21" i="702" s="1"/>
  <c r="AH21" i="702" a="1"/>
  <c r="AH21" i="702" s="1"/>
  <c r="AK21" i="702" a="1"/>
  <c r="AK21" i="702" s="1"/>
  <c r="AL21" i="702" a="1"/>
  <c r="AL21" i="702" s="1"/>
  <c r="AM21" i="702" a="1"/>
  <c r="AM21" i="702" s="1"/>
  <c r="B22" i="702"/>
  <c r="A22" i="702" s="1"/>
  <c r="B23" i="702"/>
  <c r="A23" i="702" s="1"/>
  <c r="AE23" i="702"/>
  <c r="AL23" i="702" s="1" a="1"/>
  <c r="AL23" i="702" s="1"/>
  <c r="AK23" i="702" a="1"/>
  <c r="AK23" i="702" s="1"/>
  <c r="B24" i="702"/>
  <c r="AE24" i="702"/>
  <c r="B25" i="702"/>
  <c r="A25" i="702"/>
  <c r="AE25" i="702"/>
  <c r="AG25" i="702" a="1"/>
  <c r="AG25" i="702"/>
  <c r="AH25" i="702" a="1"/>
  <c r="AH25" i="702" s="1"/>
  <c r="AK25" i="702" a="1"/>
  <c r="AK25" i="702"/>
  <c r="B26" i="702"/>
  <c r="A26" i="702"/>
  <c r="AE26" i="702"/>
  <c r="AG26" i="702" a="1"/>
  <c r="AG26" i="702"/>
  <c r="B27" i="702"/>
  <c r="A27" i="702" s="1"/>
  <c r="A53" i="702"/>
  <c r="A57" i="702"/>
  <c r="A61" i="702"/>
  <c r="A64" i="702"/>
  <c r="A65" i="702"/>
  <c r="C33" i="702"/>
  <c r="J34" i="702"/>
  <c r="K34" i="702"/>
  <c r="L34" i="702"/>
  <c r="Q34" i="702"/>
  <c r="R34" i="702"/>
  <c r="S34" i="702"/>
  <c r="J35" i="702"/>
  <c r="K35" i="702"/>
  <c r="L35" i="702"/>
  <c r="Q35" i="702"/>
  <c r="R35" i="702"/>
  <c r="S35" i="702"/>
  <c r="J36" i="702"/>
  <c r="K36" i="702"/>
  <c r="L36" i="702"/>
  <c r="Q36" i="702"/>
  <c r="R36" i="702"/>
  <c r="S36" i="702"/>
  <c r="J37" i="702"/>
  <c r="K37" i="702"/>
  <c r="L37" i="702"/>
  <c r="Q37" i="702"/>
  <c r="R37" i="702"/>
  <c r="S37" i="702"/>
  <c r="B39" i="702"/>
  <c r="B47" i="702"/>
  <c r="B49" i="702"/>
  <c r="B50" i="702"/>
  <c r="B51" i="702"/>
  <c r="B52" i="702"/>
  <c r="B53" i="702"/>
  <c r="B55" i="702"/>
  <c r="B56" i="702"/>
  <c r="B57" i="702"/>
  <c r="B58" i="702"/>
  <c r="B59" i="702"/>
  <c r="B60" i="702"/>
  <c r="B61" i="702"/>
  <c r="B62" i="702"/>
  <c r="B63" i="702"/>
  <c r="B65" i="702"/>
  <c r="B66" i="702"/>
  <c r="C3" i="701"/>
  <c r="X4" i="701"/>
  <c r="Y4" i="701"/>
  <c r="C5" i="701"/>
  <c r="AE7" i="701"/>
  <c r="B8" i="701"/>
  <c r="B9" i="701"/>
  <c r="B10" i="701"/>
  <c r="B11" i="701"/>
  <c r="B50" i="701" s="1"/>
  <c r="A11" i="701"/>
  <c r="B12" i="701"/>
  <c r="AE12" i="701"/>
  <c r="AL12" i="701" s="1" a="1"/>
  <c r="AL12" i="701"/>
  <c r="AM12" i="701" a="1"/>
  <c r="AM12" i="701"/>
  <c r="B13" i="701"/>
  <c r="B14" i="701"/>
  <c r="AE14" i="701"/>
  <c r="AK14" i="701" a="1"/>
  <c r="AK14" i="701" s="1"/>
  <c r="AM14" i="701" a="1"/>
  <c r="AM14" i="701"/>
  <c r="B15" i="701"/>
  <c r="A15" i="701"/>
  <c r="A54" i="701" s="1"/>
  <c r="B16" i="701"/>
  <c r="AE16" i="701"/>
  <c r="B17" i="701"/>
  <c r="AE17" i="701" s="1"/>
  <c r="B18" i="701"/>
  <c r="A18" i="701"/>
  <c r="B19" i="701"/>
  <c r="AE19" i="701"/>
  <c r="B20" i="701"/>
  <c r="AE20" i="701"/>
  <c r="AM20" i="701" s="1" a="1"/>
  <c r="AG20" i="701" a="1"/>
  <c r="AG20" i="701" s="1"/>
  <c r="AH20" i="701" a="1"/>
  <c r="AH20" i="701"/>
  <c r="AK20" i="701" a="1"/>
  <c r="AK20" i="701" s="1"/>
  <c r="AL20" i="701" a="1"/>
  <c r="AL20" i="701" s="1"/>
  <c r="AM20" i="701"/>
  <c r="B21" i="701"/>
  <c r="AE21" i="701"/>
  <c r="AL21" i="701" s="1" a="1"/>
  <c r="AL21" i="701" s="1"/>
  <c r="AG21" i="701" a="1"/>
  <c r="AG21" i="701" s="1"/>
  <c r="AH21" i="701" a="1"/>
  <c r="AH21" i="701" s="1"/>
  <c r="AK21" i="701" a="1"/>
  <c r="AK21" i="701" s="1"/>
  <c r="AM21" i="701" a="1"/>
  <c r="AM21" i="701" s="1"/>
  <c r="B22" i="701"/>
  <c r="A22" i="701"/>
  <c r="B23" i="701"/>
  <c r="A23" i="701" s="1"/>
  <c r="AE23" i="701"/>
  <c r="AG23" i="701" s="1" a="1"/>
  <c r="AG23" i="701" s="1"/>
  <c r="AK23" i="701" a="1"/>
  <c r="AK23" i="701" s="1"/>
  <c r="B24" i="701"/>
  <c r="AE24" i="701"/>
  <c r="AH24" i="701" s="1" a="1"/>
  <c r="AH24" i="701" s="1"/>
  <c r="B25" i="701"/>
  <c r="A25" i="701" s="1"/>
  <c r="B26" i="701"/>
  <c r="A26" i="701" s="1"/>
  <c r="B27" i="701"/>
  <c r="A27" i="701" s="1"/>
  <c r="C33" i="701"/>
  <c r="J34" i="701"/>
  <c r="K34" i="701"/>
  <c r="L34" i="701"/>
  <c r="Q34" i="701"/>
  <c r="R34" i="701"/>
  <c r="S34" i="701"/>
  <c r="J35" i="701"/>
  <c r="K35" i="701"/>
  <c r="L35" i="701"/>
  <c r="Q35" i="701"/>
  <c r="R35" i="701"/>
  <c r="S35" i="701"/>
  <c r="J36" i="701"/>
  <c r="K36" i="701"/>
  <c r="L36" i="701"/>
  <c r="Q36" i="701"/>
  <c r="R36" i="701"/>
  <c r="S36" i="701"/>
  <c r="J37" i="701"/>
  <c r="K37" i="701"/>
  <c r="L37" i="701"/>
  <c r="Q37" i="701"/>
  <c r="R37" i="701"/>
  <c r="S37" i="701"/>
  <c r="B39" i="701"/>
  <c r="A39" i="701"/>
  <c r="AC42" i="701"/>
  <c r="B47" i="701"/>
  <c r="B48" i="701"/>
  <c r="B51" i="701"/>
  <c r="B52" i="701"/>
  <c r="B53" i="701"/>
  <c r="B54" i="701"/>
  <c r="B55" i="701"/>
  <c r="B56" i="701"/>
  <c r="B57" i="701"/>
  <c r="B59" i="701"/>
  <c r="B60" i="701"/>
  <c r="B62" i="701"/>
  <c r="B63" i="701"/>
  <c r="B64" i="701"/>
  <c r="B65" i="701"/>
  <c r="B66" i="701"/>
  <c r="C3" i="346"/>
  <c r="X4" i="346"/>
  <c r="Y4" i="346"/>
  <c r="C5" i="346"/>
  <c r="AE7" i="346"/>
  <c r="B8" i="346"/>
  <c r="A8" i="346"/>
  <c r="AE8" i="346"/>
  <c r="AK8" i="346" s="1" a="1"/>
  <c r="AK8" i="346" s="1"/>
  <c r="AH8" i="346" a="1"/>
  <c r="AH8" i="346"/>
  <c r="AL8" i="346" a="1"/>
  <c r="AL8" i="346"/>
  <c r="AM8" i="346" a="1"/>
  <c r="AM8" i="346"/>
  <c r="B9" i="346"/>
  <c r="AE9" i="346"/>
  <c r="AG9" i="346" a="1"/>
  <c r="AG9" i="346" s="1"/>
  <c r="AH9" i="346" a="1"/>
  <c r="AH9" i="346" s="1"/>
  <c r="B10" i="346"/>
  <c r="A10" i="346"/>
  <c r="B11" i="346"/>
  <c r="AE11" i="346"/>
  <c r="AK11" i="346" s="1" a="1"/>
  <c r="AK11" i="346" s="1"/>
  <c r="B12" i="346"/>
  <c r="A12" i="346"/>
  <c r="AE12" i="346"/>
  <c r="AK12" i="346" a="1"/>
  <c r="AK12" i="346"/>
  <c r="AL12" i="346" a="1"/>
  <c r="AL12" i="346" s="1"/>
  <c r="B13" i="346"/>
  <c r="AE13" i="346"/>
  <c r="AG13" i="346" s="1" a="1"/>
  <c r="AG13" i="346" s="1"/>
  <c r="AH13" i="346" a="1"/>
  <c r="AH13" i="346"/>
  <c r="AK13" i="346" a="1"/>
  <c r="AK13" i="346" s="1"/>
  <c r="B14" i="346"/>
  <c r="A14" i="346"/>
  <c r="B15" i="346"/>
  <c r="AE15" i="346"/>
  <c r="AG15" i="346" a="1"/>
  <c r="AG15" i="346"/>
  <c r="AH15" i="346" a="1"/>
  <c r="AH15" i="346"/>
  <c r="B16" i="346"/>
  <c r="A16" i="346"/>
  <c r="AO16" i="346"/>
  <c r="B17" i="346"/>
  <c r="B18" i="346"/>
  <c r="B19" i="346"/>
  <c r="A19" i="346" s="1"/>
  <c r="B20" i="346"/>
  <c r="AE20" i="346"/>
  <c r="AK20" i="346" s="1" a="1"/>
  <c r="AK20" i="346" s="1"/>
  <c r="B21" i="346"/>
  <c r="A21" i="346"/>
  <c r="B22" i="346"/>
  <c r="AE22" i="346" s="1"/>
  <c r="A22" i="346"/>
  <c r="B23" i="346"/>
  <c r="A23" i="346"/>
  <c r="B24" i="346"/>
  <c r="A24" i="346" s="1"/>
  <c r="AE24" i="346"/>
  <c r="AG24" i="346" s="1" a="1"/>
  <c r="AG24" i="346" s="1"/>
  <c r="AM24" i="346" a="1"/>
  <c r="AM24" i="346"/>
  <c r="B25" i="346"/>
  <c r="A25" i="346"/>
  <c r="B26" i="346"/>
  <c r="A26" i="346" s="1"/>
  <c r="AE26" i="346"/>
  <c r="AG26" i="346" a="1"/>
  <c r="AG26" i="346"/>
  <c r="AH26" i="346" a="1"/>
  <c r="AH26" i="346"/>
  <c r="B27" i="346"/>
  <c r="A49" i="346"/>
  <c r="A53" i="346"/>
  <c r="A55" i="346"/>
  <c r="A65" i="346"/>
  <c r="J34" i="346"/>
  <c r="K34" i="346"/>
  <c r="L34" i="346"/>
  <c r="Q34" i="346"/>
  <c r="R34" i="346"/>
  <c r="S34" i="346"/>
  <c r="J35" i="346"/>
  <c r="K35" i="346"/>
  <c r="L35" i="346"/>
  <c r="Q35" i="346"/>
  <c r="R35" i="346"/>
  <c r="S35" i="346"/>
  <c r="J36" i="346"/>
  <c r="K36" i="346"/>
  <c r="L36" i="346"/>
  <c r="Q36" i="346"/>
  <c r="R36" i="346"/>
  <c r="S36" i="346"/>
  <c r="J37" i="346"/>
  <c r="K37" i="346"/>
  <c r="L37" i="346"/>
  <c r="Q37" i="346"/>
  <c r="R37" i="346"/>
  <c r="S37" i="346"/>
  <c r="B39" i="346"/>
  <c r="A39" i="346" s="1"/>
  <c r="AU39" i="346"/>
  <c r="AV39" i="346"/>
  <c r="AH42" i="346"/>
  <c r="B47" i="346"/>
  <c r="B48" i="346"/>
  <c r="B50" i="346"/>
  <c r="B52" i="346"/>
  <c r="B54" i="346"/>
  <c r="B55" i="346"/>
  <c r="B57" i="346"/>
  <c r="B58" i="346"/>
  <c r="B59" i="346"/>
  <c r="B63" i="346"/>
  <c r="B65" i="346"/>
  <c r="C2" i="881"/>
  <c r="D24" i="881"/>
  <c r="D2" i="881"/>
  <c r="E2" i="881"/>
  <c r="F24" i="881"/>
  <c r="F2" i="881"/>
  <c r="G2" i="881"/>
  <c r="H24" i="881"/>
  <c r="H2" i="881"/>
  <c r="I2" i="881"/>
  <c r="J24" i="881"/>
  <c r="J2" i="881"/>
  <c r="K2" i="881"/>
  <c r="L24" i="881"/>
  <c r="L2" i="881" s="1"/>
  <c r="M2" i="881"/>
  <c r="N24" i="881"/>
  <c r="N2" i="881"/>
  <c r="C4" i="881"/>
  <c r="C5" i="881" s="1"/>
  <c r="D4" i="881"/>
  <c r="D14" i="881" s="1"/>
  <c r="E4" i="881"/>
  <c r="E5" i="881" s="1"/>
  <c r="E6" i="881" s="1"/>
  <c r="F4" i="881"/>
  <c r="F5" i="881" s="1"/>
  <c r="G4" i="881"/>
  <c r="G5" i="881" s="1"/>
  <c r="G6" i="881" s="1"/>
  <c r="H4" i="881"/>
  <c r="I4" i="881"/>
  <c r="J4" i="881"/>
  <c r="K4" i="881"/>
  <c r="L4" i="881"/>
  <c r="L5" i="881" s="1"/>
  <c r="M4" i="881"/>
  <c r="M5" i="881" s="1"/>
  <c r="N4" i="881"/>
  <c r="N5" i="881" s="1"/>
  <c r="N6" i="881" s="1"/>
  <c r="H5" i="881"/>
  <c r="H15" i="881" s="1"/>
  <c r="I5" i="881"/>
  <c r="I6" i="881" s="1"/>
  <c r="J5" i="881"/>
  <c r="J6" i="881" s="1"/>
  <c r="J16" i="881" s="1"/>
  <c r="K5" i="881"/>
  <c r="K6" i="881" s="1"/>
  <c r="H6" i="881"/>
  <c r="H16" i="881" s="1"/>
  <c r="L6" i="881"/>
  <c r="M6" i="881"/>
  <c r="M8" i="881"/>
  <c r="M9" i="881" s="1"/>
  <c r="N8" i="881"/>
  <c r="N9" i="881"/>
  <c r="C10" i="881"/>
  <c r="D10" i="881"/>
  <c r="D20" i="881" s="1"/>
  <c r="E10" i="881"/>
  <c r="F10" i="881"/>
  <c r="F20" i="881" s="1"/>
  <c r="G10" i="881"/>
  <c r="H10" i="881"/>
  <c r="H20" i="881" s="1"/>
  <c r="I10" i="881"/>
  <c r="J10" i="881"/>
  <c r="K10" i="881"/>
  <c r="L10" i="881"/>
  <c r="M10" i="881"/>
  <c r="N10" i="881"/>
  <c r="E12" i="881"/>
  <c r="F12" i="881"/>
  <c r="H12" i="881"/>
  <c r="J12" i="881"/>
  <c r="J13" i="881" s="1"/>
  <c r="L12" i="881"/>
  <c r="L15" i="881" s="1"/>
  <c r="N12" i="881"/>
  <c r="B13" i="881"/>
  <c r="C13" i="881"/>
  <c r="D13" i="881"/>
  <c r="E13" i="881"/>
  <c r="F13" i="881"/>
  <c r="H13" i="881"/>
  <c r="B14" i="881"/>
  <c r="H14" i="881"/>
  <c r="J14" i="881"/>
  <c r="B15" i="881"/>
  <c r="B16" i="881"/>
  <c r="C17" i="881"/>
  <c r="D17" i="881"/>
  <c r="F17" i="881"/>
  <c r="H17" i="881"/>
  <c r="J17" i="881"/>
  <c r="L17" i="881"/>
  <c r="N17" i="881"/>
  <c r="B18" i="881"/>
  <c r="B19" i="881"/>
  <c r="B20" i="881"/>
  <c r="C20" i="881"/>
  <c r="E20" i="881"/>
  <c r="J20" i="881"/>
  <c r="L20" i="881"/>
  <c r="N20" i="881"/>
  <c r="E26" i="881"/>
  <c r="F26" i="881"/>
  <c r="G26" i="881"/>
  <c r="I26" i="881" s="1"/>
  <c r="K26" i="881" s="1"/>
  <c r="M26" i="881" s="1"/>
  <c r="H26" i="881"/>
  <c r="J26" i="881"/>
  <c r="L26" i="881"/>
  <c r="N26" i="881"/>
  <c r="E10" i="708"/>
  <c r="D10" i="708"/>
  <c r="E25" i="708"/>
  <c r="D25" i="708"/>
  <c r="D11" i="708"/>
  <c r="E11" i="708"/>
  <c r="E28" i="708"/>
  <c r="D28" i="708"/>
  <c r="E12" i="708"/>
  <c r="D12" i="708"/>
  <c r="D8" i="708"/>
  <c r="E8" i="708"/>
  <c r="E9" i="708"/>
  <c r="D9" i="708"/>
  <c r="C49" i="708"/>
  <c r="C40" i="708"/>
  <c r="C50" i="708"/>
  <c r="C41" i="708"/>
  <c r="C51" i="708"/>
  <c r="C42" i="708"/>
  <c r="C35" i="708"/>
  <c r="C45" i="708"/>
  <c r="C54" i="708"/>
  <c r="C56" i="707"/>
  <c r="C48" i="708"/>
  <c r="C38" i="708"/>
  <c r="C52" i="707"/>
  <c r="C53" i="708"/>
  <c r="C43" i="708"/>
  <c r="C58" i="707"/>
  <c r="C49" i="705"/>
  <c r="C54" i="707"/>
  <c r="C51" i="705"/>
  <c r="C47" i="707"/>
  <c r="C63" i="707"/>
  <c r="C37" i="708"/>
  <c r="C57" i="707"/>
  <c r="C59" i="705"/>
  <c r="C59" i="707"/>
  <c r="C47" i="705"/>
  <c r="C62" i="705"/>
  <c r="C48" i="705"/>
  <c r="C46" i="707"/>
  <c r="C62" i="707"/>
  <c r="C65" i="705"/>
  <c r="C50" i="705"/>
  <c r="C49" i="707"/>
  <c r="C41" i="706"/>
  <c r="C50" i="707"/>
  <c r="C51" i="706"/>
  <c r="C51" i="707"/>
  <c r="C52" i="705"/>
  <c r="C43" i="706"/>
  <c r="C52" i="706"/>
  <c r="C66" i="704"/>
  <c r="C54" i="705"/>
  <c r="C53" i="706"/>
  <c r="C68" i="704"/>
  <c r="C55" i="707"/>
  <c r="C56" i="705"/>
  <c r="C45" i="706"/>
  <c r="C60" i="705"/>
  <c r="C64" i="707"/>
  <c r="C65" i="707"/>
  <c r="C46" i="705"/>
  <c r="C35" i="706"/>
  <c r="C49" i="706"/>
  <c r="C36" i="706"/>
  <c r="C48" i="707"/>
  <c r="C50" i="706"/>
  <c r="C37" i="706"/>
  <c r="C38" i="706"/>
  <c r="C54" i="704"/>
  <c r="C71" i="704"/>
  <c r="C57" i="703"/>
  <c r="C39" i="706"/>
  <c r="C57" i="705"/>
  <c r="C47" i="706"/>
  <c r="C67" i="704"/>
  <c r="C48" i="706"/>
  <c r="C61" i="705"/>
  <c r="C70" i="704"/>
  <c r="C53" i="704"/>
  <c r="C52" i="708"/>
  <c r="C61" i="704"/>
  <c r="C50" i="703"/>
  <c r="C66" i="703"/>
  <c r="C47" i="703"/>
  <c r="C48" i="703"/>
  <c r="C59" i="702"/>
  <c r="C56" i="704"/>
  <c r="C49" i="703"/>
  <c r="C60" i="702"/>
  <c r="C58" i="705"/>
  <c r="C57" i="704"/>
  <c r="C61" i="702"/>
  <c r="C58" i="704"/>
  <c r="C51" i="703"/>
  <c r="C59" i="704"/>
  <c r="C52" i="703"/>
  <c r="C53" i="703"/>
  <c r="C40" i="706"/>
  <c r="C55" i="702"/>
  <c r="C56" i="702"/>
  <c r="C56" i="701"/>
  <c r="C62" i="704"/>
  <c r="C58" i="702"/>
  <c r="C46" i="706"/>
  <c r="C63" i="704"/>
  <c r="C56" i="703"/>
  <c r="C59" i="701"/>
  <c r="C65" i="704"/>
  <c r="C64" i="703"/>
  <c r="C49" i="702"/>
  <c r="C66" i="702"/>
  <c r="C54" i="706"/>
  <c r="C53" i="702"/>
  <c r="C57" i="701"/>
  <c r="C65" i="703"/>
  <c r="C52" i="346"/>
  <c r="C60" i="701"/>
  <c r="C47" i="346"/>
  <c r="C57" i="702"/>
  <c r="C62" i="701"/>
  <c r="C63" i="701"/>
  <c r="C54" i="346"/>
  <c r="C63" i="346"/>
  <c r="C63" i="703"/>
  <c r="C51" i="702"/>
  <c r="C55" i="346"/>
  <c r="C54" i="701"/>
  <c r="C48" i="346"/>
  <c r="C59" i="346"/>
  <c r="C50" i="346"/>
  <c r="C64" i="701"/>
  <c r="C61" i="703"/>
  <c r="C62" i="702"/>
  <c r="C47" i="701"/>
  <c r="C65" i="701"/>
  <c r="C52" i="702"/>
  <c r="C63" i="702"/>
  <c r="C48" i="701"/>
  <c r="C66" i="701"/>
  <c r="C65" i="346"/>
  <c r="C60" i="703"/>
  <c r="C65" i="702"/>
  <c r="C53" i="701"/>
  <c r="C55" i="701"/>
  <c r="C47" i="702"/>
  <c r="C50" i="702"/>
  <c r="C52" i="701"/>
  <c r="C62" i="703"/>
  <c r="C58" i="346"/>
  <c r="C51" i="701"/>
  <c r="C57" i="346"/>
  <c r="C50" i="701"/>
  <c r="B46" i="708" l="1"/>
  <c r="B36" i="708"/>
  <c r="B13" i="708"/>
  <c r="AE25" i="708"/>
  <c r="AL25" i="708" s="1" a="1"/>
  <c r="AL25" i="708" s="1"/>
  <c r="M54" i="708"/>
  <c r="P54" i="708" s="1"/>
  <c r="W54" i="708" s="1"/>
  <c r="M49" i="708"/>
  <c r="P49" i="708" s="1"/>
  <c r="T49" i="708"/>
  <c r="T40" i="708"/>
  <c r="M40" i="708"/>
  <c r="P40" i="708" s="1"/>
  <c r="AK12" i="708" a="1"/>
  <c r="AK12" i="708" s="1"/>
  <c r="AG12" i="708" a="1"/>
  <c r="AG12" i="708" s="1"/>
  <c r="AH12" i="708" a="1"/>
  <c r="AH12" i="708" s="1"/>
  <c r="T53" i="708"/>
  <c r="W53" i="708" s="1"/>
  <c r="T48" i="708"/>
  <c r="W48" i="708" s="1"/>
  <c r="M38" i="708"/>
  <c r="P38" i="708" s="1"/>
  <c r="W38" i="708" s="1"/>
  <c r="E40" i="701"/>
  <c r="D40" i="701"/>
  <c r="E40" i="346"/>
  <c r="D40" i="346"/>
  <c r="D40" i="702"/>
  <c r="E40" i="702"/>
  <c r="D29" i="346"/>
  <c r="D31" i="346"/>
  <c r="D34" i="346"/>
  <c r="D36" i="346"/>
  <c r="D32" i="346"/>
  <c r="D30" i="346"/>
  <c r="D35" i="346"/>
  <c r="E29" i="346"/>
  <c r="E31" i="346"/>
  <c r="E30" i="346"/>
  <c r="E36" i="346"/>
  <c r="E32" i="346"/>
  <c r="E34" i="346"/>
  <c r="E35" i="346"/>
  <c r="E30" i="701"/>
  <c r="E32" i="701"/>
  <c r="E31" i="701"/>
  <c r="E36" i="701"/>
  <c r="E29" i="701"/>
  <c r="E37" i="701" s="1"/>
  <c r="E34" i="701"/>
  <c r="E35" i="701"/>
  <c r="D36" i="701"/>
  <c r="D29" i="701"/>
  <c r="D37" i="701" s="1"/>
  <c r="D30" i="701"/>
  <c r="D34" i="701"/>
  <c r="D32" i="701"/>
  <c r="D35" i="701"/>
  <c r="D31" i="701"/>
  <c r="D34" i="702"/>
  <c r="D36" i="702"/>
  <c r="D35" i="702"/>
  <c r="D30" i="702"/>
  <c r="D29" i="702"/>
  <c r="D32" i="702"/>
  <c r="D31" i="702"/>
  <c r="E29" i="702"/>
  <c r="E37" i="702" s="1"/>
  <c r="E31" i="702"/>
  <c r="E35" i="702"/>
  <c r="E30" i="702"/>
  <c r="E36" i="702"/>
  <c r="E34" i="702"/>
  <c r="E32" i="702"/>
  <c r="E30" i="703"/>
  <c r="E32" i="703"/>
  <c r="E34" i="703"/>
  <c r="E36" i="703"/>
  <c r="E29" i="703"/>
  <c r="E35" i="703"/>
  <c r="E31" i="703"/>
  <c r="E37" i="703" s="1"/>
  <c r="D35" i="703"/>
  <c r="D36" i="703"/>
  <c r="D31" i="703"/>
  <c r="D32" i="703"/>
  <c r="D30" i="703"/>
  <c r="D34" i="703"/>
  <c r="D29" i="703"/>
  <c r="D40" i="703"/>
  <c r="E40" i="703"/>
  <c r="D42" i="704"/>
  <c r="D44" i="704"/>
  <c r="D40" i="704"/>
  <c r="E42" i="704"/>
  <c r="E40" i="704"/>
  <c r="E44" i="704"/>
  <c r="D36" i="704"/>
  <c r="D30" i="704"/>
  <c r="D31" i="704"/>
  <c r="D32" i="704"/>
  <c r="D35" i="704"/>
  <c r="D34" i="704"/>
  <c r="D29" i="704"/>
  <c r="D37" i="704" s="1"/>
  <c r="E29" i="704"/>
  <c r="E37" i="704" s="1"/>
  <c r="E31" i="704"/>
  <c r="E34" i="704"/>
  <c r="E36" i="704"/>
  <c r="E30" i="704"/>
  <c r="E32" i="704"/>
  <c r="E35" i="704"/>
  <c r="E17" i="706"/>
  <c r="E25" i="706" s="1"/>
  <c r="E22" i="706"/>
  <c r="E23" i="706"/>
  <c r="E19" i="706"/>
  <c r="E20" i="706"/>
  <c r="E24" i="706"/>
  <c r="E18" i="706"/>
  <c r="D17" i="706"/>
  <c r="D25" i="706" s="1"/>
  <c r="D19" i="706"/>
  <c r="D22" i="706"/>
  <c r="D23" i="706"/>
  <c r="D18" i="706"/>
  <c r="D20" i="706"/>
  <c r="D24" i="706"/>
  <c r="E29" i="705"/>
  <c r="E31" i="705"/>
  <c r="E28" i="705"/>
  <c r="E34" i="705"/>
  <c r="E30" i="705"/>
  <c r="E33" i="705"/>
  <c r="E35" i="705"/>
  <c r="D31" i="705"/>
  <c r="D34" i="705"/>
  <c r="D30" i="705"/>
  <c r="D29" i="705"/>
  <c r="D33" i="705"/>
  <c r="D35" i="705"/>
  <c r="D28" i="705"/>
  <c r="D28" i="706"/>
  <c r="E28" i="706"/>
  <c r="E39" i="705"/>
  <c r="D39" i="705"/>
  <c r="D39" i="707"/>
  <c r="E39" i="707"/>
  <c r="D33" i="707"/>
  <c r="D28" i="707"/>
  <c r="D30" i="707"/>
  <c r="D29" i="707"/>
  <c r="D34" i="707"/>
  <c r="D31" i="707"/>
  <c r="D35" i="707"/>
  <c r="E31" i="707"/>
  <c r="E33" i="707"/>
  <c r="E28" i="707"/>
  <c r="E30" i="707"/>
  <c r="E34" i="707"/>
  <c r="E35" i="707"/>
  <c r="E29" i="707"/>
  <c r="E36" i="707" s="1"/>
  <c r="AG22" i="346" a="1"/>
  <c r="AG22" i="346" s="1"/>
  <c r="AH22" i="346" a="1"/>
  <c r="AH22" i="346" s="1"/>
  <c r="AK22" i="346" a="1"/>
  <c r="AK22" i="346" s="1"/>
  <c r="AM22" i="346" a="1"/>
  <c r="AM22" i="346" s="1"/>
  <c r="AL22" i="346" a="1"/>
  <c r="AL22" i="346" s="1"/>
  <c r="A64" i="701"/>
  <c r="F15" i="881"/>
  <c r="F6" i="881"/>
  <c r="F16" i="881" s="1"/>
  <c r="A66" i="701"/>
  <c r="C6" i="881"/>
  <c r="C16" i="881" s="1"/>
  <c r="C15" i="881"/>
  <c r="A58" i="346"/>
  <c r="A10" i="701"/>
  <c r="AE10" i="701"/>
  <c r="B62" i="346"/>
  <c r="A51" i="346"/>
  <c r="A60" i="703"/>
  <c r="AE39" i="701"/>
  <c r="F14" i="881"/>
  <c r="A47" i="346"/>
  <c r="AK26" i="346" a="1"/>
  <c r="AK26" i="346" s="1"/>
  <c r="AL26" i="346" a="1"/>
  <c r="AL26" i="346" s="1"/>
  <c r="AM26" i="346" a="1"/>
  <c r="AM26" i="346" s="1"/>
  <c r="A57" i="701"/>
  <c r="AE15" i="701"/>
  <c r="A12" i="701"/>
  <c r="C28" i="701"/>
  <c r="A21" i="701"/>
  <c r="A24" i="701"/>
  <c r="A13" i="701"/>
  <c r="A9" i="701"/>
  <c r="A14" i="701"/>
  <c r="A17" i="701"/>
  <c r="A20" i="701"/>
  <c r="A52" i="702"/>
  <c r="AL17" i="701" a="1"/>
  <c r="AL17" i="701" s="1"/>
  <c r="AG16" i="701" a="1"/>
  <c r="AG16" i="701" s="1"/>
  <c r="AH16" i="701" a="1"/>
  <c r="AH16" i="701" s="1"/>
  <c r="AK16" i="701" a="1"/>
  <c r="AK16" i="701" s="1"/>
  <c r="A64" i="346"/>
  <c r="AH24" i="346" a="1"/>
  <c r="AH24" i="346" s="1"/>
  <c r="AK24" i="346" a="1"/>
  <c r="AK24" i="346" s="1"/>
  <c r="AL24" i="346" a="1"/>
  <c r="AL24" i="346" s="1"/>
  <c r="AE16" i="346"/>
  <c r="A65" i="701"/>
  <c r="AE25" i="701"/>
  <c r="AE27" i="346"/>
  <c r="AE10" i="346"/>
  <c r="AH12" i="702" a="1"/>
  <c r="AH12" i="702" s="1"/>
  <c r="AK12" i="702" a="1"/>
  <c r="AK12" i="702" s="1"/>
  <c r="AG12" i="702" a="1"/>
  <c r="AG12" i="702" s="1"/>
  <c r="AL12" i="702" a="1"/>
  <c r="AL12" i="702" s="1"/>
  <c r="AM12" i="702" a="1"/>
  <c r="AM12" i="702" s="1"/>
  <c r="E14" i="881"/>
  <c r="J15" i="881"/>
  <c r="C14" i="881"/>
  <c r="G12" i="881"/>
  <c r="E17" i="881"/>
  <c r="E16" i="881"/>
  <c r="D5" i="881"/>
  <c r="B66" i="346"/>
  <c r="B51" i="346"/>
  <c r="A63" i="346"/>
  <c r="C28" i="346"/>
  <c r="A11" i="346"/>
  <c r="A18" i="346"/>
  <c r="A13" i="346"/>
  <c r="A20" i="346"/>
  <c r="A15" i="346"/>
  <c r="C33" i="346"/>
  <c r="B49" i="701"/>
  <c r="AM17" i="701" a="1"/>
  <c r="AM17" i="701" s="1"/>
  <c r="A62" i="702"/>
  <c r="A56" i="705"/>
  <c r="AL11" i="346" a="1"/>
  <c r="AL11" i="346" s="1"/>
  <c r="AM11" i="346" a="1"/>
  <c r="AM11" i="346" s="1"/>
  <c r="AK8" i="702" a="1"/>
  <c r="AK8" i="702" s="1"/>
  <c r="AL8" i="702" a="1"/>
  <c r="AL8" i="702" s="1"/>
  <c r="AM8" i="702" a="1"/>
  <c r="AM8" i="702" s="1"/>
  <c r="AG8" i="702" a="1"/>
  <c r="AG8" i="702" s="1"/>
  <c r="AH8" i="702" a="1"/>
  <c r="AH8" i="702" s="1"/>
  <c r="A62" i="701"/>
  <c r="AK19" i="701" a="1"/>
  <c r="AK19" i="701" s="1"/>
  <c r="AM19" i="701" a="1"/>
  <c r="AM19" i="701" s="1"/>
  <c r="AG19" i="701" a="1"/>
  <c r="AG19" i="701" s="1"/>
  <c r="AH19" i="701" a="1"/>
  <c r="AH19" i="701" s="1"/>
  <c r="AL19" i="701" a="1"/>
  <c r="AL19" i="701" s="1"/>
  <c r="AE39" i="346"/>
  <c r="AM13" i="346" a="1"/>
  <c r="AM13" i="346" s="1"/>
  <c r="AL13" i="346" a="1"/>
  <c r="AL13" i="346" s="1"/>
  <c r="AE27" i="701"/>
  <c r="AL23" i="701" a="1"/>
  <c r="AL23" i="701" s="1"/>
  <c r="AH23" i="701" a="1"/>
  <c r="AH23" i="701" s="1"/>
  <c r="AM23" i="701" a="1"/>
  <c r="AM23" i="701" s="1"/>
  <c r="A62" i="346"/>
  <c r="N19" i="881"/>
  <c r="N22" i="881"/>
  <c r="N14" i="881"/>
  <c r="N13" i="881"/>
  <c r="L14" i="881"/>
  <c r="L13" i="881"/>
  <c r="A50" i="701"/>
  <c r="A61" i="346"/>
  <c r="AE19" i="346"/>
  <c r="A16" i="701"/>
  <c r="AG24" i="702" a="1"/>
  <c r="AG24" i="702" s="1"/>
  <c r="AH24" i="702" a="1"/>
  <c r="AH24" i="702" s="1"/>
  <c r="AK24" i="702" a="1"/>
  <c r="AK24" i="702" s="1"/>
  <c r="AL24" i="702" a="1"/>
  <c r="AL24" i="702" s="1"/>
  <c r="AM24" i="702" a="1"/>
  <c r="AM24" i="702" s="1"/>
  <c r="A54" i="703"/>
  <c r="A61" i="701"/>
  <c r="AL17" i="702" a="1"/>
  <c r="AL17" i="702" s="1"/>
  <c r="AM17" i="702" a="1"/>
  <c r="AM17" i="702" s="1"/>
  <c r="AH17" i="702" a="1"/>
  <c r="AH17" i="702" s="1"/>
  <c r="AK17" i="702" a="1"/>
  <c r="AK17" i="702" s="1"/>
  <c r="AK17" i="701" a="1"/>
  <c r="AK17" i="701" s="1"/>
  <c r="AL16" i="701" a="1"/>
  <c r="AL16" i="701" s="1"/>
  <c r="AG17" i="701" a="1"/>
  <c r="AG17" i="701" s="1"/>
  <c r="AM16" i="701" a="1"/>
  <c r="AM16" i="701" s="1"/>
  <c r="AH17" i="701" a="1"/>
  <c r="AH17" i="701" s="1"/>
  <c r="N15" i="881"/>
  <c r="N16" i="881"/>
  <c r="A60" i="346"/>
  <c r="B61" i="346"/>
  <c r="AH11" i="346" a="1"/>
  <c r="AH11" i="346" s="1"/>
  <c r="A55" i="702"/>
  <c r="A50" i="702"/>
  <c r="AE25" i="346"/>
  <c r="M51" i="708"/>
  <c r="P51" i="708" s="1"/>
  <c r="T51" i="708"/>
  <c r="B56" i="346"/>
  <c r="B60" i="346"/>
  <c r="AE21" i="346"/>
  <c r="AE11" i="702"/>
  <c r="T46" i="706"/>
  <c r="W46" i="706" s="1"/>
  <c r="M46" i="706"/>
  <c r="P46" i="706" s="1"/>
  <c r="AG20" i="346" a="1"/>
  <c r="AG20" i="346" s="1"/>
  <c r="AH20" i="346" a="1"/>
  <c r="AH20" i="346" s="1"/>
  <c r="AL20" i="346" a="1"/>
  <c r="AL20" i="346" s="1"/>
  <c r="AM20" i="346" a="1"/>
  <c r="AM20" i="346" s="1"/>
  <c r="B61" i="701"/>
  <c r="AE22" i="701"/>
  <c r="AM15" i="702" a="1"/>
  <c r="AM15" i="702" s="1"/>
  <c r="AK15" i="702" a="1"/>
  <c r="AK15" i="702" s="1"/>
  <c r="AL15" i="702" a="1"/>
  <c r="AL15" i="702" s="1"/>
  <c r="AG15" i="702" a="1"/>
  <c r="AG15" i="702" s="1"/>
  <c r="AG12" i="346" a="1"/>
  <c r="AG12" i="346" s="1"/>
  <c r="AH12" i="346" a="1"/>
  <c r="AH12" i="346" s="1"/>
  <c r="AE23" i="346"/>
  <c r="AK15" i="346" a="1"/>
  <c r="AK15" i="346" s="1"/>
  <c r="AL15" i="346" a="1"/>
  <c r="AL15" i="346" s="1"/>
  <c r="AM15" i="346" a="1"/>
  <c r="AM15" i="346" s="1"/>
  <c r="AE11" i="701"/>
  <c r="B64" i="346"/>
  <c r="N21" i="881"/>
  <c r="N18" i="881"/>
  <c r="L16" i="881"/>
  <c r="E15" i="881"/>
  <c r="B49" i="346"/>
  <c r="A27" i="346"/>
  <c r="AE17" i="346"/>
  <c r="A17" i="346"/>
  <c r="AE14" i="346"/>
  <c r="B53" i="346"/>
  <c r="AM12" i="346" a="1"/>
  <c r="AM12" i="346" s="1"/>
  <c r="AG11" i="346" a="1"/>
  <c r="AG11" i="346" s="1"/>
  <c r="AL9" i="346" a="1"/>
  <c r="AL9" i="346" s="1"/>
  <c r="AK9" i="346" a="1"/>
  <c r="AK9" i="346" s="1"/>
  <c r="AM9" i="346" a="1"/>
  <c r="AM9" i="346" s="1"/>
  <c r="AH15" i="702" a="1"/>
  <c r="AH15" i="702" s="1"/>
  <c r="T53" i="706"/>
  <c r="W53" i="706" s="1"/>
  <c r="M53" i="706"/>
  <c r="P53" i="706" s="1"/>
  <c r="T45" i="706"/>
  <c r="M45" i="706"/>
  <c r="P45" i="706" s="1"/>
  <c r="C14" i="708"/>
  <c r="A9" i="708"/>
  <c r="A25" i="708"/>
  <c r="A8" i="708"/>
  <c r="C19" i="708"/>
  <c r="A10" i="708"/>
  <c r="A28" i="708"/>
  <c r="AL25" i="702" a="1"/>
  <c r="AL25" i="702" s="1"/>
  <c r="AM25" i="702" a="1"/>
  <c r="AM25" i="702" s="1"/>
  <c r="A24" i="702"/>
  <c r="A59" i="702"/>
  <c r="AK16" i="703" a="1"/>
  <c r="AK16" i="703" s="1"/>
  <c r="AL16" i="703" a="1"/>
  <c r="AL16" i="703" s="1"/>
  <c r="AH16" i="703" a="1"/>
  <c r="AH16" i="703" s="1"/>
  <c r="AM16" i="703" a="1"/>
  <c r="AM16" i="703" s="1"/>
  <c r="A9" i="346"/>
  <c r="AG8" i="346" a="1"/>
  <c r="AG8" i="346" s="1"/>
  <c r="AH14" i="701" a="1"/>
  <c r="AH14" i="701" s="1"/>
  <c r="AG14" i="701" a="1"/>
  <c r="AG14" i="701" s="1"/>
  <c r="AL14" i="701" a="1"/>
  <c r="AL14" i="701" s="1"/>
  <c r="AH26" i="702" a="1"/>
  <c r="AH26" i="702" s="1"/>
  <c r="AK26" i="702" a="1"/>
  <c r="AK26" i="702" s="1"/>
  <c r="AL26" i="702" a="1"/>
  <c r="AL26" i="702" s="1"/>
  <c r="AM26" i="702" a="1"/>
  <c r="AM26" i="702" s="1"/>
  <c r="A51" i="702"/>
  <c r="T52" i="706"/>
  <c r="M52" i="706"/>
  <c r="P52" i="706" s="1"/>
  <c r="AE9" i="701"/>
  <c r="A54" i="702"/>
  <c r="AE26" i="701"/>
  <c r="B54" i="702"/>
  <c r="AK13" i="702" a="1"/>
  <c r="AK13" i="702" s="1"/>
  <c r="AL13" i="702" a="1"/>
  <c r="AL13" i="702" s="1"/>
  <c r="AM13" i="702" a="1"/>
  <c r="AM13" i="702" s="1"/>
  <c r="AG24" i="701" a="1"/>
  <c r="AG24" i="701" s="1"/>
  <c r="AK24" i="701" a="1"/>
  <c r="AK24" i="701" s="1"/>
  <c r="AL24" i="701" a="1"/>
  <c r="AL24" i="701" s="1"/>
  <c r="AM24" i="701" a="1"/>
  <c r="AM24" i="701" s="1"/>
  <c r="AG16" i="702" a="1"/>
  <c r="AG16" i="702" s="1"/>
  <c r="AH16" i="702" a="1"/>
  <c r="AH16" i="702" s="1"/>
  <c r="AL16" i="702" a="1"/>
  <c r="AL16" i="702" s="1"/>
  <c r="AM16" i="702" a="1"/>
  <c r="AM16" i="702" s="1"/>
  <c r="AK16" i="702" a="1"/>
  <c r="AK16" i="702" s="1"/>
  <c r="AM21" i="703" a="1"/>
  <c r="AM21" i="703" s="1"/>
  <c r="AH21" i="703" a="1"/>
  <c r="AH21" i="703" s="1"/>
  <c r="AK21" i="703" a="1"/>
  <c r="AK21" i="703" s="1"/>
  <c r="AL21" i="703" a="1"/>
  <c r="AL21" i="703" s="1"/>
  <c r="AG21" i="703" a="1"/>
  <c r="AG21" i="703" s="1"/>
  <c r="A52" i="703"/>
  <c r="A8" i="701"/>
  <c r="AE39" i="702"/>
  <c r="A39" i="702"/>
  <c r="AE18" i="346"/>
  <c r="A19" i="701"/>
  <c r="B58" i="701"/>
  <c r="B64" i="702"/>
  <c r="AE13" i="701"/>
  <c r="AG14" i="702" a="1"/>
  <c r="AG14" i="702" s="1"/>
  <c r="AH14" i="702" a="1"/>
  <c r="AH14" i="702" s="1"/>
  <c r="AK14" i="702" a="1"/>
  <c r="AK14" i="702" s="1"/>
  <c r="AL14" i="702" a="1"/>
  <c r="AL14" i="702" s="1"/>
  <c r="AM14" i="702" a="1"/>
  <c r="AM14" i="702" s="1"/>
  <c r="T43" i="706"/>
  <c r="M43" i="706"/>
  <c r="P43" i="706" s="1"/>
  <c r="AG24" i="704" a="1"/>
  <c r="AG24" i="704" s="1"/>
  <c r="AH24" i="704" a="1"/>
  <c r="AH24" i="704" s="1"/>
  <c r="AK24" i="704" a="1"/>
  <c r="AK24" i="704" s="1"/>
  <c r="AL24" i="704" a="1"/>
  <c r="AL24" i="704" s="1"/>
  <c r="AM24" i="704" a="1"/>
  <c r="AM24" i="704" s="1"/>
  <c r="A63" i="704"/>
  <c r="AE18" i="701"/>
  <c r="AK12" i="701" a="1"/>
  <c r="AK12" i="701" s="1"/>
  <c r="A49" i="702"/>
  <c r="A66" i="702"/>
  <c r="AE9" i="702"/>
  <c r="A9" i="702"/>
  <c r="B48" i="702"/>
  <c r="AH27" i="703" a="1"/>
  <c r="AH27" i="703" s="1"/>
  <c r="AK27" i="703" a="1"/>
  <c r="AK27" i="703" s="1"/>
  <c r="AL27" i="703" a="1"/>
  <c r="AL27" i="703" s="1"/>
  <c r="AM27" i="703" a="1"/>
  <c r="AM27" i="703" s="1"/>
  <c r="A36" i="706"/>
  <c r="AH12" i="701" a="1"/>
  <c r="AH12" i="701" s="1"/>
  <c r="AE8" i="701"/>
  <c r="AG19" i="702" a="1"/>
  <c r="AG19" i="702" s="1"/>
  <c r="B54" i="703"/>
  <c r="AG22" i="703" a="1"/>
  <c r="AG22" i="703" s="1"/>
  <c r="AK22" i="703" a="1"/>
  <c r="AK22" i="703" s="1"/>
  <c r="AL22" i="703" a="1"/>
  <c r="AL22" i="703" s="1"/>
  <c r="AK8" i="705" a="1"/>
  <c r="AK8" i="705" s="1"/>
  <c r="AM8" i="705" a="1"/>
  <c r="AM8" i="705" s="1"/>
  <c r="AG8" i="705" a="1"/>
  <c r="AG8" i="705" s="1"/>
  <c r="AH8" i="705" a="1"/>
  <c r="AH8" i="705" s="1"/>
  <c r="AL8" i="705" a="1"/>
  <c r="AL8" i="705" s="1"/>
  <c r="A24" i="703"/>
  <c r="AE24" i="703"/>
  <c r="AG12" i="701" a="1"/>
  <c r="AG12" i="701" s="1"/>
  <c r="B69" i="704"/>
  <c r="A24" i="704"/>
  <c r="AK18" i="703" a="1"/>
  <c r="AK18" i="703" s="1"/>
  <c r="AL18" i="703" a="1"/>
  <c r="AL18" i="703" s="1"/>
  <c r="AM18" i="703" a="1"/>
  <c r="AM18" i="703" s="1"/>
  <c r="A47" i="703"/>
  <c r="AE15" i="703"/>
  <c r="A65" i="704"/>
  <c r="AG8" i="703" a="1"/>
  <c r="AG8" i="703" s="1"/>
  <c r="AK8" i="703" a="1"/>
  <c r="AK8" i="703" s="1"/>
  <c r="AM8" i="703" a="1"/>
  <c r="AM8" i="703" s="1"/>
  <c r="T54" i="706"/>
  <c r="M54" i="706"/>
  <c r="P54" i="706" s="1"/>
  <c r="AM23" i="702" a="1"/>
  <c r="AM23" i="702" s="1"/>
  <c r="A17" i="702"/>
  <c r="A8" i="702"/>
  <c r="AG13" i="703" a="1"/>
  <c r="AG13" i="703" s="1"/>
  <c r="AL13" i="703" a="1"/>
  <c r="AL13" i="703" s="1"/>
  <c r="AM13" i="703" a="1"/>
  <c r="AM13" i="703" s="1"/>
  <c r="AG11" i="703" a="1"/>
  <c r="AG11" i="703" s="1"/>
  <c r="AH11" i="703" a="1"/>
  <c r="AH11" i="703" s="1"/>
  <c r="AK11" i="703" a="1"/>
  <c r="AK11" i="703" s="1"/>
  <c r="AK21" i="704" a="1"/>
  <c r="AK21" i="704" s="1"/>
  <c r="AL21" i="704" a="1"/>
  <c r="AL21" i="704" s="1"/>
  <c r="AM21" i="704" a="1"/>
  <c r="AM21" i="704" s="1"/>
  <c r="AG20" i="702" a="1"/>
  <c r="AG20" i="702" s="1"/>
  <c r="A16" i="703"/>
  <c r="B55" i="703"/>
  <c r="T51" i="706"/>
  <c r="W51" i="706" s="1"/>
  <c r="M51" i="706"/>
  <c r="P51" i="706" s="1"/>
  <c r="AH23" i="702" a="1"/>
  <c r="AH23" i="702" s="1"/>
  <c r="A19" i="702"/>
  <c r="AE18" i="702"/>
  <c r="AE39" i="703"/>
  <c r="AL17" i="704" a="1"/>
  <c r="AL17" i="704" s="1"/>
  <c r="AG16" i="704" a="1"/>
  <c r="AG16" i="704" s="1"/>
  <c r="AM17" i="704" a="1"/>
  <c r="AM17" i="704" s="1"/>
  <c r="AH16" i="704" a="1"/>
  <c r="AH16" i="704" s="1"/>
  <c r="AK16" i="704" a="1"/>
  <c r="AK16" i="704" s="1"/>
  <c r="AE13" i="704"/>
  <c r="A13" i="704"/>
  <c r="AG23" i="702" a="1"/>
  <c r="AG23" i="702" s="1"/>
  <c r="AE22" i="702"/>
  <c r="C28" i="702"/>
  <c r="A21" i="702"/>
  <c r="AK17" i="704" a="1"/>
  <c r="AK17" i="704" s="1"/>
  <c r="AL16" i="704" a="1"/>
  <c r="AL16" i="704" s="1"/>
  <c r="AH17" i="704" a="1"/>
  <c r="AH17" i="704" s="1"/>
  <c r="A58" i="705"/>
  <c r="AE27" i="702"/>
  <c r="A26" i="703"/>
  <c r="AE26" i="703"/>
  <c r="AE23" i="703"/>
  <c r="A23" i="703"/>
  <c r="A20" i="703"/>
  <c r="AE20" i="703"/>
  <c r="B59" i="703"/>
  <c r="AL8" i="703" a="1"/>
  <c r="AL8" i="703" s="1"/>
  <c r="A27" i="703"/>
  <c r="B41" i="704"/>
  <c r="AE27" i="704"/>
  <c r="B72" i="704"/>
  <c r="A11" i="703"/>
  <c r="A59" i="704"/>
  <c r="M50" i="706"/>
  <c r="P50" i="706" s="1"/>
  <c r="T50" i="706"/>
  <c r="W50" i="706" s="1"/>
  <c r="T55" i="707"/>
  <c r="M55" i="707"/>
  <c r="P55" i="707" s="1"/>
  <c r="A61" i="703"/>
  <c r="AL14" i="703" a="1"/>
  <c r="AL14" i="703" s="1"/>
  <c r="AM14" i="703" a="1"/>
  <c r="AM14" i="703" s="1"/>
  <c r="AG14" i="703" a="1"/>
  <c r="AG14" i="703" s="1"/>
  <c r="A14" i="703"/>
  <c r="A53" i="704"/>
  <c r="T37" i="706"/>
  <c r="M37" i="706"/>
  <c r="P37" i="706" s="1"/>
  <c r="AL10" i="702" a="1"/>
  <c r="AL10" i="702" s="1"/>
  <c r="AM14" i="704" a="1"/>
  <c r="AM14" i="704" s="1"/>
  <c r="A55" i="704"/>
  <c r="M49" i="706"/>
  <c r="P49" i="706" s="1"/>
  <c r="T49" i="706"/>
  <c r="W49" i="706" s="1"/>
  <c r="B58" i="703"/>
  <c r="AH9" i="703" a="1"/>
  <c r="AH9" i="703" s="1"/>
  <c r="AL9" i="703" a="1"/>
  <c r="AL9" i="703" s="1"/>
  <c r="AE10" i="704"/>
  <c r="B55" i="704"/>
  <c r="A39" i="704"/>
  <c r="AE39" i="704"/>
  <c r="A61" i="704"/>
  <c r="AE17" i="703"/>
  <c r="A17" i="703"/>
  <c r="M47" i="706"/>
  <c r="P47" i="706" s="1"/>
  <c r="T47" i="706"/>
  <c r="W47" i="706" s="1"/>
  <c r="T35" i="706"/>
  <c r="M35" i="706"/>
  <c r="AK20" i="705" a="1"/>
  <c r="AK20" i="705" s="1"/>
  <c r="AL20" i="705" a="1"/>
  <c r="AL20" i="705" s="1"/>
  <c r="AG20" i="705" a="1"/>
  <c r="AG20" i="705" s="1"/>
  <c r="AH20" i="705" a="1"/>
  <c r="AH20" i="705" s="1"/>
  <c r="AM20" i="705" a="1"/>
  <c r="AM20" i="705" s="1"/>
  <c r="AM12" i="703" a="1"/>
  <c r="AM12" i="703" s="1"/>
  <c r="AH12" i="703" a="1"/>
  <c r="AH12" i="703" s="1"/>
  <c r="AK19" i="704" a="1"/>
  <c r="AK19" i="704" s="1"/>
  <c r="AL19" i="704" a="1"/>
  <c r="AL19" i="704" s="1"/>
  <c r="AM19" i="704" a="1"/>
  <c r="AM19" i="704" s="1"/>
  <c r="AG19" i="704" a="1"/>
  <c r="AG19" i="704" s="1"/>
  <c r="AH19" i="704" a="1"/>
  <c r="AH19" i="704" s="1"/>
  <c r="AH14" i="704" a="1"/>
  <c r="AH14" i="704" s="1"/>
  <c r="AK14" i="704" a="1"/>
  <c r="AK14" i="704" s="1"/>
  <c r="A56" i="704"/>
  <c r="A65" i="707"/>
  <c r="B60" i="704"/>
  <c r="AE20" i="704"/>
  <c r="AE11" i="704"/>
  <c r="AH15" i="706" a="1"/>
  <c r="AH15" i="706" s="1"/>
  <c r="AM15" i="706" a="1"/>
  <c r="AM15" i="706" s="1"/>
  <c r="AL14" i="706" a="1"/>
  <c r="AL14" i="706" s="1"/>
  <c r="AM14" i="706" a="1"/>
  <c r="AM14" i="706" s="1"/>
  <c r="AK14" i="706" a="1"/>
  <c r="AK14" i="706" s="1"/>
  <c r="AE10" i="703"/>
  <c r="C28" i="704"/>
  <c r="A25" i="704"/>
  <c r="A12" i="704"/>
  <c r="A10" i="706"/>
  <c r="AE25" i="704"/>
  <c r="AE22" i="704"/>
  <c r="AE15" i="705"/>
  <c r="A15" i="705"/>
  <c r="B53" i="705"/>
  <c r="AK12" i="704" a="1"/>
  <c r="AK12" i="704" s="1"/>
  <c r="AL12" i="704" a="1"/>
  <c r="AL12" i="704" s="1"/>
  <c r="AL8" i="704" a="1"/>
  <c r="AL8" i="704" s="1"/>
  <c r="AM8" i="704" a="1"/>
  <c r="AM8" i="704" s="1"/>
  <c r="AE13" i="706"/>
  <c r="B42" i="706"/>
  <c r="A68" i="704"/>
  <c r="AE18" i="704"/>
  <c r="A14" i="706"/>
  <c r="B44" i="706"/>
  <c r="A22" i="705"/>
  <c r="AE22" i="705"/>
  <c r="A9" i="705"/>
  <c r="A26" i="705"/>
  <c r="C27" i="705"/>
  <c r="A14" i="705"/>
  <c r="A10" i="705"/>
  <c r="C32" i="705"/>
  <c r="A20" i="705"/>
  <c r="AK26" i="704" a="1"/>
  <c r="AK26" i="704" s="1"/>
  <c r="AL26" i="704" a="1"/>
  <c r="AL26" i="704" s="1"/>
  <c r="AM26" i="704" a="1"/>
  <c r="AM26" i="704" s="1"/>
  <c r="AL23" i="704" a="1"/>
  <c r="AL23" i="704" s="1"/>
  <c r="AM23" i="704" a="1"/>
  <c r="AM23" i="704" s="1"/>
  <c r="A19" i="704"/>
  <c r="B64" i="704"/>
  <c r="A21" i="704"/>
  <c r="A9" i="704"/>
  <c r="AE15" i="704"/>
  <c r="AL15" i="706" a="1"/>
  <c r="AL15" i="706" s="1"/>
  <c r="AE10" i="706"/>
  <c r="A24" i="705"/>
  <c r="B63" i="705"/>
  <c r="AE24" i="705"/>
  <c r="A16" i="705"/>
  <c r="A64" i="707"/>
  <c r="AE22" i="707"/>
  <c r="A22" i="707"/>
  <c r="B61" i="707"/>
  <c r="AM25" i="708" a="1"/>
  <c r="AM25" i="708" s="1"/>
  <c r="AH11" i="706" a="1"/>
  <c r="AH11" i="706" s="1"/>
  <c r="AM11" i="706" a="1"/>
  <c r="AM11" i="706" s="1"/>
  <c r="A11" i="706"/>
  <c r="AE17" i="705"/>
  <c r="A17" i="705"/>
  <c r="AH9" i="706" a="1"/>
  <c r="AH9" i="706" s="1"/>
  <c r="B55" i="705"/>
  <c r="AE8" i="706"/>
  <c r="AM13" i="705" a="1"/>
  <c r="AM13" i="705" s="1"/>
  <c r="AG13" i="705" a="1"/>
  <c r="AG13" i="705" s="1"/>
  <c r="AH13" i="705" a="1"/>
  <c r="AH13" i="705" s="1"/>
  <c r="AK13" i="705" a="1"/>
  <c r="AK13" i="705" s="1"/>
  <c r="AL13" i="705" a="1"/>
  <c r="AL13" i="705" s="1"/>
  <c r="A8" i="705"/>
  <c r="A60" i="707"/>
  <c r="AH9" i="704" a="1"/>
  <c r="AH9" i="704" s="1"/>
  <c r="AG12" i="706" a="1"/>
  <c r="AG12" i="706" s="1"/>
  <c r="AK12" i="706" a="1"/>
  <c r="AK12" i="706" s="1"/>
  <c r="T57" i="705"/>
  <c r="W57" i="705" s="1"/>
  <c r="AL26" i="705" a="1"/>
  <c r="AL26" i="705" s="1"/>
  <c r="AM26" i="705" a="1"/>
  <c r="AM26" i="705" s="1"/>
  <c r="A11" i="705"/>
  <c r="AL9" i="706" a="1"/>
  <c r="AL9" i="706" s="1"/>
  <c r="AM9" i="706" a="1"/>
  <c r="AM9" i="706" s="1"/>
  <c r="AE11" i="708"/>
  <c r="A11" i="708"/>
  <c r="B44" i="708"/>
  <c r="AM16" i="705" a="1"/>
  <c r="AM16" i="705" s="1"/>
  <c r="AK16" i="705" a="1"/>
  <c r="AK16" i="705" s="1"/>
  <c r="AH16" i="705" a="1"/>
  <c r="AH16" i="705" s="1"/>
  <c r="AL16" i="705" a="1"/>
  <c r="AL16" i="705" s="1"/>
  <c r="AE21" i="707"/>
  <c r="AM21" i="705" a="1"/>
  <c r="AM21" i="705" s="1"/>
  <c r="AL14" i="705" a="1"/>
  <c r="AL14" i="705" s="1"/>
  <c r="AL11" i="705" a="1"/>
  <c r="AL11" i="705" s="1"/>
  <c r="AG11" i="705" a="1"/>
  <c r="AG11" i="705" s="1"/>
  <c r="AH11" i="705" a="1"/>
  <c r="AH11" i="705" s="1"/>
  <c r="AK11" i="705" a="1"/>
  <c r="AK11" i="705" s="1"/>
  <c r="AE10" i="705"/>
  <c r="AL21" i="705" a="1"/>
  <c r="AL21" i="705" s="1"/>
  <c r="AK14" i="705" a="1"/>
  <c r="AK14" i="705" s="1"/>
  <c r="AK10" i="708" a="1"/>
  <c r="AK10" i="708" s="1"/>
  <c r="AL10" i="708" a="1"/>
  <c r="AL10" i="708" s="1"/>
  <c r="AM10" i="708" a="1"/>
  <c r="AM10" i="708" s="1"/>
  <c r="AH10" i="708" a="1"/>
  <c r="AH10" i="708" s="1"/>
  <c r="AG10" i="708" a="1"/>
  <c r="AG10" i="708" s="1"/>
  <c r="B60" i="707"/>
  <c r="A54" i="707"/>
  <c r="AM14" i="705" a="1"/>
  <c r="AM14" i="705" s="1"/>
  <c r="AH14" i="705" a="1"/>
  <c r="AH14" i="705" s="1"/>
  <c r="AK21" i="705" a="1"/>
  <c r="AK21" i="705" s="1"/>
  <c r="AH21" i="705" a="1"/>
  <c r="AH21" i="705" s="1"/>
  <c r="AE38" i="707"/>
  <c r="A38" i="707"/>
  <c r="AE20" i="707"/>
  <c r="A20" i="707"/>
  <c r="T50" i="708"/>
  <c r="W50" i="708" s="1"/>
  <c r="AK23" i="705" a="1"/>
  <c r="AK23" i="705" s="1"/>
  <c r="AL23" i="705" a="1"/>
  <c r="AL23" i="705" s="1"/>
  <c r="AM23" i="705" a="1"/>
  <c r="AM23" i="705" s="1"/>
  <c r="AE18" i="705"/>
  <c r="A25" i="705"/>
  <c r="A13" i="705"/>
  <c r="A12" i="705"/>
  <c r="M52" i="708"/>
  <c r="P52" i="708" s="1"/>
  <c r="T52" i="708"/>
  <c r="A21" i="705"/>
  <c r="AE19" i="705"/>
  <c r="AH10" i="707" a="1"/>
  <c r="AH10" i="707" s="1"/>
  <c r="AK10" i="707" a="1"/>
  <c r="AK10" i="707" s="1"/>
  <c r="AL10" i="707" a="1"/>
  <c r="AL10" i="707" s="1"/>
  <c r="AM10" i="707" a="1"/>
  <c r="AM10" i="707" s="1"/>
  <c r="T35" i="708"/>
  <c r="M35" i="708"/>
  <c r="AH19" i="707" a="1"/>
  <c r="AH19" i="707" s="1"/>
  <c r="AK19" i="707" a="1"/>
  <c r="AK19" i="707" s="1"/>
  <c r="AL19" i="707" a="1"/>
  <c r="AL19" i="707" s="1"/>
  <c r="AE25" i="705"/>
  <c r="AM9" i="705" a="1"/>
  <c r="AM9" i="705" s="1"/>
  <c r="AG9" i="705" a="1"/>
  <c r="AG9" i="705" s="1"/>
  <c r="AK15" i="707" a="1"/>
  <c r="AK15" i="707" s="1"/>
  <c r="AL15" i="707" a="1"/>
  <c r="AL15" i="707" s="1"/>
  <c r="AM15" i="707" a="1"/>
  <c r="AM15" i="707" s="1"/>
  <c r="M45" i="708"/>
  <c r="P45" i="708" s="1"/>
  <c r="T45" i="708"/>
  <c r="B64" i="705"/>
  <c r="A23" i="705"/>
  <c r="AE12" i="705"/>
  <c r="AL13" i="707" a="1"/>
  <c r="AL13" i="707" s="1"/>
  <c r="AM13" i="707" a="1"/>
  <c r="AM13" i="707" s="1"/>
  <c r="AH13" i="707" a="1"/>
  <c r="AH13" i="707" s="1"/>
  <c r="AK13" i="707" a="1"/>
  <c r="AK13" i="707" s="1"/>
  <c r="A12" i="708"/>
  <c r="A13" i="708"/>
  <c r="A13" i="707"/>
  <c r="AL8" i="708" a="1"/>
  <c r="AL8" i="708" s="1"/>
  <c r="AM8" i="708" a="1"/>
  <c r="AM8" i="708" s="1"/>
  <c r="AH8" i="708" a="1"/>
  <c r="AH8" i="708" s="1"/>
  <c r="AK8" i="708" a="1"/>
  <c r="AK8" i="708" s="1"/>
  <c r="M43" i="708"/>
  <c r="P43" i="708" s="1"/>
  <c r="T43" i="708"/>
  <c r="B39" i="708"/>
  <c r="A15" i="707"/>
  <c r="AE16" i="707"/>
  <c r="T42" i="708"/>
  <c r="M42" i="708"/>
  <c r="P42" i="708" s="1"/>
  <c r="AE25" i="707"/>
  <c r="AK17" i="707" a="1"/>
  <c r="AK17" i="707" s="1"/>
  <c r="AL17" i="707" a="1"/>
  <c r="AL17" i="707" s="1"/>
  <c r="B53" i="707"/>
  <c r="AL26" i="707" a="1"/>
  <c r="AL26" i="707" s="1"/>
  <c r="AK26" i="707" a="1"/>
  <c r="AK26" i="707" s="1"/>
  <c r="AM26" i="707" a="1"/>
  <c r="AM26" i="707" s="1"/>
  <c r="A56" i="707"/>
  <c r="AG12" i="707" a="1"/>
  <c r="AG12" i="707" s="1"/>
  <c r="AH12" i="707" a="1"/>
  <c r="AH12" i="707" s="1"/>
  <c r="AK12" i="707" a="1"/>
  <c r="AK12" i="707" s="1"/>
  <c r="AK8" i="707" a="1"/>
  <c r="AK8" i="707" s="1"/>
  <c r="AL8" i="707" a="1"/>
  <c r="AL8" i="707" s="1"/>
  <c r="AH8" i="707" a="1"/>
  <c r="AH8" i="707" s="1"/>
  <c r="AM8" i="707" a="1"/>
  <c r="AM8" i="707" s="1"/>
  <c r="T41" i="708"/>
  <c r="M41" i="708"/>
  <c r="P41" i="708" s="1"/>
  <c r="AE13" i="708"/>
  <c r="AE9" i="707"/>
  <c r="A9" i="707"/>
  <c r="AL24" i="707" a="1"/>
  <c r="AL24" i="707" s="1"/>
  <c r="AM24" i="707" a="1"/>
  <c r="AM24" i="707" s="1"/>
  <c r="A24" i="707"/>
  <c r="A23" i="707"/>
  <c r="AE18" i="707"/>
  <c r="A8" i="707"/>
  <c r="AE23" i="707"/>
  <c r="A11" i="707"/>
  <c r="AE11" i="707"/>
  <c r="AM12" i="708" a="1"/>
  <c r="AM12" i="708" s="1"/>
  <c r="AL12" i="708" a="1"/>
  <c r="AL12" i="708" s="1"/>
  <c r="AE14" i="707"/>
  <c r="AE28" i="708"/>
  <c r="AE9" i="708"/>
  <c r="C46" i="708"/>
  <c r="C36" i="708"/>
  <c r="E13" i="708"/>
  <c r="D13" i="708"/>
  <c r="C61" i="701"/>
  <c r="C44" i="708"/>
  <c r="C62" i="346"/>
  <c r="C61" i="707"/>
  <c r="C60" i="346"/>
  <c r="C53" i="346"/>
  <c r="C60" i="704"/>
  <c r="C42" i="706"/>
  <c r="C39" i="708"/>
  <c r="C48" i="702"/>
  <c r="C66" i="346"/>
  <c r="C59" i="703"/>
  <c r="C63" i="705"/>
  <c r="C53" i="707"/>
  <c r="C55" i="704"/>
  <c r="C55" i="705"/>
  <c r="C60" i="707"/>
  <c r="C56" i="346"/>
  <c r="C49" i="346"/>
  <c r="C44" i="706"/>
  <c r="C58" i="703"/>
  <c r="C53" i="705"/>
  <c r="C61" i="346"/>
  <c r="C72" i="704"/>
  <c r="C49" i="701"/>
  <c r="C58" i="701"/>
  <c r="C55" i="703"/>
  <c r="C64" i="702"/>
  <c r="C54" i="702"/>
  <c r="C51" i="346"/>
  <c r="C54" i="703"/>
  <c r="C64" i="346"/>
  <c r="C64" i="704"/>
  <c r="C64" i="705"/>
  <c r="C69" i="704"/>
  <c r="W40" i="708" l="1"/>
  <c r="D17" i="708"/>
  <c r="D22" i="708"/>
  <c r="D15" i="708"/>
  <c r="D21" i="708"/>
  <c r="D26" i="708"/>
  <c r="D29" i="708"/>
  <c r="D18" i="708"/>
  <c r="D16" i="708"/>
  <c r="D20" i="708"/>
  <c r="E16" i="708"/>
  <c r="E26" i="708"/>
  <c r="E29" i="708"/>
  <c r="E21" i="708"/>
  <c r="E15" i="708"/>
  <c r="E17" i="708"/>
  <c r="E18" i="708"/>
  <c r="E20" i="708"/>
  <c r="E22" i="708"/>
  <c r="B47" i="708"/>
  <c r="W45" i="708"/>
  <c r="W49" i="708"/>
  <c r="D37" i="703"/>
  <c r="D36" i="705"/>
  <c r="E37" i="346"/>
  <c r="P35" i="708"/>
  <c r="W35" i="708" s="1"/>
  <c r="AH15" i="703" a="1"/>
  <c r="AH15" i="703" s="1"/>
  <c r="AK15" i="703" a="1"/>
  <c r="AK15" i="703" s="1"/>
  <c r="AL15" i="703" a="1"/>
  <c r="AL15" i="703" s="1"/>
  <c r="AM15" i="703" a="1"/>
  <c r="AM15" i="703" s="1"/>
  <c r="AG15" i="703" a="1"/>
  <c r="AG15" i="703" s="1"/>
  <c r="AH27" i="701" a="1"/>
  <c r="AH27" i="701" s="1"/>
  <c r="AK27" i="701" a="1"/>
  <c r="AK27" i="701" s="1"/>
  <c r="AL27" i="701" a="1"/>
  <c r="AL27" i="701" s="1"/>
  <c r="AM27" i="701" a="1"/>
  <c r="AM27" i="701" s="1"/>
  <c r="AG27" i="701" a="1"/>
  <c r="AG27" i="701" s="1"/>
  <c r="AG14" i="707" a="1"/>
  <c r="AG14" i="707" s="1"/>
  <c r="AH14" i="707" a="1"/>
  <c r="AH14" i="707" s="1"/>
  <c r="AK14" i="707" a="1"/>
  <c r="AK14" i="707" s="1"/>
  <c r="AL14" i="707" a="1"/>
  <c r="AL14" i="707" s="1"/>
  <c r="AM14" i="707" a="1"/>
  <c r="AM14" i="707" s="1"/>
  <c r="A39" i="708"/>
  <c r="AM9" i="707" a="1"/>
  <c r="AM9" i="707" s="1"/>
  <c r="AG9" i="707" a="1"/>
  <c r="AG9" i="707" s="1"/>
  <c r="AH9" i="707" a="1"/>
  <c r="AH9" i="707" s="1"/>
  <c r="AK9" i="707" a="1"/>
  <c r="AK9" i="707" s="1"/>
  <c r="AL9" i="707" a="1"/>
  <c r="AL9" i="707" s="1"/>
  <c r="AG11" i="708" a="1"/>
  <c r="AG11" i="708" s="1"/>
  <c r="AH11" i="708" a="1"/>
  <c r="AH11" i="708" s="1"/>
  <c r="AL11" i="708" a="1"/>
  <c r="AL11" i="708" s="1"/>
  <c r="AK11" i="708" a="1"/>
  <c r="AK11" i="708" s="1"/>
  <c r="AM11" i="708" a="1"/>
  <c r="AM11" i="708" s="1"/>
  <c r="AG9" i="701" a="1"/>
  <c r="AG9" i="701" s="1"/>
  <c r="AH9" i="701" a="1"/>
  <c r="AH9" i="701" s="1"/>
  <c r="AK9" i="701" a="1"/>
  <c r="AK9" i="701" s="1"/>
  <c r="AL9" i="701" a="1"/>
  <c r="AL9" i="701" s="1"/>
  <c r="AM9" i="701" a="1"/>
  <c r="AM9" i="701" s="1"/>
  <c r="AM10" i="346" a="1"/>
  <c r="AM10" i="346" s="1"/>
  <c r="AG10" i="346" a="1"/>
  <c r="AG10" i="346" s="1"/>
  <c r="AH10" i="346" a="1"/>
  <c r="AH10" i="346" s="1"/>
  <c r="AL10" i="346" a="1"/>
  <c r="AL10" i="346" s="1"/>
  <c r="AK10" i="346" a="1"/>
  <c r="AK10" i="346" s="1"/>
  <c r="E36" i="705"/>
  <c r="D37" i="702"/>
  <c r="D37" i="346"/>
  <c r="AL18" i="705" a="1"/>
  <c r="AL18" i="705" s="1"/>
  <c r="AM18" i="705" a="1"/>
  <c r="AM18" i="705" s="1"/>
  <c r="AG18" i="705" a="1"/>
  <c r="AG18" i="705" s="1"/>
  <c r="AK18" i="705" a="1"/>
  <c r="AK18" i="705" s="1"/>
  <c r="AH18" i="705" a="1"/>
  <c r="AH18" i="705" s="1"/>
  <c r="A62" i="705"/>
  <c r="A44" i="708"/>
  <c r="A48" i="346"/>
  <c r="A59" i="346"/>
  <c r="AG27" i="702" a="1"/>
  <c r="AG27" i="702" s="1"/>
  <c r="AH27" i="702" a="1"/>
  <c r="AH27" i="702" s="1"/>
  <c r="AK27" i="702" a="1"/>
  <c r="AK27" i="702" s="1"/>
  <c r="AM27" i="702" a="1"/>
  <c r="AM27" i="702" s="1"/>
  <c r="AL27" i="702" a="1"/>
  <c r="AL27" i="702" s="1"/>
  <c r="AG22" i="702" a="1"/>
  <c r="AG22" i="702" s="1"/>
  <c r="AH22" i="702" a="1"/>
  <c r="AH22" i="702" s="1"/>
  <c r="AK22" i="702" a="1"/>
  <c r="AK22" i="702" s="1"/>
  <c r="AL22" i="702" a="1"/>
  <c r="AL22" i="702" s="1"/>
  <c r="AM22" i="702" a="1"/>
  <c r="AM22" i="702" s="1"/>
  <c r="AM11" i="707" a="1"/>
  <c r="AM11" i="707" s="1"/>
  <c r="AK11" i="707" a="1"/>
  <c r="AK11" i="707" s="1"/>
  <c r="AL11" i="707" a="1"/>
  <c r="AL11" i="707" s="1"/>
  <c r="AG11" i="707" a="1"/>
  <c r="AG11" i="707" s="1"/>
  <c r="AH11" i="707" a="1"/>
  <c r="AH11" i="707" s="1"/>
  <c r="A46" i="705"/>
  <c r="W52" i="706"/>
  <c r="AK10" i="703" a="1"/>
  <c r="AK10" i="703" s="1"/>
  <c r="AL10" i="703" a="1"/>
  <c r="AL10" i="703" s="1"/>
  <c r="AM10" i="703" a="1"/>
  <c r="AM10" i="703" s="1"/>
  <c r="AH10" i="703" a="1"/>
  <c r="AH10" i="703" s="1"/>
  <c r="AG10" i="703" a="1"/>
  <c r="AG10" i="703" s="1"/>
  <c r="A55" i="705"/>
  <c r="A47" i="705"/>
  <c r="A49" i="705"/>
  <c r="A37" i="708"/>
  <c r="A40" i="706"/>
  <c r="A64" i="704"/>
  <c r="A49" i="701"/>
  <c r="A65" i="703"/>
  <c r="AG17" i="705" a="1"/>
  <c r="AG17" i="705" s="1"/>
  <c r="AK17" i="705" a="1"/>
  <c r="AK17" i="705" s="1"/>
  <c r="AL17" i="705" a="1"/>
  <c r="AL17" i="705" s="1"/>
  <c r="AM17" i="705" a="1"/>
  <c r="AM17" i="705" s="1"/>
  <c r="AH17" i="705" a="1"/>
  <c r="AH17" i="705" s="1"/>
  <c r="A58" i="704"/>
  <c r="A53" i="705"/>
  <c r="A47" i="702"/>
  <c r="A56" i="346"/>
  <c r="AL22" i="707" a="1"/>
  <c r="AL22" i="707" s="1"/>
  <c r="AM22" i="707" a="1"/>
  <c r="AM22" i="707" s="1"/>
  <c r="AK22" i="707" a="1"/>
  <c r="AK22" i="707" s="1"/>
  <c r="AG22" i="707" a="1"/>
  <c r="AG22" i="707" s="1"/>
  <c r="AH22" i="707" a="1"/>
  <c r="AH22" i="707" s="1"/>
  <c r="AH17" i="346" a="1"/>
  <c r="AH17" i="346" s="1"/>
  <c r="AK17" i="346" a="1"/>
  <c r="AK17" i="346" s="1"/>
  <c r="AG17" i="346" a="1"/>
  <c r="AG17" i="346" s="1"/>
  <c r="AL17" i="346" a="1"/>
  <c r="AL17" i="346" s="1"/>
  <c r="AM17" i="346" a="1"/>
  <c r="AM17" i="346" s="1"/>
  <c r="A51" i="701"/>
  <c r="A48" i="705"/>
  <c r="A52" i="705"/>
  <c r="AG10" i="705" a="1"/>
  <c r="AG10" i="705" s="1"/>
  <c r="AH10" i="705" a="1"/>
  <c r="AH10" i="705" s="1"/>
  <c r="AK10" i="705" a="1"/>
  <c r="AK10" i="705" s="1"/>
  <c r="AL10" i="705" a="1"/>
  <c r="AL10" i="705" s="1"/>
  <c r="AM10" i="705" a="1"/>
  <c r="AM10" i="705" s="1"/>
  <c r="AG23" i="703" a="1"/>
  <c r="AG23" i="703" s="1"/>
  <c r="AK23" i="703" a="1"/>
  <c r="AK23" i="703" s="1"/>
  <c r="AH23" i="703" a="1"/>
  <c r="AH23" i="703" s="1"/>
  <c r="AM23" i="703" a="1"/>
  <c r="AM23" i="703" s="1"/>
  <c r="AL23" i="703" a="1"/>
  <c r="AL23" i="703" s="1"/>
  <c r="AM15" i="701" a="1"/>
  <c r="AM15" i="701" s="1"/>
  <c r="AL15" i="701" a="1"/>
  <c r="AL15" i="701" s="1"/>
  <c r="AK15" i="701" a="1"/>
  <c r="AK15" i="701" s="1"/>
  <c r="AG15" i="701" a="1"/>
  <c r="AG15" i="701" s="1"/>
  <c r="AH15" i="701" a="1"/>
  <c r="AH15" i="701" s="1"/>
  <c r="D36" i="707"/>
  <c r="A51" i="705"/>
  <c r="A70" i="704"/>
  <c r="A64" i="705"/>
  <c r="AG12" i="705" a="1"/>
  <c r="AG12" i="705" s="1"/>
  <c r="AH12" i="705" a="1"/>
  <c r="AH12" i="705" s="1"/>
  <c r="AL12" i="705" a="1"/>
  <c r="AL12" i="705" s="1"/>
  <c r="AK12" i="705" a="1"/>
  <c r="AK12" i="705" s="1"/>
  <c r="AM12" i="705" a="1"/>
  <c r="AM12" i="705" s="1"/>
  <c r="A50" i="705"/>
  <c r="AG26" i="703" a="1"/>
  <c r="AG26" i="703" s="1"/>
  <c r="AH26" i="703" a="1"/>
  <c r="AH26" i="703" s="1"/>
  <c r="AK26" i="703" a="1"/>
  <c r="AK26" i="703" s="1"/>
  <c r="AL26" i="703" a="1"/>
  <c r="AL26" i="703" s="1"/>
  <c r="AM26" i="703" a="1"/>
  <c r="AM26" i="703" s="1"/>
  <c r="A58" i="701"/>
  <c r="A36" i="708"/>
  <c r="AG11" i="701" a="1"/>
  <c r="AG11" i="701" s="1"/>
  <c r="AH11" i="701" a="1"/>
  <c r="AH11" i="701" s="1"/>
  <c r="AL11" i="701" a="1"/>
  <c r="AL11" i="701" s="1"/>
  <c r="AK11" i="701" a="1"/>
  <c r="AK11" i="701" s="1"/>
  <c r="AM11" i="701" a="1"/>
  <c r="AM11" i="701" s="1"/>
  <c r="A55" i="701"/>
  <c r="A49" i="707"/>
  <c r="A47" i="707"/>
  <c r="A65" i="705"/>
  <c r="A55" i="703"/>
  <c r="A56" i="702"/>
  <c r="AM18" i="346" a="1"/>
  <c r="AM18" i="346" s="1"/>
  <c r="AL18" i="346" a="1"/>
  <c r="AL18" i="346" s="1"/>
  <c r="AH18" i="346" a="1"/>
  <c r="AH18" i="346" s="1"/>
  <c r="AK18" i="346" a="1"/>
  <c r="AK18" i="346" s="1"/>
  <c r="AG18" i="346" a="1"/>
  <c r="AG18" i="346" s="1"/>
  <c r="A54" i="346"/>
  <c r="AH15" i="705" a="1"/>
  <c r="AH15" i="705" s="1"/>
  <c r="AK15" i="705" a="1"/>
  <c r="AK15" i="705" s="1"/>
  <c r="AL15" i="705" a="1"/>
  <c r="AL15" i="705" s="1"/>
  <c r="AM15" i="705" a="1"/>
  <c r="AM15" i="705" s="1"/>
  <c r="AG15" i="705" a="1"/>
  <c r="AG15" i="705" s="1"/>
  <c r="D6" i="881"/>
  <c r="D16" i="881" s="1"/>
  <c r="D15" i="881"/>
  <c r="W43" i="706"/>
  <c r="A50" i="346"/>
  <c r="A59" i="701"/>
  <c r="A51" i="707"/>
  <c r="AG8" i="706" a="1"/>
  <c r="AG8" i="706" s="1"/>
  <c r="AH8" i="706" a="1"/>
  <c r="AH8" i="706" s="1"/>
  <c r="AK8" i="706" a="1"/>
  <c r="AK8" i="706" s="1"/>
  <c r="AL8" i="706" a="1"/>
  <c r="AL8" i="706" s="1"/>
  <c r="AM8" i="706" a="1"/>
  <c r="AM8" i="706" s="1"/>
  <c r="A63" i="705"/>
  <c r="A44" i="706"/>
  <c r="AG22" i="704" a="1"/>
  <c r="AG22" i="704" s="1"/>
  <c r="AH22" i="704" a="1"/>
  <c r="AH22" i="704" s="1"/>
  <c r="AK22" i="704" a="1"/>
  <c r="AK22" i="704" s="1"/>
  <c r="AL22" i="704" a="1"/>
  <c r="AL22" i="704" s="1"/>
  <c r="AM22" i="704" a="1"/>
  <c r="AM22" i="704" s="1"/>
  <c r="W35" i="706"/>
  <c r="AM17" i="703" a="1"/>
  <c r="AM17" i="703" s="1"/>
  <c r="AG17" i="703" a="1"/>
  <c r="AG17" i="703" s="1"/>
  <c r="AH17" i="703" a="1"/>
  <c r="AH17" i="703" s="1"/>
  <c r="AK17" i="703" a="1"/>
  <c r="AK17" i="703" s="1"/>
  <c r="AL17" i="703" a="1"/>
  <c r="AL17" i="703" s="1"/>
  <c r="A66" i="703"/>
  <c r="AL24" i="703" a="1"/>
  <c r="AL24" i="703" s="1"/>
  <c r="AM24" i="703" a="1"/>
  <c r="AM24" i="703" s="1"/>
  <c r="AG24" i="703" a="1"/>
  <c r="AG24" i="703" s="1"/>
  <c r="AH24" i="703" a="1"/>
  <c r="AH24" i="703" s="1"/>
  <c r="AK24" i="703" a="1"/>
  <c r="AK24" i="703" s="1"/>
  <c r="A48" i="702"/>
  <c r="AM39" i="702" a="1"/>
  <c r="AM39" i="702" s="1"/>
  <c r="AL39" i="702" a="1"/>
  <c r="AL39" i="702" s="1"/>
  <c r="W45" i="706"/>
  <c r="AG19" i="346" a="1"/>
  <c r="AG19" i="346" s="1"/>
  <c r="AH19" i="346" a="1"/>
  <c r="AH19" i="346" s="1"/>
  <c r="AK19" i="346" a="1"/>
  <c r="AK19" i="346" s="1"/>
  <c r="AM19" i="346" a="1"/>
  <c r="AM19" i="346" s="1"/>
  <c r="AL19" i="346" a="1"/>
  <c r="AL19" i="346" s="1"/>
  <c r="A56" i="701"/>
  <c r="AL27" i="704" a="1"/>
  <c r="AL27" i="704" s="1"/>
  <c r="AM27" i="704" a="1"/>
  <c r="AM27" i="704" s="1"/>
  <c r="AG27" i="704" a="1"/>
  <c r="AG27" i="704" s="1"/>
  <c r="AH27" i="704" a="1"/>
  <c r="AH27" i="704" s="1"/>
  <c r="AK27" i="704" a="1"/>
  <c r="AK27" i="704" s="1"/>
  <c r="AG13" i="704" a="1"/>
  <c r="AG13" i="704" s="1"/>
  <c r="AK13" i="704" a="1"/>
  <c r="AK13" i="704" s="1"/>
  <c r="AL13" i="704" a="1"/>
  <c r="AL13" i="704" s="1"/>
  <c r="AM13" i="704" a="1"/>
  <c r="AM13" i="704" s="1"/>
  <c r="AH13" i="704" a="1"/>
  <c r="AH13" i="704" s="1"/>
  <c r="AG18" i="702" a="1"/>
  <c r="AG18" i="702" s="1"/>
  <c r="AM18" i="702" a="1"/>
  <c r="AM18" i="702" s="1"/>
  <c r="AH18" i="702" a="1"/>
  <c r="AH18" i="702" s="1"/>
  <c r="AK18" i="702" a="1"/>
  <c r="AK18" i="702" s="1"/>
  <c r="AL18" i="702" a="1"/>
  <c r="AL18" i="702" s="1"/>
  <c r="AL32" i="702" s="1"/>
  <c r="W41" i="708"/>
  <c r="A59" i="707"/>
  <c r="AG10" i="706" a="1"/>
  <c r="AG10" i="706" s="1"/>
  <c r="AH10" i="706" a="1"/>
  <c r="AH10" i="706" s="1"/>
  <c r="AK10" i="706" a="1"/>
  <c r="AK10" i="706" s="1"/>
  <c r="AL10" i="706" a="1"/>
  <c r="AL10" i="706" s="1"/>
  <c r="AM10" i="706" a="1"/>
  <c r="AM10" i="706" s="1"/>
  <c r="AG18" i="704" a="1"/>
  <c r="AG18" i="704" s="1"/>
  <c r="AK18" i="704" a="1"/>
  <c r="AK18" i="704" s="1"/>
  <c r="AL18" i="704" a="1"/>
  <c r="AL18" i="704" s="1"/>
  <c r="AM18" i="704" a="1"/>
  <c r="AM18" i="704" s="1"/>
  <c r="AH18" i="704" a="1"/>
  <c r="AH18" i="704" s="1"/>
  <c r="AG11" i="704" a="1"/>
  <c r="AG11" i="704" s="1"/>
  <c r="AH11" i="704" a="1"/>
  <c r="AH11" i="704" s="1"/>
  <c r="AL11" i="704" a="1"/>
  <c r="AL11" i="704" s="1"/>
  <c r="AM11" i="704" a="1"/>
  <c r="AM11" i="704" s="1"/>
  <c r="AK11" i="704" a="1"/>
  <c r="AK11" i="704" s="1"/>
  <c r="W37" i="706"/>
  <c r="A63" i="703"/>
  <c r="AG9" i="702" a="1"/>
  <c r="AG9" i="702" s="1"/>
  <c r="AL9" i="702" a="1"/>
  <c r="AL9" i="702" s="1"/>
  <c r="AH9" i="702" a="1"/>
  <c r="AH9" i="702" s="1"/>
  <c r="AM9" i="702" a="1"/>
  <c r="AM9" i="702" s="1"/>
  <c r="AK9" i="702" a="1"/>
  <c r="AK9" i="702" s="1"/>
  <c r="A47" i="701"/>
  <c r="W51" i="708"/>
  <c r="I12" i="881"/>
  <c r="G17" i="881"/>
  <c r="G16" i="881"/>
  <c r="G13" i="881"/>
  <c r="G15" i="881"/>
  <c r="G14" i="881"/>
  <c r="G20" i="881"/>
  <c r="AK25" i="701" a="1"/>
  <c r="AK25" i="701" s="1"/>
  <c r="AL25" i="701" a="1"/>
  <c r="AL25" i="701" s="1"/>
  <c r="AM25" i="701" a="1"/>
  <c r="AM25" i="701" s="1"/>
  <c r="AG25" i="701" a="1"/>
  <c r="AG25" i="701" s="1"/>
  <c r="AH25" i="701" a="1"/>
  <c r="AH25" i="701" s="1"/>
  <c r="A53" i="701"/>
  <c r="AH24" i="705" a="1"/>
  <c r="AH24" i="705" s="1"/>
  <c r="AK24" i="705" a="1"/>
  <c r="AK24" i="705" s="1"/>
  <c r="AL24" i="705" a="1"/>
  <c r="AL24" i="705" s="1"/>
  <c r="AG24" i="705" a="1"/>
  <c r="AG24" i="705" s="1"/>
  <c r="AM24" i="705" a="1"/>
  <c r="AM24" i="705" s="1"/>
  <c r="A41" i="704"/>
  <c r="AE41" i="704"/>
  <c r="AM23" i="346" a="1"/>
  <c r="AM23" i="346" s="1"/>
  <c r="AK23" i="346" a="1"/>
  <c r="AK23" i="346" s="1"/>
  <c r="AL23" i="346" a="1"/>
  <c r="AL23" i="346" s="1"/>
  <c r="AH23" i="346" a="1"/>
  <c r="AH23" i="346" s="1"/>
  <c r="AG23" i="346" a="1"/>
  <c r="AG23" i="346" s="1"/>
  <c r="P35" i="706"/>
  <c r="AL8" i="701" a="1"/>
  <c r="AL8" i="701" s="1"/>
  <c r="AG8" i="701" a="1"/>
  <c r="AG8" i="701" s="1"/>
  <c r="AK8" i="701" a="1"/>
  <c r="AK8" i="701" s="1"/>
  <c r="AM8" i="701" a="1"/>
  <c r="AM8" i="701" s="1"/>
  <c r="AH8" i="701" a="1"/>
  <c r="AH8" i="701" s="1"/>
  <c r="A66" i="346"/>
  <c r="AM18" i="707" a="1"/>
  <c r="AM18" i="707" s="1"/>
  <c r="AG18" i="707" a="1"/>
  <c r="AG18" i="707" s="1"/>
  <c r="AH18" i="707" a="1"/>
  <c r="AH18" i="707" s="1"/>
  <c r="AK18" i="707" a="1"/>
  <c r="AK18" i="707" s="1"/>
  <c r="AL18" i="707" a="1"/>
  <c r="AL18" i="707" s="1"/>
  <c r="A46" i="708"/>
  <c r="AG25" i="704" a="1"/>
  <c r="AG25" i="704" s="1"/>
  <c r="AH25" i="704" a="1"/>
  <c r="AH25" i="704" s="1"/>
  <c r="AM25" i="704" a="1"/>
  <c r="AM25" i="704" s="1"/>
  <c r="AK25" i="704" a="1"/>
  <c r="AK25" i="704" s="1"/>
  <c r="AL25" i="704" a="1"/>
  <c r="AL25" i="704" s="1"/>
  <c r="AK20" i="704" a="1"/>
  <c r="AK20" i="704" s="1"/>
  <c r="AL20" i="704" a="1"/>
  <c r="AL20" i="704" s="1"/>
  <c r="AH20" i="704" a="1"/>
  <c r="AH20" i="704" s="1"/>
  <c r="AM20" i="704" a="1"/>
  <c r="AM20" i="704" s="1"/>
  <c r="AG20" i="704" a="1"/>
  <c r="AG20" i="704" s="1"/>
  <c r="A50" i="703"/>
  <c r="AG18" i="701" a="1"/>
  <c r="AG18" i="701" s="1"/>
  <c r="AK18" i="701" a="1"/>
  <c r="AK18" i="701" s="1"/>
  <c r="AL18" i="701" a="1"/>
  <c r="AL18" i="701" s="1"/>
  <c r="AM18" i="701" a="1"/>
  <c r="AM18" i="701" s="1"/>
  <c r="AH18" i="701" a="1"/>
  <c r="AH18" i="701" s="1"/>
  <c r="A48" i="701"/>
  <c r="A61" i="705"/>
  <c r="A58" i="702"/>
  <c r="A53" i="707"/>
  <c r="AM19" i="705" a="1"/>
  <c r="AM19" i="705" s="1"/>
  <c r="AK19" i="705" a="1"/>
  <c r="AK19" i="705" s="1"/>
  <c r="AL19" i="705" a="1"/>
  <c r="AL19" i="705" s="1"/>
  <c r="AG19" i="705" a="1"/>
  <c r="AG19" i="705" s="1"/>
  <c r="AH19" i="705" a="1"/>
  <c r="AH19" i="705" s="1"/>
  <c r="AG21" i="707" a="1"/>
  <c r="AG21" i="707" s="1"/>
  <c r="AM21" i="707" a="1"/>
  <c r="AM21" i="707" s="1"/>
  <c r="AH21" i="707" a="1"/>
  <c r="AH21" i="707" s="1"/>
  <c r="AK21" i="707" a="1"/>
  <c r="AK21" i="707" s="1"/>
  <c r="AL21" i="707" a="1"/>
  <c r="AL21" i="707" s="1"/>
  <c r="AK10" i="704" a="1"/>
  <c r="AK10" i="704" s="1"/>
  <c r="AL10" i="704" a="1"/>
  <c r="AL10" i="704" s="1"/>
  <c r="AM10" i="704" a="1"/>
  <c r="AM10" i="704" s="1"/>
  <c r="AG10" i="704" a="1"/>
  <c r="AG10" i="704" s="1"/>
  <c r="AH10" i="704" a="1"/>
  <c r="AH10" i="704" s="1"/>
  <c r="A53" i="703"/>
  <c r="AG21" i="346" a="1"/>
  <c r="AG21" i="346" s="1"/>
  <c r="AH21" i="346" a="1"/>
  <c r="AH21" i="346" s="1"/>
  <c r="AL21" i="346" a="1"/>
  <c r="AL21" i="346" s="1"/>
  <c r="AK21" i="346" a="1"/>
  <c r="AK21" i="346" s="1"/>
  <c r="AM21" i="346" a="1"/>
  <c r="AM21" i="346" s="1"/>
  <c r="AG25" i="346" a="1"/>
  <c r="AG25" i="346" s="1"/>
  <c r="AK25" i="346" a="1"/>
  <c r="AK25" i="346" s="1"/>
  <c r="AL25" i="346" a="1"/>
  <c r="AL25" i="346" s="1"/>
  <c r="AM25" i="346" a="1"/>
  <c r="AM25" i="346" s="1"/>
  <c r="AH25" i="346" a="1"/>
  <c r="AH25" i="346" s="1"/>
  <c r="A52" i="701"/>
  <c r="AG13" i="708" a="1"/>
  <c r="AG13" i="708" s="1"/>
  <c r="AK13" i="708" a="1"/>
  <c r="AK13" i="708" s="1"/>
  <c r="AM13" i="708" a="1"/>
  <c r="AM13" i="708" s="1"/>
  <c r="AL13" i="708" a="1"/>
  <c r="AL13" i="708" s="1"/>
  <c r="AH13" i="708" a="1"/>
  <c r="AH13" i="708" s="1"/>
  <c r="A54" i="705"/>
  <c r="W55" i="707"/>
  <c r="E34" i="778" s="1"/>
  <c r="AG27" i="346" a="1"/>
  <c r="AG27" i="346" s="1"/>
  <c r="AH27" i="346" a="1"/>
  <c r="AH27" i="346" s="1"/>
  <c r="AK27" i="346" a="1"/>
  <c r="AK27" i="346" s="1"/>
  <c r="AL27" i="346" a="1"/>
  <c r="AL27" i="346" s="1"/>
  <c r="AM27" i="346" a="1"/>
  <c r="AM27" i="346" s="1"/>
  <c r="A46" i="707"/>
  <c r="A47" i="708"/>
  <c r="AH25" i="707" a="1"/>
  <c r="AH25" i="707" s="1"/>
  <c r="AG25" i="707" a="1"/>
  <c r="AG25" i="707" s="1"/>
  <c r="AK25" i="707" a="1"/>
  <c r="AK25" i="707" s="1"/>
  <c r="AL25" i="707" a="1"/>
  <c r="AL25" i="707" s="1"/>
  <c r="AM25" i="707" a="1"/>
  <c r="AM25" i="707" s="1"/>
  <c r="AL20" i="707" a="1"/>
  <c r="AL20" i="707" s="1"/>
  <c r="AL28" i="707" s="1"/>
  <c r="AM20" i="707" a="1"/>
  <c r="AM20" i="707" s="1"/>
  <c r="AK20" i="707" a="1"/>
  <c r="AK20" i="707" s="1"/>
  <c r="AH20" i="707" a="1"/>
  <c r="AH20" i="707" s="1"/>
  <c r="AG20" i="707" a="1"/>
  <c r="AG20" i="707" s="1"/>
  <c r="A62" i="707"/>
  <c r="W42" i="708"/>
  <c r="AK25" i="705" a="1"/>
  <c r="AK25" i="705" s="1"/>
  <c r="AL25" i="705" a="1"/>
  <c r="AL25" i="705" s="1"/>
  <c r="AG25" i="705" a="1"/>
  <c r="AG25" i="705" s="1"/>
  <c r="AM25" i="705" a="1"/>
  <c r="AM25" i="705" s="1"/>
  <c r="AH25" i="705" a="1"/>
  <c r="AH25" i="705" s="1"/>
  <c r="A60" i="705"/>
  <c r="AM15" i="704" a="1"/>
  <c r="AM15" i="704" s="1"/>
  <c r="AG15" i="704" a="1"/>
  <c r="AG15" i="704" s="1"/>
  <c r="AH15" i="704" a="1"/>
  <c r="AH15" i="704" s="1"/>
  <c r="AL15" i="704" a="1"/>
  <c r="AL15" i="704" s="1"/>
  <c r="AK15" i="704" a="1"/>
  <c r="AK15" i="704" s="1"/>
  <c r="A39" i="706"/>
  <c r="AG20" i="703" a="1"/>
  <c r="AG20" i="703" s="1"/>
  <c r="AH20" i="703" a="1"/>
  <c r="AH20" i="703" s="1"/>
  <c r="AK20" i="703" a="1"/>
  <c r="AK20" i="703" s="1"/>
  <c r="AL20" i="703" a="1"/>
  <c r="AL20" i="703" s="1"/>
  <c r="AM20" i="703" a="1"/>
  <c r="AM20" i="703" s="1"/>
  <c r="W54" i="706"/>
  <c r="A63" i="702"/>
  <c r="AM31" i="702"/>
  <c r="AM32" i="702"/>
  <c r="AM30" i="702"/>
  <c r="A63" i="701"/>
  <c r="A57" i="346"/>
  <c r="A56" i="703"/>
  <c r="AG9" i="708" a="1"/>
  <c r="AG9" i="708" s="1"/>
  <c r="AH9" i="708" a="1"/>
  <c r="AH9" i="708" s="1"/>
  <c r="AM9" i="708" a="1"/>
  <c r="AM9" i="708" s="1"/>
  <c r="AK9" i="708" a="1"/>
  <c r="AK9" i="708" s="1"/>
  <c r="AL9" i="708" a="1"/>
  <c r="AL9" i="708" s="1"/>
  <c r="A63" i="707"/>
  <c r="AG16" i="707" a="1"/>
  <c r="AG16" i="707" s="1"/>
  <c r="AK16" i="707" a="1"/>
  <c r="AK16" i="707" s="1"/>
  <c r="AH16" i="707" a="1"/>
  <c r="AH16" i="707" s="1"/>
  <c r="AL16" i="707" a="1"/>
  <c r="AL16" i="707" s="1"/>
  <c r="AM16" i="707" a="1"/>
  <c r="AM16" i="707" s="1"/>
  <c r="W43" i="708"/>
  <c r="W52" i="708"/>
  <c r="A54" i="704"/>
  <c r="AG13" i="706" a="1"/>
  <c r="AG13" i="706" s="1"/>
  <c r="AM13" i="706" a="1"/>
  <c r="AM13" i="706" s="1"/>
  <c r="AH13" i="706" a="1"/>
  <c r="AH13" i="706" s="1"/>
  <c r="AK13" i="706" a="1"/>
  <c r="AK13" i="706" s="1"/>
  <c r="AL13" i="706" a="1"/>
  <c r="AL13" i="706" s="1"/>
  <c r="A59" i="703"/>
  <c r="AG14" i="346" a="1"/>
  <c r="AG14" i="346" s="1"/>
  <c r="AH14" i="346" a="1"/>
  <c r="AH14" i="346" s="1"/>
  <c r="AK14" i="346" a="1"/>
  <c r="AK14" i="346" s="1"/>
  <c r="AL14" i="346" a="1"/>
  <c r="AL14" i="346" s="1"/>
  <c r="AM14" i="346" a="1"/>
  <c r="AM14" i="346" s="1"/>
  <c r="AK22" i="701" a="1"/>
  <c r="AK22" i="701" s="1"/>
  <c r="AL22" i="701" a="1"/>
  <c r="AL22" i="701" s="1"/>
  <c r="AG22" i="701" a="1"/>
  <c r="AG22" i="701" s="1"/>
  <c r="AM22" i="701" a="1"/>
  <c r="AM22" i="701" s="1"/>
  <c r="AH22" i="701" a="1"/>
  <c r="AH22" i="701" s="1"/>
  <c r="AL29" i="702"/>
  <c r="AL31" i="702"/>
  <c r="AG16" i="346" a="1"/>
  <c r="AG16" i="346" s="1"/>
  <c r="AK16" i="346" a="1"/>
  <c r="AK16" i="346" s="1"/>
  <c r="AL16" i="346" a="1"/>
  <c r="AL16" i="346" s="1"/>
  <c r="AH16" i="346" a="1"/>
  <c r="AH16" i="346" s="1"/>
  <c r="AM16" i="346" a="1"/>
  <c r="AM16" i="346" s="1"/>
  <c r="A60" i="701"/>
  <c r="AG22" i="705" a="1"/>
  <c r="AG22" i="705" s="1"/>
  <c r="AH22" i="705" a="1"/>
  <c r="AH22" i="705" s="1"/>
  <c r="AL22" i="705" a="1"/>
  <c r="AL22" i="705" s="1"/>
  <c r="AK22" i="705" a="1"/>
  <c r="AK22" i="705" s="1"/>
  <c r="AM22" i="705" a="1"/>
  <c r="AM22" i="705" s="1"/>
  <c r="AK26" i="701" a="1"/>
  <c r="AK26" i="701" s="1"/>
  <c r="AM26" i="701" a="1"/>
  <c r="AM26" i="701" s="1"/>
  <c r="AL26" i="701" a="1"/>
  <c r="AL26" i="701" s="1"/>
  <c r="AG26" i="701" a="1"/>
  <c r="AG26" i="701" s="1"/>
  <c r="AH26" i="701" a="1"/>
  <c r="AH26" i="701" s="1"/>
  <c r="A52" i="346"/>
  <c r="AG23" i="707" a="1"/>
  <c r="AG23" i="707" s="1"/>
  <c r="AK23" i="707" a="1"/>
  <c r="AK23" i="707" s="1"/>
  <c r="AL23" i="707" a="1"/>
  <c r="AL23" i="707" s="1"/>
  <c r="AH23" i="707" a="1"/>
  <c r="AH23" i="707" s="1"/>
  <c r="AM23" i="707" a="1"/>
  <c r="AM23" i="707" s="1"/>
  <c r="AH11" i="702" a="1"/>
  <c r="AH11" i="702" s="1"/>
  <c r="AK11" i="702" a="1"/>
  <c r="AK11" i="702" s="1"/>
  <c r="AL11" i="702" a="1"/>
  <c r="AL11" i="702" s="1"/>
  <c r="AL30" i="702" s="1"/>
  <c r="AG11" i="702" a="1"/>
  <c r="AG11" i="702" s="1"/>
  <c r="AM11" i="702" a="1"/>
  <c r="AM11" i="702" s="1"/>
  <c r="AM29" i="702" s="1"/>
  <c r="AL28" i="708" a="1"/>
  <c r="AL28" i="708" s="1"/>
  <c r="AM28" i="708" a="1"/>
  <c r="AM28" i="708" s="1"/>
  <c r="A61" i="707"/>
  <c r="A66" i="704"/>
  <c r="A59" i="705"/>
  <c r="A57" i="704"/>
  <c r="A62" i="703"/>
  <c r="A60" i="702"/>
  <c r="A69" i="704"/>
  <c r="AH13" i="701" a="1"/>
  <c r="AH13" i="701" s="1"/>
  <c r="AK13" i="701" a="1"/>
  <c r="AK13" i="701" s="1"/>
  <c r="AG13" i="701" a="1"/>
  <c r="AG13" i="701" s="1"/>
  <c r="AL13" i="701" a="1"/>
  <c r="AL13" i="701" s="1"/>
  <c r="AM13" i="701" a="1"/>
  <c r="AM13" i="701" s="1"/>
  <c r="AK10" i="701" a="1"/>
  <c r="AK10" i="701" s="1"/>
  <c r="AM10" i="701" a="1"/>
  <c r="AM10" i="701" s="1"/>
  <c r="AH10" i="701" a="1"/>
  <c r="AH10" i="701" s="1"/>
  <c r="AG10" i="701" a="1"/>
  <c r="AG10" i="701" s="1"/>
  <c r="AL10" i="701" a="1"/>
  <c r="AL10" i="701" s="1"/>
  <c r="C47" i="708"/>
  <c r="E23" i="708" l="1"/>
  <c r="D23" i="708"/>
  <c r="AM16" i="708"/>
  <c r="AL15" i="708"/>
  <c r="AL17" i="708"/>
  <c r="AM17" i="708"/>
  <c r="AL29" i="707"/>
  <c r="AM28" i="707"/>
  <c r="AM30" i="707"/>
  <c r="AM31" i="707"/>
  <c r="AL16" i="708"/>
  <c r="AL18" i="708"/>
  <c r="AM29" i="707"/>
  <c r="AL31" i="707"/>
  <c r="AM15" i="708"/>
  <c r="AM18" i="708"/>
  <c r="AL30" i="707"/>
  <c r="I13" i="881"/>
  <c r="K12" i="881"/>
  <c r="I17" i="881"/>
  <c r="I14" i="881"/>
  <c r="I15" i="881"/>
  <c r="I20" i="881"/>
  <c r="I16" i="881"/>
  <c r="K13" i="881" l="1"/>
  <c r="M12" i="881"/>
  <c r="K14" i="881"/>
  <c r="K17" i="881"/>
  <c r="K20" i="881"/>
  <c r="K16" i="881"/>
  <c r="K15" i="881"/>
  <c r="M22" i="881" l="1"/>
  <c r="M14" i="881"/>
  <c r="M13" i="881"/>
  <c r="M18" i="881"/>
  <c r="M16" i="881"/>
  <c r="M19" i="881"/>
  <c r="M15" i="881"/>
  <c r="M17" i="881"/>
  <c r="M20" i="881"/>
  <c r="M21" i="881"/>
  <c r="N43" i="881" a="1"/>
  <c r="N43" i="881"/>
  <c r="N44" i="881" a="1"/>
  <c r="N44" i="881"/>
  <c r="N49" i="881"/>
  <c r="N50" i="881"/>
  <c r="B55" i="881"/>
  <c r="B56" i="881"/>
  <c r="B57" i="881"/>
  <c r="B58" i="881"/>
  <c r="A1" i="4"/>
  <c r="C5" i="4"/>
  <c r="A8" i="4"/>
  <c r="A9" i="4"/>
  <c r="A10" i="4"/>
  <c r="A11" i="4"/>
  <c r="A12" i="4"/>
  <c r="A13" i="4"/>
  <c r="A14" i="4"/>
  <c r="A15" i="4"/>
  <c r="A16" i="4"/>
  <c r="A17" i="4"/>
  <c r="A18" i="4"/>
  <c r="A19" i="4"/>
  <c r="A20" i="4"/>
  <c r="A21" i="4"/>
  <c r="A22" i="4"/>
  <c r="A23" i="4"/>
  <c r="A24" i="4"/>
  <c r="A25" i="4"/>
  <c r="A26" i="4"/>
  <c r="A27" i="4"/>
  <c r="A34" i="4"/>
  <c r="C37" i="4"/>
  <c r="C39" i="4"/>
  <c r="F10" i="2"/>
  <c r="F11" i="2" s="1"/>
  <c r="E19" i="2"/>
  <c r="C32" i="2"/>
  <c r="A32" i="2"/>
  <c r="B32" i="2"/>
  <c r="F32" i="2"/>
  <c r="G32" i="2"/>
  <c r="H32" i="2"/>
  <c r="I32" i="2"/>
  <c r="R32" i="2"/>
  <c r="G33" i="2"/>
  <c r="H33" i="2" s="1"/>
  <c r="F33" i="2"/>
  <c r="G34" i="2"/>
  <c r="F34" i="2"/>
  <c r="H34" i="2"/>
  <c r="AF32" i="2"/>
  <c r="AF33" i="2"/>
  <c r="AF34" i="2"/>
  <c r="L33" i="2"/>
  <c r="L34" i="2" s="1"/>
  <c r="R34" i="2" s="1"/>
  <c r="M33" i="2"/>
  <c r="M34" i="2" s="1"/>
  <c r="N33" i="2"/>
  <c r="N34" i="2" s="1"/>
  <c r="R33" i="2"/>
  <c r="E35" i="2"/>
  <c r="R35" i="2"/>
  <c r="E36" i="2"/>
  <c r="E39" i="2" s="1"/>
  <c r="G36" i="2"/>
  <c r="H36" i="2" s="1"/>
  <c r="F36" i="2"/>
  <c r="E37" i="2"/>
  <c r="G37" i="2"/>
  <c r="H37" i="2" s="1"/>
  <c r="F37" i="2"/>
  <c r="AF35" i="2"/>
  <c r="AF36" i="2"/>
  <c r="AF37" i="2"/>
  <c r="L36" i="2"/>
  <c r="M36" i="2"/>
  <c r="M37" i="2" s="1"/>
  <c r="N36" i="2"/>
  <c r="N37" i="2" s="1"/>
  <c r="R36" i="2"/>
  <c r="L37" i="2"/>
  <c r="R37" i="2" s="1"/>
  <c r="R38" i="2"/>
  <c r="E40" i="2"/>
  <c r="G40" i="2" s="1"/>
  <c r="AF38" i="2"/>
  <c r="AF39" i="2"/>
  <c r="AF40" i="2"/>
  <c r="L39" i="2"/>
  <c r="L40" i="2" s="1"/>
  <c r="R40" i="2" s="1"/>
  <c r="M39" i="2"/>
  <c r="M40" i="2" s="1"/>
  <c r="N39" i="2"/>
  <c r="R39" i="2"/>
  <c r="N40" i="2"/>
  <c r="R41" i="2"/>
  <c r="E42" i="2"/>
  <c r="AF41" i="2"/>
  <c r="AF42" i="2"/>
  <c r="AF43" i="2"/>
  <c r="L42" i="2"/>
  <c r="L43" i="2" s="1"/>
  <c r="R43" i="2" s="1"/>
  <c r="M42" i="2"/>
  <c r="M43" i="2" s="1"/>
  <c r="N42" i="2"/>
  <c r="N43" i="2" s="1"/>
  <c r="R42" i="2"/>
  <c r="R44" i="2"/>
  <c r="AF44" i="2"/>
  <c r="AF45" i="2"/>
  <c r="AR44" i="2"/>
  <c r="AS44" i="2"/>
  <c r="AS45" i="2"/>
  <c r="AR46" i="2"/>
  <c r="AS46" i="2" s="1"/>
  <c r="AT44" i="2" s="1"/>
  <c r="L45" i="2"/>
  <c r="M45" i="2"/>
  <c r="M46" i="2" s="1"/>
  <c r="N45" i="2"/>
  <c r="N46" i="2"/>
  <c r="AF46" i="2"/>
  <c r="R47" i="2"/>
  <c r="AF47" i="2"/>
  <c r="AF48" i="2"/>
  <c r="AF49" i="2"/>
  <c r="L48" i="2"/>
  <c r="M48" i="2"/>
  <c r="M49" i="2" s="1"/>
  <c r="N48" i="2"/>
  <c r="N49" i="2" s="1"/>
  <c r="R48" i="2"/>
  <c r="L49" i="2"/>
  <c r="R49" i="2"/>
  <c r="R50" i="2"/>
  <c r="AF50" i="2"/>
  <c r="AF51" i="2"/>
  <c r="L51" i="2"/>
  <c r="R51" i="2" s="1"/>
  <c r="M51" i="2"/>
  <c r="M52" i="2" s="1"/>
  <c r="N51" i="2"/>
  <c r="N52" i="2" s="1"/>
  <c r="L52" i="2"/>
  <c r="R52" i="2" s="1"/>
  <c r="AF52" i="2"/>
  <c r="C53" i="2"/>
  <c r="E53" i="2"/>
  <c r="A53" i="2"/>
  <c r="B53" i="2"/>
  <c r="F53" i="2"/>
  <c r="G53" i="2"/>
  <c r="H53" i="2" s="1"/>
  <c r="J53" i="2"/>
  <c r="AK53" i="2" s="1"/>
  <c r="E54" i="2"/>
  <c r="G54" i="2"/>
  <c r="H54" i="2" s="1"/>
  <c r="F54" i="2"/>
  <c r="I54" i="2"/>
  <c r="I55" i="2" s="1"/>
  <c r="E55" i="2"/>
  <c r="E58" i="2" s="1"/>
  <c r="F55" i="2"/>
  <c r="AF53" i="2"/>
  <c r="AF54" i="2"/>
  <c r="AF55" i="2"/>
  <c r="L54" i="2"/>
  <c r="M54" i="2"/>
  <c r="M55" i="2" s="1"/>
  <c r="N54" i="2"/>
  <c r="L55" i="2"/>
  <c r="N55" i="2"/>
  <c r="E56" i="2"/>
  <c r="E57" i="2"/>
  <c r="E60" i="2" s="1"/>
  <c r="G57" i="2"/>
  <c r="H57" i="2" s="1"/>
  <c r="F57" i="2"/>
  <c r="AF56" i="2"/>
  <c r="AF57" i="2"/>
  <c r="AF58" i="2"/>
  <c r="L57" i="2"/>
  <c r="L58" i="2" s="1"/>
  <c r="M57" i="2"/>
  <c r="M58" i="2" s="1"/>
  <c r="N57" i="2"/>
  <c r="N58" i="2" s="1"/>
  <c r="E61" i="2"/>
  <c r="E64" i="2" s="1"/>
  <c r="G61" i="2"/>
  <c r="AF59" i="2"/>
  <c r="AF60" i="2"/>
  <c r="AF61" i="2"/>
  <c r="L60" i="2"/>
  <c r="M60" i="2"/>
  <c r="N60" i="2"/>
  <c r="N61" i="2" s="1"/>
  <c r="L61" i="2"/>
  <c r="M61" i="2"/>
  <c r="E63" i="2"/>
  <c r="G63" i="2" s="1"/>
  <c r="S64" i="2"/>
  <c r="AF62" i="2"/>
  <c r="AF63" i="2"/>
  <c r="AF64" i="2"/>
  <c r="L63" i="2"/>
  <c r="L64" i="2" s="1"/>
  <c r="M63" i="2"/>
  <c r="M64" i="2" s="1"/>
  <c r="N63" i="2"/>
  <c r="N64" i="2" s="1"/>
  <c r="AF65" i="2"/>
  <c r="AF66" i="2"/>
  <c r="E67" i="2"/>
  <c r="F67" i="2" s="1"/>
  <c r="L66" i="2"/>
  <c r="L67" i="2" s="1"/>
  <c r="M66" i="2"/>
  <c r="M67" i="2" s="1"/>
  <c r="N66" i="2"/>
  <c r="N67" i="2"/>
  <c r="C68" i="2"/>
  <c r="E68" i="2"/>
  <c r="A68" i="2"/>
  <c r="B68" i="2"/>
  <c r="F68" i="2"/>
  <c r="G68" i="2"/>
  <c r="H68" i="2" s="1"/>
  <c r="E69" i="2"/>
  <c r="G69" i="2"/>
  <c r="H69" i="2" s="1"/>
  <c r="F69" i="2"/>
  <c r="I69" i="2"/>
  <c r="I70" i="2" s="1"/>
  <c r="E70" i="2"/>
  <c r="E73" i="2" s="1"/>
  <c r="G70" i="2"/>
  <c r="X68" i="2"/>
  <c r="Z68" i="2"/>
  <c r="AM68" i="2" s="1"/>
  <c r="AB68" i="2"/>
  <c r="AF68" i="2" s="1"/>
  <c r="AA69" i="2"/>
  <c r="AB69" i="2"/>
  <c r="AF69" i="2" s="1"/>
  <c r="AF70" i="2"/>
  <c r="AJ68" i="2"/>
  <c r="L69" i="2"/>
  <c r="M69" i="2"/>
  <c r="N69" i="2"/>
  <c r="N70" i="2" s="1"/>
  <c r="L70" i="2"/>
  <c r="M70" i="2"/>
  <c r="I71" i="2"/>
  <c r="I72" i="2" s="1"/>
  <c r="E72" i="2"/>
  <c r="E75" i="2" s="1"/>
  <c r="G75" i="2" s="1"/>
  <c r="F72" i="2"/>
  <c r="I73" i="2"/>
  <c r="I74" i="2" s="1"/>
  <c r="X71" i="2"/>
  <c r="Z71" i="2" s="1"/>
  <c r="AB71" i="2"/>
  <c r="AF71" i="2"/>
  <c r="AA72" i="2"/>
  <c r="AF72" i="2" s="1"/>
  <c r="AB72" i="2"/>
  <c r="AF73" i="2"/>
  <c r="L72" i="2"/>
  <c r="M72" i="2"/>
  <c r="N72" i="2"/>
  <c r="L73" i="2"/>
  <c r="M73" i="2"/>
  <c r="N73" i="2"/>
  <c r="AB74" i="2"/>
  <c r="AF74" i="2" s="1"/>
  <c r="AA75" i="2"/>
  <c r="AF75" i="2" s="1"/>
  <c r="AB75" i="2"/>
  <c r="AF76" i="2"/>
  <c r="L75" i="2"/>
  <c r="M75" i="2"/>
  <c r="N75" i="2"/>
  <c r="L76" i="2"/>
  <c r="M76" i="2"/>
  <c r="N76" i="2"/>
  <c r="E78" i="2"/>
  <c r="X77" i="2"/>
  <c r="Z77" i="2"/>
  <c r="AF77" i="2"/>
  <c r="AA78" i="2"/>
  <c r="AB78" i="2"/>
  <c r="AF78" i="2" s="1"/>
  <c r="AF79" i="2"/>
  <c r="L78" i="2"/>
  <c r="L79" i="2" s="1"/>
  <c r="M78" i="2"/>
  <c r="N78" i="2"/>
  <c r="N79" i="2" s="1"/>
  <c r="M79" i="2"/>
  <c r="X80" i="2"/>
  <c r="Z80" i="2"/>
  <c r="AB80" i="2"/>
  <c r="AF80" i="2"/>
  <c r="AA81" i="2"/>
  <c r="AF81" i="2" s="1"/>
  <c r="AB81" i="2"/>
  <c r="AF82" i="2"/>
  <c r="L81" i="2"/>
  <c r="M81" i="2"/>
  <c r="N81" i="2"/>
  <c r="L82" i="2"/>
  <c r="M82" i="2"/>
  <c r="N82" i="2"/>
  <c r="C83" i="2"/>
  <c r="E83" i="2"/>
  <c r="A83" i="2" s="1"/>
  <c r="G83" i="2"/>
  <c r="J83" i="2"/>
  <c r="R83" i="2" s="1"/>
  <c r="E84" i="2"/>
  <c r="G84" i="2"/>
  <c r="I84" i="2"/>
  <c r="I85" i="2"/>
  <c r="I86" i="2" s="1"/>
  <c r="J86" i="2" s="1"/>
  <c r="X83" i="2"/>
  <c r="Z83" i="2"/>
  <c r="AM83" i="2" s="1"/>
  <c r="AA83" i="2"/>
  <c r="AB83" i="2"/>
  <c r="AF84" i="2"/>
  <c r="AF85" i="2"/>
  <c r="AJ83" i="2"/>
  <c r="C84" i="2"/>
  <c r="L84" i="2"/>
  <c r="M84" i="2"/>
  <c r="M85" i="2" s="1"/>
  <c r="N84" i="2"/>
  <c r="N85" i="2" s="1"/>
  <c r="L85" i="2"/>
  <c r="E86" i="2"/>
  <c r="G86" i="2" s="1"/>
  <c r="R86" i="2"/>
  <c r="I87" i="2"/>
  <c r="I88" i="2" s="1"/>
  <c r="X86" i="2"/>
  <c r="Z86" i="2"/>
  <c r="AA86" i="2"/>
  <c r="AB86" i="2"/>
  <c r="AF86" i="2" s="1"/>
  <c r="AK86" i="2" s="1"/>
  <c r="AG86" i="2" s="1"/>
  <c r="AF87" i="2"/>
  <c r="AF88" i="2"/>
  <c r="AJ86" i="2"/>
  <c r="L87" i="2"/>
  <c r="L88" i="2" s="1"/>
  <c r="M87" i="2"/>
  <c r="M88" i="2" s="1"/>
  <c r="N87" i="2"/>
  <c r="N88" i="2" s="1"/>
  <c r="E89" i="2"/>
  <c r="I89" i="2"/>
  <c r="X89" i="2"/>
  <c r="Z89" i="2"/>
  <c r="AA89" i="2"/>
  <c r="AB89" i="2"/>
  <c r="AF89" i="2"/>
  <c r="AF90" i="2"/>
  <c r="AF91" i="2"/>
  <c r="AJ89" i="2"/>
  <c r="AM89" i="2"/>
  <c r="L90" i="2"/>
  <c r="L91" i="2" s="1"/>
  <c r="M90" i="2"/>
  <c r="M91" i="2" s="1"/>
  <c r="N90" i="2"/>
  <c r="N91" i="2" s="1"/>
  <c r="AA92" i="2"/>
  <c r="AB92" i="2"/>
  <c r="AF92" i="2"/>
  <c r="AA93" i="2"/>
  <c r="AF93" i="2" s="1"/>
  <c r="AB93" i="2"/>
  <c r="AA94" i="2"/>
  <c r="AF94" i="2" s="1"/>
  <c r="AB94" i="2"/>
  <c r="L93" i="2"/>
  <c r="L94" i="2" s="1"/>
  <c r="M93" i="2"/>
  <c r="M94" i="2" s="1"/>
  <c r="N93" i="2"/>
  <c r="N94" i="2" s="1"/>
  <c r="X95" i="2"/>
  <c r="Z95" i="2"/>
  <c r="AA95" i="2"/>
  <c r="AB95" i="2"/>
  <c r="AF95" i="2"/>
  <c r="AF96" i="2"/>
  <c r="AF97" i="2"/>
  <c r="AJ95" i="2"/>
  <c r="L96" i="2"/>
  <c r="L97" i="2" s="1"/>
  <c r="M96" i="2"/>
  <c r="M97" i="2" s="1"/>
  <c r="N96" i="2"/>
  <c r="N97" i="2" s="1"/>
  <c r="C98" i="2"/>
  <c r="E98" i="2"/>
  <c r="F98" i="2"/>
  <c r="G98" i="2"/>
  <c r="H98" i="2" s="1"/>
  <c r="P98" i="2" s="1"/>
  <c r="AJ98" i="2" s="1"/>
  <c r="J98" i="2"/>
  <c r="R98" i="2"/>
  <c r="T98" i="2"/>
  <c r="Y98" i="2" s="1"/>
  <c r="E99" i="2"/>
  <c r="G99" i="2" s="1"/>
  <c r="F99" i="2"/>
  <c r="H99" i="2"/>
  <c r="I99" i="2"/>
  <c r="I100" i="2" s="1"/>
  <c r="I101" i="2" s="1"/>
  <c r="J101" i="2" s="1"/>
  <c r="J99" i="2"/>
  <c r="AP99" i="2" s="1"/>
  <c r="E100" i="2"/>
  <c r="G100" i="2"/>
  <c r="H100" i="2" s="1"/>
  <c r="AP100" i="2" s="1"/>
  <c r="F100" i="2"/>
  <c r="J100" i="2"/>
  <c r="R100" i="2" s="1"/>
  <c r="T100" i="2"/>
  <c r="X98" i="2"/>
  <c r="AF98" i="2"/>
  <c r="AK98" i="2" s="1"/>
  <c r="AG98" i="2" s="1"/>
  <c r="AA99" i="2"/>
  <c r="AB99" i="2"/>
  <c r="AD99" i="2"/>
  <c r="AF99" i="2"/>
  <c r="AF100" i="2"/>
  <c r="AL98" i="2"/>
  <c r="AP98" i="2"/>
  <c r="AS98" i="2"/>
  <c r="L99" i="2"/>
  <c r="L100" i="2" s="1"/>
  <c r="M99" i="2"/>
  <c r="M100" i="2" s="1"/>
  <c r="N99" i="2"/>
  <c r="N100" i="2" s="1"/>
  <c r="E101" i="2"/>
  <c r="F101" i="2" s="1"/>
  <c r="E102" i="2"/>
  <c r="E105" i="2" s="1"/>
  <c r="G102" i="2"/>
  <c r="F102" i="2"/>
  <c r="H102" i="2"/>
  <c r="E103" i="2"/>
  <c r="F103" i="2" s="1"/>
  <c r="AF101" i="2"/>
  <c r="AA102" i="2"/>
  <c r="AB102" i="2"/>
  <c r="AF102" i="2" s="1"/>
  <c r="AD102" i="2"/>
  <c r="AF103" i="2"/>
  <c r="L102" i="2"/>
  <c r="L103" i="2" s="1"/>
  <c r="M102" i="2"/>
  <c r="M103" i="2" s="1"/>
  <c r="N102" i="2"/>
  <c r="N103" i="2"/>
  <c r="E106" i="2"/>
  <c r="AF104" i="2"/>
  <c r="AA105" i="2"/>
  <c r="AF105" i="2" s="1"/>
  <c r="AB105" i="2"/>
  <c r="AF106" i="2"/>
  <c r="L105" i="2"/>
  <c r="M105" i="2"/>
  <c r="M106" i="2" s="1"/>
  <c r="N105" i="2"/>
  <c r="N106" i="2" s="1"/>
  <c r="L106" i="2"/>
  <c r="AF107" i="2"/>
  <c r="AA108" i="2"/>
  <c r="AB108" i="2"/>
  <c r="AF109" i="2"/>
  <c r="L108" i="2"/>
  <c r="L109" i="2" s="1"/>
  <c r="M108" i="2"/>
  <c r="M109" i="2" s="1"/>
  <c r="N108" i="2"/>
  <c r="N109" i="2" s="1"/>
  <c r="S111" i="2"/>
  <c r="AF110" i="2"/>
  <c r="AA111" i="2"/>
  <c r="AB111" i="2"/>
  <c r="AD111" i="2"/>
  <c r="AA112" i="2"/>
  <c r="AB112" i="2"/>
  <c r="AF112" i="2" s="1"/>
  <c r="AD112" i="2"/>
  <c r="L111" i="2"/>
  <c r="M111" i="2"/>
  <c r="M112" i="2" s="1"/>
  <c r="N111" i="2"/>
  <c r="N112" i="2" s="1"/>
  <c r="L112" i="2"/>
  <c r="C113" i="2"/>
  <c r="E113" i="2"/>
  <c r="A113" i="2"/>
  <c r="B113" i="2"/>
  <c r="I113" i="2"/>
  <c r="J113" i="2" s="1"/>
  <c r="R113" i="2"/>
  <c r="E114" i="2"/>
  <c r="G114" i="2"/>
  <c r="H114" i="2" s="1"/>
  <c r="F114" i="2"/>
  <c r="I114" i="2"/>
  <c r="E115" i="2"/>
  <c r="E118" i="2" s="1"/>
  <c r="G118" i="2" s="1"/>
  <c r="H118" i="2" s="1"/>
  <c r="G115" i="2"/>
  <c r="H115" i="2" s="1"/>
  <c r="AA113" i="2"/>
  <c r="AF113" i="2" s="1"/>
  <c r="AB113" i="2"/>
  <c r="AA114" i="2"/>
  <c r="AF114" i="2" s="1"/>
  <c r="AB114" i="2"/>
  <c r="AA115" i="2"/>
  <c r="AB115" i="2"/>
  <c r="AF115" i="2" s="1"/>
  <c r="AR115" i="2"/>
  <c r="C114" i="2"/>
  <c r="A114" i="2" s="1"/>
  <c r="L114" i="2"/>
  <c r="M114" i="2"/>
  <c r="M115" i="2" s="1"/>
  <c r="N114" i="2"/>
  <c r="N115" i="2" s="1"/>
  <c r="C115" i="2"/>
  <c r="A115" i="2"/>
  <c r="L115" i="2"/>
  <c r="B115" i="2"/>
  <c r="E116" i="2"/>
  <c r="F116" i="2"/>
  <c r="E117" i="2"/>
  <c r="E120" i="2" s="1"/>
  <c r="F117" i="2"/>
  <c r="AA116" i="2"/>
  <c r="AF116" i="2" s="1"/>
  <c r="AB116" i="2"/>
  <c r="AA117" i="2"/>
  <c r="AB117" i="2"/>
  <c r="AF117" i="2"/>
  <c r="AF118" i="2"/>
  <c r="L117" i="2"/>
  <c r="M117" i="2"/>
  <c r="N117" i="2"/>
  <c r="L118" i="2"/>
  <c r="M118" i="2"/>
  <c r="N118" i="2"/>
  <c r="E121" i="2"/>
  <c r="G121" i="2"/>
  <c r="AA119" i="2"/>
  <c r="AF119" i="2" s="1"/>
  <c r="AB119" i="2"/>
  <c r="AA120" i="2"/>
  <c r="AB120" i="2"/>
  <c r="AA121" i="2"/>
  <c r="AB121" i="2"/>
  <c r="AF121" i="2" s="1"/>
  <c r="L120" i="2"/>
  <c r="L121" i="2" s="1"/>
  <c r="M120" i="2"/>
  <c r="N120" i="2"/>
  <c r="M121" i="2"/>
  <c r="N121" i="2"/>
  <c r="T123" i="2"/>
  <c r="AA122" i="2"/>
  <c r="AB122" i="2"/>
  <c r="AF122" i="2"/>
  <c r="AF123" i="2"/>
  <c r="AF124" i="2"/>
  <c r="L123" i="2"/>
  <c r="L124" i="2" s="1"/>
  <c r="M123" i="2"/>
  <c r="M124" i="2" s="1"/>
  <c r="N123" i="2"/>
  <c r="N124" i="2" s="1"/>
  <c r="AA125" i="2"/>
  <c r="AB125" i="2"/>
  <c r="AF125" i="2"/>
  <c r="AA126" i="2"/>
  <c r="AB126" i="2"/>
  <c r="AF126" i="2"/>
  <c r="AA127" i="2"/>
  <c r="AB127" i="2"/>
  <c r="AF127" i="2" s="1"/>
  <c r="L126" i="2"/>
  <c r="M126" i="2"/>
  <c r="M127" i="2" s="1"/>
  <c r="N126" i="2"/>
  <c r="N127" i="2" s="1"/>
  <c r="L127" i="2"/>
  <c r="C128" i="2"/>
  <c r="A128" i="2"/>
  <c r="B128" i="2"/>
  <c r="F128" i="2"/>
  <c r="G128" i="2"/>
  <c r="J128" i="2"/>
  <c r="R128" i="2"/>
  <c r="G129" i="2"/>
  <c r="F129" i="2"/>
  <c r="H129" i="2"/>
  <c r="I129" i="2"/>
  <c r="I130" i="2" s="1"/>
  <c r="J130" i="2" s="1"/>
  <c r="AK130" i="2" s="1"/>
  <c r="J129" i="2"/>
  <c r="R129" i="2" s="1"/>
  <c r="T129" i="2"/>
  <c r="P129" i="2"/>
  <c r="U129" i="2"/>
  <c r="G130" i="2"/>
  <c r="H130" i="2" s="1"/>
  <c r="F130" i="2"/>
  <c r="AA128" i="2"/>
  <c r="AF128" i="2" s="1"/>
  <c r="AK128" i="2" s="1"/>
  <c r="AB128" i="2"/>
  <c r="AB129" i="2"/>
  <c r="AF129" i="2" s="1"/>
  <c r="AF130" i="2"/>
  <c r="AS129" i="2"/>
  <c r="L129" i="2"/>
  <c r="M129" i="2"/>
  <c r="M130" i="2" s="1"/>
  <c r="N129" i="2"/>
  <c r="L130" i="2"/>
  <c r="N130" i="2"/>
  <c r="R130" i="2"/>
  <c r="E131" i="2"/>
  <c r="F131" i="2" s="1"/>
  <c r="G131" i="2"/>
  <c r="H131" i="2"/>
  <c r="I131" i="2"/>
  <c r="I132" i="2" s="1"/>
  <c r="J132" i="2" s="1"/>
  <c r="R132" i="2" s="1"/>
  <c r="E132" i="2"/>
  <c r="E133" i="2"/>
  <c r="E136" i="2" s="1"/>
  <c r="G133" i="2"/>
  <c r="F133" i="2"/>
  <c r="H133" i="2"/>
  <c r="I133" i="2"/>
  <c r="AA131" i="2"/>
  <c r="AB131" i="2"/>
  <c r="AF131" i="2"/>
  <c r="AF132" i="2"/>
  <c r="AK132" i="2" s="1"/>
  <c r="AF133" i="2"/>
  <c r="L132" i="2"/>
  <c r="M132" i="2"/>
  <c r="M133" i="2" s="1"/>
  <c r="N132" i="2"/>
  <c r="N133" i="2" s="1"/>
  <c r="L133" i="2"/>
  <c r="E134" i="2"/>
  <c r="AA134" i="2"/>
  <c r="AF134" i="2" s="1"/>
  <c r="AB134" i="2"/>
  <c r="AF135" i="2"/>
  <c r="AF136" i="2"/>
  <c r="L135" i="2"/>
  <c r="M135" i="2"/>
  <c r="M136" i="2" s="1"/>
  <c r="N135" i="2"/>
  <c r="N136" i="2" s="1"/>
  <c r="L136" i="2"/>
  <c r="T138" i="2"/>
  <c r="AA137" i="2"/>
  <c r="AB137" i="2"/>
  <c r="AF137" i="2"/>
  <c r="AF138" i="2"/>
  <c r="AF139" i="2"/>
  <c r="L138" i="2"/>
  <c r="L139" i="2" s="1"/>
  <c r="M138" i="2"/>
  <c r="N138" i="2"/>
  <c r="N139" i="2" s="1"/>
  <c r="M139" i="2"/>
  <c r="AF140" i="2"/>
  <c r="AA141" i="2"/>
  <c r="AB141" i="2"/>
  <c r="AF141" i="2"/>
  <c r="AA142" i="2"/>
  <c r="AF142" i="2" s="1"/>
  <c r="AB142" i="2"/>
  <c r="L141" i="2"/>
  <c r="M141" i="2"/>
  <c r="N141" i="2"/>
  <c r="N142" i="2" s="1"/>
  <c r="L142" i="2"/>
  <c r="M142" i="2"/>
  <c r="C143" i="2"/>
  <c r="E143" i="2"/>
  <c r="I143" i="2"/>
  <c r="J143" i="2"/>
  <c r="R143" i="2" s="1"/>
  <c r="E144" i="2"/>
  <c r="G144" i="2" s="1"/>
  <c r="H144" i="2" s="1"/>
  <c r="F144" i="2"/>
  <c r="I144" i="2"/>
  <c r="I145" i="2" s="1"/>
  <c r="J144" i="2"/>
  <c r="R144" i="2" s="1"/>
  <c r="T144" i="2"/>
  <c r="E145" i="2"/>
  <c r="G145" i="2"/>
  <c r="H145" i="2" s="1"/>
  <c r="F145" i="2"/>
  <c r="AA143" i="2"/>
  <c r="AF143" i="2" s="1"/>
  <c r="AK143" i="2" s="1"/>
  <c r="AB143" i="2"/>
  <c r="AA144" i="2"/>
  <c r="AF144" i="2" s="1"/>
  <c r="AB144" i="2"/>
  <c r="AA145" i="2"/>
  <c r="AB145" i="2"/>
  <c r="AF145" i="2" s="1"/>
  <c r="AI143" i="2"/>
  <c r="AR143" i="2"/>
  <c r="AR144" i="2"/>
  <c r="AS144" i="2" s="1"/>
  <c r="L144" i="2"/>
  <c r="L145" i="2" s="1"/>
  <c r="M144" i="2"/>
  <c r="M145" i="2" s="1"/>
  <c r="N144" i="2"/>
  <c r="N145" i="2" s="1"/>
  <c r="E147" i="2"/>
  <c r="E148" i="2"/>
  <c r="F148" i="2" s="1"/>
  <c r="G148" i="2"/>
  <c r="H148" i="2" s="1"/>
  <c r="AA146" i="2"/>
  <c r="AB146" i="2"/>
  <c r="AF146" i="2" s="1"/>
  <c r="AA147" i="2"/>
  <c r="AB147" i="2"/>
  <c r="AF147" i="2"/>
  <c r="AA148" i="2"/>
  <c r="AB148" i="2"/>
  <c r="AF148" i="2"/>
  <c r="AR146" i="2"/>
  <c r="AR147" i="2"/>
  <c r="L147" i="2"/>
  <c r="L148" i="2" s="1"/>
  <c r="M147" i="2"/>
  <c r="M148" i="2" s="1"/>
  <c r="N147" i="2"/>
  <c r="N148" i="2" s="1"/>
  <c r="E151" i="2"/>
  <c r="F151" i="2" s="1"/>
  <c r="G151" i="2"/>
  <c r="AA149" i="2"/>
  <c r="AB149" i="2"/>
  <c r="AF149" i="2" s="1"/>
  <c r="AA150" i="2"/>
  <c r="AB150" i="2"/>
  <c r="AF150" i="2"/>
  <c r="AA151" i="2"/>
  <c r="AB151" i="2"/>
  <c r="AF151" i="2"/>
  <c r="AR149" i="2"/>
  <c r="AR150" i="2"/>
  <c r="L150" i="2"/>
  <c r="L151" i="2" s="1"/>
  <c r="M150" i="2"/>
  <c r="M151" i="2" s="1"/>
  <c r="N150" i="2"/>
  <c r="N151" i="2" s="1"/>
  <c r="E154" i="2"/>
  <c r="F154" i="2" s="1"/>
  <c r="G154" i="2"/>
  <c r="H154" i="2" s="1"/>
  <c r="AA152" i="2"/>
  <c r="AB152" i="2"/>
  <c r="AF152" i="2" s="1"/>
  <c r="AA153" i="2"/>
  <c r="AB153" i="2"/>
  <c r="AF153" i="2"/>
  <c r="AA154" i="2"/>
  <c r="AB154" i="2"/>
  <c r="AF154" i="2"/>
  <c r="AR152" i="2"/>
  <c r="AR153" i="2"/>
  <c r="L153" i="2"/>
  <c r="L154" i="2" s="1"/>
  <c r="M153" i="2"/>
  <c r="M154" i="2" s="1"/>
  <c r="N153" i="2"/>
  <c r="N154" i="2" s="1"/>
  <c r="E157" i="2"/>
  <c r="F157" i="2" s="1"/>
  <c r="G157" i="2"/>
  <c r="AA155" i="2"/>
  <c r="AB155" i="2"/>
  <c r="AF155" i="2" s="1"/>
  <c r="AA156" i="2"/>
  <c r="AB156" i="2"/>
  <c r="AF156" i="2"/>
  <c r="AA157" i="2"/>
  <c r="AB157" i="2"/>
  <c r="AF157" i="2"/>
  <c r="AR156" i="2"/>
  <c r="L156" i="2"/>
  <c r="M156" i="2"/>
  <c r="N156" i="2"/>
  <c r="N157" i="2" s="1"/>
  <c r="L157" i="2"/>
  <c r="M157" i="2"/>
  <c r="C158" i="2"/>
  <c r="A158" i="2"/>
  <c r="B158" i="2"/>
  <c r="F158" i="2"/>
  <c r="H158" i="2" s="1"/>
  <c r="G158" i="2"/>
  <c r="J158" i="2"/>
  <c r="P158" i="2"/>
  <c r="AJ158" i="2" s="1"/>
  <c r="R158" i="2"/>
  <c r="G159" i="2"/>
  <c r="F159" i="2"/>
  <c r="H159" i="2"/>
  <c r="I159" i="2"/>
  <c r="I160" i="2" s="1"/>
  <c r="G160" i="2"/>
  <c r="H160" i="2" s="1"/>
  <c r="F160" i="2"/>
  <c r="X158" i="2"/>
  <c r="Z158" i="2"/>
  <c r="AF158" i="2"/>
  <c r="AK158" i="2"/>
  <c r="AG158" i="2"/>
  <c r="AF159" i="2"/>
  <c r="AF160" i="2"/>
  <c r="AI158" i="2"/>
  <c r="L159" i="2"/>
  <c r="M159" i="2"/>
  <c r="M160" i="2" s="1"/>
  <c r="N159" i="2"/>
  <c r="N160" i="2" s="1"/>
  <c r="R159" i="2"/>
  <c r="L160" i="2"/>
  <c r="R160" i="2"/>
  <c r="E161" i="2"/>
  <c r="F161" i="2" s="1"/>
  <c r="I161" i="2"/>
  <c r="I162" i="2" s="1"/>
  <c r="R161" i="2"/>
  <c r="E162" i="2"/>
  <c r="F162" i="2" s="1"/>
  <c r="E163" i="2"/>
  <c r="E166" i="2" s="1"/>
  <c r="E169" i="2" s="1"/>
  <c r="F163" i="2"/>
  <c r="I163" i="2"/>
  <c r="AA161" i="2"/>
  <c r="AF161" i="2" s="1"/>
  <c r="AB161" i="2"/>
  <c r="AA162" i="2"/>
  <c r="AF162" i="2" s="1"/>
  <c r="AB162" i="2"/>
  <c r="AA163" i="2"/>
  <c r="AF163" i="2" s="1"/>
  <c r="AB163" i="2"/>
  <c r="AI161" i="2"/>
  <c r="L162" i="2"/>
  <c r="L163" i="2" s="1"/>
  <c r="M162" i="2"/>
  <c r="M163" i="2" s="1"/>
  <c r="N162" i="2"/>
  <c r="N163" i="2" s="1"/>
  <c r="R162" i="2"/>
  <c r="R163" i="2"/>
  <c r="E164" i="2"/>
  <c r="E167" i="2" s="1"/>
  <c r="F164" i="2"/>
  <c r="R164" i="2"/>
  <c r="E165" i="2"/>
  <c r="G165" i="2" s="1"/>
  <c r="AA164" i="2"/>
  <c r="AF164" i="2" s="1"/>
  <c r="AB164" i="2"/>
  <c r="AA165" i="2"/>
  <c r="AF165" i="2" s="1"/>
  <c r="AB165" i="2"/>
  <c r="AA166" i="2"/>
  <c r="AB166" i="2"/>
  <c r="AF166" i="2"/>
  <c r="AI164" i="2"/>
  <c r="L165" i="2"/>
  <c r="L166" i="2" s="1"/>
  <c r="M165" i="2"/>
  <c r="N165" i="2"/>
  <c r="R165" i="2"/>
  <c r="M166" i="2"/>
  <c r="N166" i="2"/>
  <c r="R166" i="2"/>
  <c r="R167" i="2"/>
  <c r="E168" i="2"/>
  <c r="G168" i="2"/>
  <c r="AA167" i="2"/>
  <c r="AB167" i="2"/>
  <c r="AF167" i="2"/>
  <c r="AF168" i="2"/>
  <c r="AF169" i="2"/>
  <c r="AI167" i="2"/>
  <c r="L168" i="2"/>
  <c r="L169" i="2" s="1"/>
  <c r="M168" i="2"/>
  <c r="N168" i="2"/>
  <c r="N169" i="2" s="1"/>
  <c r="R168" i="2"/>
  <c r="M169" i="2"/>
  <c r="R169" i="2"/>
  <c r="R170" i="2"/>
  <c r="AA170" i="2"/>
  <c r="AB170" i="2"/>
  <c r="AF170" i="2"/>
  <c r="AA171" i="2"/>
  <c r="AB171" i="2"/>
  <c r="AF171" i="2"/>
  <c r="AA172" i="2"/>
  <c r="AF172" i="2" s="1"/>
  <c r="AB172" i="2"/>
  <c r="AI170" i="2"/>
  <c r="L171" i="2"/>
  <c r="M171" i="2"/>
  <c r="N171" i="2"/>
  <c r="R171" i="2"/>
  <c r="L172" i="2"/>
  <c r="M172" i="2"/>
  <c r="N172" i="2"/>
  <c r="R172" i="2"/>
  <c r="C173" i="2"/>
  <c r="A173" i="2" s="1"/>
  <c r="E173" i="2"/>
  <c r="B173" i="2"/>
  <c r="F173" i="2"/>
  <c r="G173" i="2"/>
  <c r="H173" i="2"/>
  <c r="P173" i="2" s="1"/>
  <c r="AJ173" i="2" s="1"/>
  <c r="I173" i="2"/>
  <c r="J173" i="2"/>
  <c r="R173" i="2"/>
  <c r="T173" i="2"/>
  <c r="U173" i="2" s="1"/>
  <c r="E174" i="2"/>
  <c r="E177" i="2" s="1"/>
  <c r="G174" i="2"/>
  <c r="H174" i="2" s="1"/>
  <c r="F174" i="2"/>
  <c r="I174" i="2"/>
  <c r="I175" i="2" s="1"/>
  <c r="J174" i="2"/>
  <c r="R174" i="2" s="1"/>
  <c r="E175" i="2"/>
  <c r="J175" i="2"/>
  <c r="AF173" i="2"/>
  <c r="AK173" i="2" s="1"/>
  <c r="AG173" i="2" s="1"/>
  <c r="AA174" i="2"/>
  <c r="AF174" i="2" s="1"/>
  <c r="AB174" i="2"/>
  <c r="AF175" i="2"/>
  <c r="AP173" i="2"/>
  <c r="L174" i="2"/>
  <c r="L175" i="2" s="1"/>
  <c r="M174" i="2"/>
  <c r="N174" i="2"/>
  <c r="M175" i="2"/>
  <c r="N175" i="2"/>
  <c r="R175" i="2"/>
  <c r="E176" i="2"/>
  <c r="F176" i="2" s="1"/>
  <c r="I176" i="2"/>
  <c r="J176" i="2"/>
  <c r="P176" i="2"/>
  <c r="R176" i="2"/>
  <c r="I177" i="2"/>
  <c r="X176" i="2"/>
  <c r="AF176" i="2"/>
  <c r="AK176" i="2"/>
  <c r="AG176" i="2" s="1"/>
  <c r="AF177" i="2"/>
  <c r="AF178" i="2"/>
  <c r="L177" i="2"/>
  <c r="M177" i="2"/>
  <c r="M178" i="2" s="1"/>
  <c r="N177" i="2"/>
  <c r="L178" i="2"/>
  <c r="N178" i="2"/>
  <c r="AF179" i="2"/>
  <c r="AA180" i="2"/>
  <c r="AF180" i="2" s="1"/>
  <c r="AB180" i="2"/>
  <c r="AA181" i="2"/>
  <c r="AB181" i="2"/>
  <c r="AF181" i="2"/>
  <c r="L180" i="2"/>
  <c r="M180" i="2"/>
  <c r="M181" i="2" s="1"/>
  <c r="N180" i="2"/>
  <c r="N181" i="2" s="1"/>
  <c r="L181" i="2"/>
  <c r="AF182" i="2"/>
  <c r="AA183" i="2"/>
  <c r="AB183" i="2"/>
  <c r="AF183" i="2"/>
  <c r="AF184" i="2"/>
  <c r="L183" i="2"/>
  <c r="L184" i="2" s="1"/>
  <c r="M183" i="2"/>
  <c r="M184" i="2" s="1"/>
  <c r="N183" i="2"/>
  <c r="N184" i="2" s="1"/>
  <c r="X185" i="2"/>
  <c r="Z185" i="2" s="1"/>
  <c r="AA185" i="2"/>
  <c r="AB185" i="2"/>
  <c r="AF185" i="2"/>
  <c r="AA186" i="2"/>
  <c r="AB186" i="2"/>
  <c r="AF186" i="2" s="1"/>
  <c r="AF187" i="2"/>
  <c r="AJ185" i="2"/>
  <c r="AM185" i="2" s="1"/>
  <c r="L186" i="2"/>
  <c r="M186" i="2"/>
  <c r="N186" i="2"/>
  <c r="N187" i="2" s="1"/>
  <c r="L187" i="2"/>
  <c r="M187" i="2"/>
  <c r="C188" i="2"/>
  <c r="F188" i="2"/>
  <c r="G188" i="2"/>
  <c r="H188" i="2" s="1"/>
  <c r="J188" i="2"/>
  <c r="R188" i="2"/>
  <c r="G189" i="2"/>
  <c r="F189" i="2"/>
  <c r="H189" i="2"/>
  <c r="I189" i="2"/>
  <c r="I190" i="2" s="1"/>
  <c r="I191" i="2" s="1"/>
  <c r="J189" i="2"/>
  <c r="AS189" i="2" s="1"/>
  <c r="T189" i="2"/>
  <c r="P189" i="2"/>
  <c r="U189" i="2"/>
  <c r="G190" i="2"/>
  <c r="H190" i="2" s="1"/>
  <c r="F190" i="2"/>
  <c r="J190" i="2"/>
  <c r="AA188" i="2"/>
  <c r="AB188" i="2"/>
  <c r="AF188" i="2"/>
  <c r="AK188" i="2"/>
  <c r="AA189" i="2"/>
  <c r="AB189" i="2"/>
  <c r="AA190" i="2"/>
  <c r="AF190" i="2" s="1"/>
  <c r="AK190" i="2" s="1"/>
  <c r="AB190" i="2"/>
  <c r="AP189" i="2"/>
  <c r="L189" i="2"/>
  <c r="M189" i="2"/>
  <c r="M190" i="2" s="1"/>
  <c r="N189" i="2"/>
  <c r="R189" i="2"/>
  <c r="Y189" i="2"/>
  <c r="L190" i="2"/>
  <c r="N190" i="2"/>
  <c r="R190" i="2"/>
  <c r="E191" i="2"/>
  <c r="R191" i="2"/>
  <c r="E192" i="2"/>
  <c r="G192" i="2" s="1"/>
  <c r="F192" i="2"/>
  <c r="H192" i="2" s="1"/>
  <c r="E193" i="2"/>
  <c r="X191" i="2"/>
  <c r="Z191" i="2"/>
  <c r="AM191" i="2" s="1"/>
  <c r="AA191" i="2"/>
  <c r="AB191" i="2"/>
  <c r="AF191" i="2"/>
  <c r="AF192" i="2"/>
  <c r="AF193" i="2"/>
  <c r="AJ191" i="2"/>
  <c r="L192" i="2"/>
  <c r="M192" i="2"/>
  <c r="M193" i="2" s="1"/>
  <c r="N192" i="2"/>
  <c r="N193" i="2" s="1"/>
  <c r="R192" i="2"/>
  <c r="L193" i="2"/>
  <c r="R193" i="2"/>
  <c r="R194" i="2"/>
  <c r="E195" i="2"/>
  <c r="E198" i="2" s="1"/>
  <c r="G195" i="2"/>
  <c r="H195" i="2" s="1"/>
  <c r="F195" i="2"/>
  <c r="AA194" i="2"/>
  <c r="AB194" i="2"/>
  <c r="AC194" i="2"/>
  <c r="AF194" i="2" s="1"/>
  <c r="AF195" i="2"/>
  <c r="AF196" i="2"/>
  <c r="L195" i="2"/>
  <c r="L196" i="2" s="1"/>
  <c r="M195" i="2"/>
  <c r="N195" i="2"/>
  <c r="R195" i="2"/>
  <c r="M196" i="2"/>
  <c r="N196" i="2"/>
  <c r="R196" i="2"/>
  <c r="R197" i="2"/>
  <c r="AA197" i="2"/>
  <c r="AB197" i="2"/>
  <c r="AF197" i="2"/>
  <c r="AF198" i="2"/>
  <c r="AF199" i="2"/>
  <c r="L198" i="2"/>
  <c r="M198" i="2"/>
  <c r="N198" i="2"/>
  <c r="N199" i="2" s="1"/>
  <c r="R198" i="2"/>
  <c r="L199" i="2"/>
  <c r="M199" i="2"/>
  <c r="R199" i="2"/>
  <c r="R200" i="2"/>
  <c r="AA200" i="2"/>
  <c r="AF200" i="2" s="1"/>
  <c r="AB200" i="2"/>
  <c r="AA201" i="2"/>
  <c r="AF201" i="2" s="1"/>
  <c r="AB201" i="2"/>
  <c r="AF202" i="2"/>
  <c r="L201" i="2"/>
  <c r="L202" i="2" s="1"/>
  <c r="M201" i="2"/>
  <c r="M202" i="2" s="1"/>
  <c r="N201" i="2"/>
  <c r="N202" i="2" s="1"/>
  <c r="R201" i="2"/>
  <c r="R202" i="2"/>
  <c r="C203" i="2"/>
  <c r="A203" i="2" s="1"/>
  <c r="B203" i="2"/>
  <c r="F203" i="2"/>
  <c r="G203" i="2"/>
  <c r="H203" i="2"/>
  <c r="AP203" i="2" s="1"/>
  <c r="J203" i="2"/>
  <c r="P203" i="2"/>
  <c r="AJ203" i="2" s="1"/>
  <c r="R203" i="2"/>
  <c r="T203" i="2"/>
  <c r="Y203" i="2" s="1"/>
  <c r="U203" i="2"/>
  <c r="G204" i="2"/>
  <c r="F204" i="2"/>
  <c r="H204" i="2"/>
  <c r="I204" i="2"/>
  <c r="G205" i="2"/>
  <c r="F205" i="2"/>
  <c r="H205" i="2"/>
  <c r="X203" i="2"/>
  <c r="Z203" i="2"/>
  <c r="AA203" i="2"/>
  <c r="AF203" i="2" s="1"/>
  <c r="AK203" i="2" s="1"/>
  <c r="AG203" i="2" s="1"/>
  <c r="AB203" i="2"/>
  <c r="AF204" i="2"/>
  <c r="AA205" i="2"/>
  <c r="AB205" i="2"/>
  <c r="AF205" i="2"/>
  <c r="C204" i="2"/>
  <c r="A204" i="2"/>
  <c r="L204" i="2"/>
  <c r="B204" i="2"/>
  <c r="M204" i="2"/>
  <c r="N204" i="2"/>
  <c r="N205" i="2" s="1"/>
  <c r="R204" i="2"/>
  <c r="L205" i="2"/>
  <c r="M205" i="2"/>
  <c r="R205" i="2"/>
  <c r="E206" i="2"/>
  <c r="F206" i="2"/>
  <c r="G206" i="2"/>
  <c r="R206" i="2"/>
  <c r="E207" i="2"/>
  <c r="G207" i="2" s="1"/>
  <c r="H207" i="2" s="1"/>
  <c r="F207" i="2"/>
  <c r="E208" i="2"/>
  <c r="E211" i="2" s="1"/>
  <c r="G208" i="2"/>
  <c r="F208" i="2"/>
  <c r="H208" i="2" s="1"/>
  <c r="AA206" i="2"/>
  <c r="AB206" i="2"/>
  <c r="AF206" i="2" s="1"/>
  <c r="AF207" i="2"/>
  <c r="AF208" i="2"/>
  <c r="L207" i="2"/>
  <c r="M207" i="2"/>
  <c r="N207" i="2"/>
  <c r="R207" i="2"/>
  <c r="L208" i="2"/>
  <c r="M208" i="2"/>
  <c r="N208" i="2"/>
  <c r="R208" i="2"/>
  <c r="E209" i="2"/>
  <c r="R209" i="2"/>
  <c r="E210" i="2"/>
  <c r="E213" i="2" s="1"/>
  <c r="AA209" i="2"/>
  <c r="AB209" i="2"/>
  <c r="AF209" i="2"/>
  <c r="AA210" i="2"/>
  <c r="AF210" i="2" s="1"/>
  <c r="AF211" i="2"/>
  <c r="L210" i="2"/>
  <c r="M210" i="2"/>
  <c r="N210" i="2"/>
  <c r="R210" i="2"/>
  <c r="L211" i="2"/>
  <c r="M211" i="2"/>
  <c r="N211" i="2"/>
  <c r="R211" i="2"/>
  <c r="R212" i="2"/>
  <c r="F213" i="2"/>
  <c r="E214" i="2"/>
  <c r="AA212" i="2"/>
  <c r="AB212" i="2"/>
  <c r="AF212" i="2"/>
  <c r="AF213" i="2"/>
  <c r="AF214" i="2"/>
  <c r="L213" i="2"/>
  <c r="M213" i="2"/>
  <c r="N213" i="2"/>
  <c r="R213" i="2"/>
  <c r="L214" i="2"/>
  <c r="M214" i="2"/>
  <c r="N214" i="2"/>
  <c r="R214" i="2"/>
  <c r="R215" i="2"/>
  <c r="E217" i="2"/>
  <c r="G217" i="2" s="1"/>
  <c r="H217" i="2" s="1"/>
  <c r="F217" i="2"/>
  <c r="AA215" i="2"/>
  <c r="AB215" i="2"/>
  <c r="AF215" i="2"/>
  <c r="AA216" i="2"/>
  <c r="AB216" i="2"/>
  <c r="AF216" i="2"/>
  <c r="AF217" i="2"/>
  <c r="L216" i="2"/>
  <c r="L217" i="2" s="1"/>
  <c r="M216" i="2"/>
  <c r="N216" i="2"/>
  <c r="N217" i="2" s="1"/>
  <c r="R216" i="2"/>
  <c r="M217" i="2"/>
  <c r="R217" i="2"/>
  <c r="C218" i="2"/>
  <c r="E218" i="2"/>
  <c r="F218" i="2" s="1"/>
  <c r="J218" i="2"/>
  <c r="R218" i="2"/>
  <c r="E219" i="2"/>
  <c r="G219" i="2"/>
  <c r="H219" i="2" s="1"/>
  <c r="F219" i="2"/>
  <c r="I219" i="2"/>
  <c r="E220" i="2"/>
  <c r="G220" i="2" s="1"/>
  <c r="H220" i="2" s="1"/>
  <c r="AA218" i="2"/>
  <c r="AF218" i="2" s="1"/>
  <c r="AK218" i="2" s="1"/>
  <c r="AB218" i="2"/>
  <c r="AA219" i="2"/>
  <c r="AB219" i="2"/>
  <c r="AF219" i="2" s="1"/>
  <c r="AA220" i="2"/>
  <c r="AB220" i="2"/>
  <c r="AF220" i="2"/>
  <c r="L219" i="2"/>
  <c r="M219" i="2"/>
  <c r="N219" i="2"/>
  <c r="L220" i="2"/>
  <c r="M220" i="2"/>
  <c r="N220" i="2"/>
  <c r="E221" i="2"/>
  <c r="F221" i="2"/>
  <c r="E222" i="2"/>
  <c r="E225" i="2" s="1"/>
  <c r="G222" i="2"/>
  <c r="H222" i="2" s="1"/>
  <c r="E223" i="2"/>
  <c r="G223" i="2" s="1"/>
  <c r="AA221" i="2"/>
  <c r="AB221" i="2"/>
  <c r="AF221" i="2"/>
  <c r="AA222" i="2"/>
  <c r="AB222" i="2"/>
  <c r="AF222" i="2" s="1"/>
  <c r="AF223" i="2"/>
  <c r="L222" i="2"/>
  <c r="M222" i="2"/>
  <c r="N222" i="2"/>
  <c r="N223" i="2" s="1"/>
  <c r="L223" i="2"/>
  <c r="M223" i="2"/>
  <c r="E226" i="2"/>
  <c r="G226" i="2" s="1"/>
  <c r="H226" i="2" s="1"/>
  <c r="AA224" i="2"/>
  <c r="AB224" i="2"/>
  <c r="AF224" i="2"/>
  <c r="AA225" i="2"/>
  <c r="AF225" i="2" s="1"/>
  <c r="AB225" i="2"/>
  <c r="AA226" i="2"/>
  <c r="AB226" i="2"/>
  <c r="AF226" i="2" s="1"/>
  <c r="L225" i="2"/>
  <c r="M225" i="2"/>
  <c r="M226" i="2" s="1"/>
  <c r="N225" i="2"/>
  <c r="N226" i="2" s="1"/>
  <c r="L226" i="2"/>
  <c r="AA227" i="2"/>
  <c r="AB227" i="2"/>
  <c r="AF227" i="2"/>
  <c r="AA228" i="2"/>
  <c r="AF228" i="2" s="1"/>
  <c r="AB228" i="2"/>
  <c r="AA229" i="2"/>
  <c r="AF229" i="2" s="1"/>
  <c r="AB229" i="2"/>
  <c r="L228" i="2"/>
  <c r="M228" i="2"/>
  <c r="N228" i="2"/>
  <c r="N229" i="2" s="1"/>
  <c r="L229" i="2"/>
  <c r="M229" i="2"/>
  <c r="AA230" i="2"/>
  <c r="AF230" i="2" s="1"/>
  <c r="AB230" i="2"/>
  <c r="AA231" i="2"/>
  <c r="AB231" i="2"/>
  <c r="AF231" i="2" s="1"/>
  <c r="AF232" i="2"/>
  <c r="L231" i="2"/>
  <c r="M231" i="2"/>
  <c r="N231" i="2"/>
  <c r="N232" i="2" s="1"/>
  <c r="L232" i="2"/>
  <c r="M232" i="2"/>
  <c r="C233" i="2"/>
  <c r="B233" i="2" s="1"/>
  <c r="E233" i="2"/>
  <c r="A233" i="2" s="1"/>
  <c r="E234" i="2"/>
  <c r="E237" i="2" s="1"/>
  <c r="G237" i="2" s="1"/>
  <c r="H237" i="2" s="1"/>
  <c r="G234" i="2"/>
  <c r="F234" i="2"/>
  <c r="H234" i="2" s="1"/>
  <c r="I234" i="2"/>
  <c r="E235" i="2"/>
  <c r="G235" i="2" s="1"/>
  <c r="H235" i="2" s="1"/>
  <c r="F235" i="2"/>
  <c r="AF233" i="2"/>
  <c r="AF234" i="2"/>
  <c r="AF235" i="2"/>
  <c r="AI233" i="2"/>
  <c r="L234" i="2"/>
  <c r="L235" i="2" s="1"/>
  <c r="M234" i="2"/>
  <c r="N234" i="2"/>
  <c r="M235" i="2"/>
  <c r="N235" i="2"/>
  <c r="AF236" i="2"/>
  <c r="AF237" i="2"/>
  <c r="E238" i="2"/>
  <c r="E241" i="2" s="1"/>
  <c r="F238" i="2"/>
  <c r="L237" i="2"/>
  <c r="L238" i="2" s="1"/>
  <c r="M237" i="2"/>
  <c r="M238" i="2" s="1"/>
  <c r="N237" i="2"/>
  <c r="N238" i="2" s="1"/>
  <c r="E240" i="2"/>
  <c r="AF239" i="2"/>
  <c r="AF240" i="2"/>
  <c r="AF241" i="2"/>
  <c r="L240" i="2"/>
  <c r="M240" i="2"/>
  <c r="N240" i="2"/>
  <c r="N241" i="2" s="1"/>
  <c r="L241" i="2"/>
  <c r="M241" i="2"/>
  <c r="AF242" i="2"/>
  <c r="AF243" i="2"/>
  <c r="AF244" i="2"/>
  <c r="L243" i="2"/>
  <c r="L244" i="2" s="1"/>
  <c r="M243" i="2"/>
  <c r="N243" i="2"/>
  <c r="M244" i="2"/>
  <c r="N244" i="2"/>
  <c r="AF245" i="2"/>
  <c r="AF246" i="2"/>
  <c r="AF247" i="2"/>
  <c r="L246" i="2"/>
  <c r="M246" i="2"/>
  <c r="N246" i="2"/>
  <c r="L247" i="2"/>
  <c r="M247" i="2"/>
  <c r="N247" i="2"/>
  <c r="C248" i="2"/>
  <c r="B248" i="2" s="1"/>
  <c r="A248" i="2"/>
  <c r="F248" i="2"/>
  <c r="G248" i="2"/>
  <c r="H248" i="2"/>
  <c r="AP248" i="2" s="1"/>
  <c r="J248" i="2"/>
  <c r="P248" i="2"/>
  <c r="R248" i="2"/>
  <c r="T248" i="2"/>
  <c r="U248" i="2"/>
  <c r="G249" i="2"/>
  <c r="F249" i="2"/>
  <c r="I249" i="2"/>
  <c r="J249" i="2" s="1"/>
  <c r="R249" i="2" s="1"/>
  <c r="G250" i="2"/>
  <c r="F250" i="2"/>
  <c r="H250" i="2"/>
  <c r="I250" i="2"/>
  <c r="I251" i="2" s="1"/>
  <c r="J251" i="2" s="1"/>
  <c r="X248" i="2"/>
  <c r="AA248" i="2"/>
  <c r="AB248" i="2"/>
  <c r="AF248" i="2"/>
  <c r="AK248" i="2" s="1"/>
  <c r="AG248" i="2"/>
  <c r="AA249" i="2"/>
  <c r="AB249" i="2"/>
  <c r="AF249" i="2"/>
  <c r="AK249" i="2"/>
  <c r="AF250" i="2"/>
  <c r="AI248" i="2"/>
  <c r="AJ248" i="2" s="1"/>
  <c r="AS248" i="2"/>
  <c r="C249" i="2"/>
  <c r="A249" i="2"/>
  <c r="L249" i="2"/>
  <c r="M249" i="2"/>
  <c r="N249" i="2"/>
  <c r="N250" i="2" s="1"/>
  <c r="L250" i="2"/>
  <c r="M250" i="2"/>
  <c r="E251" i="2"/>
  <c r="T251" i="2"/>
  <c r="E252" i="2"/>
  <c r="E255" i="2" s="1"/>
  <c r="G252" i="2"/>
  <c r="F252" i="2"/>
  <c r="H252" i="2"/>
  <c r="I252" i="2"/>
  <c r="I253" i="2" s="1"/>
  <c r="J252" i="2"/>
  <c r="T252" i="2"/>
  <c r="P252" i="2"/>
  <c r="AA251" i="2"/>
  <c r="AB251" i="2"/>
  <c r="AF251" i="2" s="1"/>
  <c r="AK251" i="2"/>
  <c r="AF252" i="2"/>
  <c r="AI251" i="2"/>
  <c r="E253" i="2"/>
  <c r="G253" i="2" s="1"/>
  <c r="F253" i="2"/>
  <c r="AS251" i="2"/>
  <c r="L252" i="2"/>
  <c r="L253" i="2" s="1"/>
  <c r="M252" i="2"/>
  <c r="M253" i="2" s="1"/>
  <c r="N252" i="2"/>
  <c r="N253" i="2"/>
  <c r="E254" i="2"/>
  <c r="F254" i="2"/>
  <c r="G254" i="2"/>
  <c r="H254" i="2" s="1"/>
  <c r="G255" i="2"/>
  <c r="F255" i="2"/>
  <c r="H255" i="2"/>
  <c r="E256" i="2"/>
  <c r="G256" i="2" s="1"/>
  <c r="AA254" i="2"/>
  <c r="AB254" i="2"/>
  <c r="AF254" i="2"/>
  <c r="AA255" i="2"/>
  <c r="AB255" i="2"/>
  <c r="AF255" i="2"/>
  <c r="AA256" i="2"/>
  <c r="AB256" i="2"/>
  <c r="AF256" i="2"/>
  <c r="AI254" i="2"/>
  <c r="L255" i="2"/>
  <c r="L256" i="2" s="1"/>
  <c r="M255" i="2"/>
  <c r="M256" i="2" s="1"/>
  <c r="N255" i="2"/>
  <c r="N256" i="2"/>
  <c r="E257" i="2"/>
  <c r="E258" i="2"/>
  <c r="F258" i="2"/>
  <c r="E259" i="2"/>
  <c r="AA257" i="2"/>
  <c r="AF257" i="2" s="1"/>
  <c r="AB257" i="2"/>
  <c r="AA258" i="2"/>
  <c r="AB258" i="2"/>
  <c r="AF258" i="2"/>
  <c r="AA259" i="2"/>
  <c r="AB259" i="2"/>
  <c r="AF259" i="2"/>
  <c r="AI257" i="2"/>
  <c r="L258" i="2"/>
  <c r="M258" i="2"/>
  <c r="N258" i="2"/>
  <c r="N259" i="2" s="1"/>
  <c r="L259" i="2"/>
  <c r="M259" i="2"/>
  <c r="AA260" i="2"/>
  <c r="AB260" i="2"/>
  <c r="AF260" i="2"/>
  <c r="AA261" i="2"/>
  <c r="AF261" i="2" s="1"/>
  <c r="AB261" i="2"/>
  <c r="AA262" i="2"/>
  <c r="AB262" i="2"/>
  <c r="AF262" i="2" s="1"/>
  <c r="AI260" i="2"/>
  <c r="L261" i="2"/>
  <c r="L262" i="2" s="1"/>
  <c r="M261" i="2"/>
  <c r="M262" i="2" s="1"/>
  <c r="N261" i="2"/>
  <c r="N262" i="2"/>
  <c r="C263" i="2"/>
  <c r="E263" i="2"/>
  <c r="A263" i="2"/>
  <c r="B263" i="2"/>
  <c r="I263" i="2"/>
  <c r="J263" i="2"/>
  <c r="R263" i="2" s="1"/>
  <c r="E264" i="2"/>
  <c r="G264" i="2" s="1"/>
  <c r="F264" i="2"/>
  <c r="I264" i="2"/>
  <c r="I265" i="2" s="1"/>
  <c r="J265" i="2" s="1"/>
  <c r="J264" i="2"/>
  <c r="E265" i="2"/>
  <c r="E268" i="2" s="1"/>
  <c r="G265" i="2"/>
  <c r="F265" i="2"/>
  <c r="AF263" i="2"/>
  <c r="AF264" i="2"/>
  <c r="AF265" i="2"/>
  <c r="AK265" i="2" s="1"/>
  <c r="L264" i="2"/>
  <c r="L265" i="2" s="1"/>
  <c r="M264" i="2"/>
  <c r="N264" i="2"/>
  <c r="N265" i="2" s="1"/>
  <c r="M265" i="2"/>
  <c r="R265" i="2"/>
  <c r="I266" i="2"/>
  <c r="E267" i="2"/>
  <c r="G267" i="2"/>
  <c r="AF266" i="2"/>
  <c r="AF267" i="2"/>
  <c r="AF268" i="2"/>
  <c r="L267" i="2"/>
  <c r="L268" i="2" s="1"/>
  <c r="M267" i="2"/>
  <c r="M268" i="2" s="1"/>
  <c r="N267" i="2"/>
  <c r="N268" i="2" s="1"/>
  <c r="AF269" i="2"/>
  <c r="AF270" i="2"/>
  <c r="AF271" i="2"/>
  <c r="L270" i="2"/>
  <c r="L271" i="2" s="1"/>
  <c r="M270" i="2"/>
  <c r="N270" i="2"/>
  <c r="N271" i="2" s="1"/>
  <c r="M271" i="2"/>
  <c r="AF272" i="2"/>
  <c r="AF273" i="2"/>
  <c r="AF274" i="2"/>
  <c r="L273" i="2"/>
  <c r="L274" i="2" s="1"/>
  <c r="M273" i="2"/>
  <c r="M274" i="2" s="1"/>
  <c r="N273" i="2"/>
  <c r="N274" i="2" s="1"/>
  <c r="AF275" i="2"/>
  <c r="AF276" i="2"/>
  <c r="AF277" i="2"/>
  <c r="L276" i="2"/>
  <c r="L277" i="2" s="1"/>
  <c r="M276" i="2"/>
  <c r="N276" i="2"/>
  <c r="N277" i="2" s="1"/>
  <c r="M277" i="2"/>
  <c r="C278" i="2"/>
  <c r="E278" i="2"/>
  <c r="F278" i="2" s="1"/>
  <c r="G278" i="2"/>
  <c r="H278" i="2" s="1"/>
  <c r="I278" i="2"/>
  <c r="J278" i="2" s="1"/>
  <c r="AK278" i="2" s="1"/>
  <c r="P278" i="2"/>
  <c r="AG278" i="2" s="1"/>
  <c r="R278" i="2"/>
  <c r="T278" i="2"/>
  <c r="U278" i="2"/>
  <c r="E279" i="2"/>
  <c r="E282" i="2" s="1"/>
  <c r="G279" i="2"/>
  <c r="F279" i="2"/>
  <c r="H279" i="2"/>
  <c r="E280" i="2"/>
  <c r="G280" i="2"/>
  <c r="H280" i="2" s="1"/>
  <c r="F280" i="2"/>
  <c r="Y278" i="2"/>
  <c r="AL278" i="2" s="1"/>
  <c r="AF278" i="2"/>
  <c r="AF279" i="2"/>
  <c r="AF280" i="2"/>
  <c r="AP278" i="2"/>
  <c r="C279" i="2"/>
  <c r="A279" i="2" s="1"/>
  <c r="L279" i="2"/>
  <c r="M279" i="2"/>
  <c r="N279" i="2"/>
  <c r="C280" i="2"/>
  <c r="A280" i="2"/>
  <c r="L280" i="2"/>
  <c r="B280" i="2"/>
  <c r="M280" i="2"/>
  <c r="N280" i="2"/>
  <c r="E281" i="2"/>
  <c r="F281" i="2"/>
  <c r="G281" i="2"/>
  <c r="E283" i="2"/>
  <c r="E286" i="2" s="1"/>
  <c r="G283" i="2"/>
  <c r="F283" i="2"/>
  <c r="H283" i="2"/>
  <c r="AF281" i="2"/>
  <c r="AF282" i="2"/>
  <c r="AF283" i="2"/>
  <c r="L282" i="2"/>
  <c r="L283" i="2" s="1"/>
  <c r="M282" i="2"/>
  <c r="N282" i="2"/>
  <c r="N283" i="2" s="1"/>
  <c r="M283" i="2"/>
  <c r="E284" i="2"/>
  <c r="E287" i="2" s="1"/>
  <c r="E290" i="2" s="1"/>
  <c r="F284" i="2"/>
  <c r="G284" i="2"/>
  <c r="H284" i="2" s="1"/>
  <c r="G286" i="2"/>
  <c r="F286" i="2"/>
  <c r="H286" i="2"/>
  <c r="AF284" i="2"/>
  <c r="AF285" i="2"/>
  <c r="AF286" i="2"/>
  <c r="L285" i="2"/>
  <c r="M285" i="2"/>
  <c r="N285" i="2"/>
  <c r="L286" i="2"/>
  <c r="M286" i="2"/>
  <c r="N286" i="2"/>
  <c r="E289" i="2"/>
  <c r="E292" i="2" s="1"/>
  <c r="G289" i="2"/>
  <c r="F289" i="2"/>
  <c r="H289" i="2"/>
  <c r="AF287" i="2"/>
  <c r="AF288" i="2"/>
  <c r="AF289" i="2"/>
  <c r="L288" i="2"/>
  <c r="L289" i="2" s="1"/>
  <c r="M288" i="2"/>
  <c r="M289" i="2" s="1"/>
  <c r="N288" i="2"/>
  <c r="N289" i="2" s="1"/>
  <c r="AF290" i="2"/>
  <c r="AF291" i="2"/>
  <c r="AF292" i="2"/>
  <c r="L291" i="2"/>
  <c r="L292" i="2" s="1"/>
  <c r="M291" i="2"/>
  <c r="M292" i="2" s="1"/>
  <c r="N291" i="2"/>
  <c r="N292" i="2" s="1"/>
  <c r="C293" i="2"/>
  <c r="E293" i="2"/>
  <c r="F293" i="2"/>
  <c r="G293" i="2"/>
  <c r="H293" i="2" s="1"/>
  <c r="T293" i="2" s="1"/>
  <c r="I293" i="2"/>
  <c r="J293" i="2"/>
  <c r="R293" i="2" s="1"/>
  <c r="P293" i="2"/>
  <c r="Y293" i="2" s="1"/>
  <c r="AL293" i="2" s="1"/>
  <c r="U293" i="2"/>
  <c r="E294" i="2"/>
  <c r="E297" i="2" s="1"/>
  <c r="G294" i="2"/>
  <c r="I294" i="2"/>
  <c r="I295" i="2" s="1"/>
  <c r="J294" i="2"/>
  <c r="E295" i="2"/>
  <c r="F295" i="2" s="1"/>
  <c r="H295" i="2" s="1"/>
  <c r="G295" i="2"/>
  <c r="AF293" i="2"/>
  <c r="AK293" i="2"/>
  <c r="AG293" i="2" s="1"/>
  <c r="AF294" i="2"/>
  <c r="AF295" i="2"/>
  <c r="L294" i="2"/>
  <c r="L295" i="2" s="1"/>
  <c r="M294" i="2"/>
  <c r="N294" i="2"/>
  <c r="N295" i="2" s="1"/>
  <c r="M295" i="2"/>
  <c r="E296" i="2"/>
  <c r="G296" i="2" s="1"/>
  <c r="F296" i="2"/>
  <c r="E298" i="2"/>
  <c r="AF296" i="2"/>
  <c r="AF297" i="2"/>
  <c r="AF298" i="2"/>
  <c r="L297" i="2"/>
  <c r="L298" i="2" s="1"/>
  <c r="M297" i="2"/>
  <c r="N297" i="2"/>
  <c r="M298" i="2"/>
  <c r="N298" i="2"/>
  <c r="AF299" i="2"/>
  <c r="AF300" i="2"/>
  <c r="AF301" i="2"/>
  <c r="L300" i="2"/>
  <c r="M300" i="2"/>
  <c r="M301" i="2" s="1"/>
  <c r="N300" i="2"/>
  <c r="N301" i="2" s="1"/>
  <c r="L301" i="2"/>
  <c r="AF302" i="2"/>
  <c r="AF303" i="2"/>
  <c r="AF304" i="2"/>
  <c r="L303" i="2"/>
  <c r="L304" i="2" s="1"/>
  <c r="M303" i="2"/>
  <c r="N303" i="2"/>
  <c r="M304" i="2"/>
  <c r="N304" i="2"/>
  <c r="AF305" i="2"/>
  <c r="AF306" i="2"/>
  <c r="AF307" i="2"/>
  <c r="L306" i="2"/>
  <c r="L307" i="2" s="1"/>
  <c r="M306" i="2"/>
  <c r="M307" i="2" s="1"/>
  <c r="N306" i="2"/>
  <c r="N307" i="2"/>
  <c r="C308" i="2"/>
  <c r="E308" i="2"/>
  <c r="B308" i="2"/>
  <c r="F308" i="2"/>
  <c r="G308" i="2"/>
  <c r="H308" i="2" s="1"/>
  <c r="I308" i="2"/>
  <c r="I309" i="2" s="1"/>
  <c r="J309" i="2" s="1"/>
  <c r="J308" i="2"/>
  <c r="AK308" i="2" s="1"/>
  <c r="E309" i="2"/>
  <c r="G309" i="2"/>
  <c r="F309" i="2"/>
  <c r="H309" i="2"/>
  <c r="AP309" i="2" s="1"/>
  <c r="E310" i="2"/>
  <c r="E313" i="2" s="1"/>
  <c r="G310" i="2"/>
  <c r="F310" i="2"/>
  <c r="H310" i="2"/>
  <c r="I310" i="2"/>
  <c r="AF308" i="2"/>
  <c r="AF309" i="2"/>
  <c r="AK309" i="2" s="1"/>
  <c r="AF310" i="2"/>
  <c r="C309" i="2"/>
  <c r="A309" i="2" s="1"/>
  <c r="L309" i="2"/>
  <c r="M309" i="2"/>
  <c r="N309" i="2"/>
  <c r="L310" i="2"/>
  <c r="M310" i="2"/>
  <c r="N310" i="2"/>
  <c r="E311" i="2"/>
  <c r="G311" i="2" s="1"/>
  <c r="F311" i="2"/>
  <c r="E312" i="2"/>
  <c r="F312" i="2" s="1"/>
  <c r="G312" i="2"/>
  <c r="H312" i="2" s="1"/>
  <c r="AF311" i="2"/>
  <c r="AF312" i="2"/>
  <c r="AF313" i="2"/>
  <c r="L312" i="2"/>
  <c r="L313" i="2" s="1"/>
  <c r="M312" i="2"/>
  <c r="N312" i="2"/>
  <c r="M313" i="2"/>
  <c r="N313" i="2"/>
  <c r="E314" i="2"/>
  <c r="F314" i="2"/>
  <c r="G314" i="2"/>
  <c r="H314" i="2" s="1"/>
  <c r="E315" i="2"/>
  <c r="G315" i="2"/>
  <c r="F315" i="2"/>
  <c r="H315" i="2" s="1"/>
  <c r="AF314" i="2"/>
  <c r="AF315" i="2"/>
  <c r="AF316" i="2"/>
  <c r="L315" i="2"/>
  <c r="M315" i="2"/>
  <c r="M316" i="2" s="1"/>
  <c r="N315" i="2"/>
  <c r="L316" i="2"/>
  <c r="N316" i="2"/>
  <c r="E317" i="2"/>
  <c r="E318" i="2"/>
  <c r="G318" i="2"/>
  <c r="H318" i="2" s="1"/>
  <c r="F318" i="2"/>
  <c r="AF317" i="2"/>
  <c r="AF318" i="2"/>
  <c r="AF319" i="2"/>
  <c r="L318" i="2"/>
  <c r="L319" i="2" s="1"/>
  <c r="M318" i="2"/>
  <c r="N318" i="2"/>
  <c r="N319" i="2" s="1"/>
  <c r="M319" i="2"/>
  <c r="E321" i="2"/>
  <c r="G321" i="2" s="1"/>
  <c r="H321" i="2" s="1"/>
  <c r="F321" i="2"/>
  <c r="AF320" i="2"/>
  <c r="AF321" i="2"/>
  <c r="AF322" i="2"/>
  <c r="L321" i="2"/>
  <c r="L322" i="2" s="1"/>
  <c r="M321" i="2"/>
  <c r="M322" i="2" s="1"/>
  <c r="N321" i="2"/>
  <c r="N322" i="2" s="1"/>
  <c r="C323" i="2"/>
  <c r="E323" i="2"/>
  <c r="E326" i="2" s="1"/>
  <c r="A323" i="2"/>
  <c r="B323" i="2"/>
  <c r="F323" i="2"/>
  <c r="G323" i="2"/>
  <c r="H323" i="2" s="1"/>
  <c r="I323" i="2"/>
  <c r="J323" i="2"/>
  <c r="R323" i="2" s="1"/>
  <c r="E324" i="2"/>
  <c r="G324" i="2" s="1"/>
  <c r="I324" i="2"/>
  <c r="I325" i="2" s="1"/>
  <c r="E325" i="2"/>
  <c r="E328" i="2" s="1"/>
  <c r="E331" i="2" s="1"/>
  <c r="G325" i="2"/>
  <c r="F325" i="2"/>
  <c r="AF323" i="2"/>
  <c r="AK323" i="2"/>
  <c r="AF324" i="2"/>
  <c r="AF325" i="2"/>
  <c r="L324" i="2"/>
  <c r="L325" i="2" s="1"/>
  <c r="M324" i="2"/>
  <c r="N324" i="2"/>
  <c r="N325" i="2" s="1"/>
  <c r="M325" i="2"/>
  <c r="E327" i="2"/>
  <c r="E330" i="2" s="1"/>
  <c r="G327" i="2"/>
  <c r="H327" i="2" s="1"/>
  <c r="F327" i="2"/>
  <c r="AF326" i="2"/>
  <c r="AF327" i="2"/>
  <c r="AF328" i="2"/>
  <c r="L327" i="2"/>
  <c r="L328" i="2" s="1"/>
  <c r="M327" i="2"/>
  <c r="M328" i="2" s="1"/>
  <c r="N327" i="2"/>
  <c r="N328" i="2"/>
  <c r="E329" i="2"/>
  <c r="E332" i="2" s="1"/>
  <c r="F329" i="2"/>
  <c r="G329" i="2"/>
  <c r="H329" i="2"/>
  <c r="AF329" i="2"/>
  <c r="AF330" i="2"/>
  <c r="AF331" i="2"/>
  <c r="L330" i="2"/>
  <c r="L331" i="2" s="1"/>
  <c r="M330" i="2"/>
  <c r="N330" i="2"/>
  <c r="N331" i="2" s="1"/>
  <c r="M331" i="2"/>
  <c r="E333" i="2"/>
  <c r="E336" i="2" s="1"/>
  <c r="F333" i="2"/>
  <c r="AF332" i="2"/>
  <c r="AF333" i="2"/>
  <c r="AF334" i="2"/>
  <c r="L333" i="2"/>
  <c r="L334" i="2" s="1"/>
  <c r="M333" i="2"/>
  <c r="M334" i="2" s="1"/>
  <c r="N333" i="2"/>
  <c r="N334" i="2" s="1"/>
  <c r="AF335" i="2"/>
  <c r="AF336" i="2"/>
  <c r="AF337" i="2"/>
  <c r="L336" i="2"/>
  <c r="L337" i="2" s="1"/>
  <c r="M336" i="2"/>
  <c r="N336" i="2"/>
  <c r="N337" i="2" s="1"/>
  <c r="M337" i="2"/>
  <c r="C338" i="2"/>
  <c r="E338" i="2"/>
  <c r="F338" i="2"/>
  <c r="G338" i="2"/>
  <c r="H338" i="2" s="1"/>
  <c r="AS338" i="2" s="1"/>
  <c r="I338" i="2"/>
  <c r="I339" i="2" s="1"/>
  <c r="J339" i="2" s="1"/>
  <c r="AK339" i="2" s="1"/>
  <c r="J338" i="2"/>
  <c r="AK338" i="2" s="1"/>
  <c r="P338" i="2"/>
  <c r="R338" i="2"/>
  <c r="T338" i="2"/>
  <c r="U338" i="2" s="1"/>
  <c r="E339" i="2"/>
  <c r="E342" i="2" s="1"/>
  <c r="G339" i="2"/>
  <c r="F339" i="2"/>
  <c r="H339" i="2"/>
  <c r="E340" i="2"/>
  <c r="G340" i="2"/>
  <c r="F340" i="2"/>
  <c r="H340" i="2"/>
  <c r="I340" i="2"/>
  <c r="AF338" i="2"/>
  <c r="AF339" i="2"/>
  <c r="AF340" i="2"/>
  <c r="AP338" i="2"/>
  <c r="L339" i="2"/>
  <c r="M339" i="2"/>
  <c r="N339" i="2"/>
  <c r="R339" i="2"/>
  <c r="L340" i="2"/>
  <c r="M340" i="2"/>
  <c r="N340" i="2"/>
  <c r="E341" i="2"/>
  <c r="E344" i="2" s="1"/>
  <c r="F341" i="2"/>
  <c r="E343" i="2"/>
  <c r="E346" i="2" s="1"/>
  <c r="AF341" i="2"/>
  <c r="AF342" i="2"/>
  <c r="AF343" i="2"/>
  <c r="L342" i="2"/>
  <c r="L343" i="2" s="1"/>
  <c r="M342" i="2"/>
  <c r="N342" i="2"/>
  <c r="N343" i="2" s="1"/>
  <c r="M343" i="2"/>
  <c r="E345" i="2"/>
  <c r="E348" i="2" s="1"/>
  <c r="G345" i="2"/>
  <c r="F345" i="2"/>
  <c r="H345" i="2"/>
  <c r="AF344" i="2"/>
  <c r="AF345" i="2"/>
  <c r="AF346" i="2"/>
  <c r="L345" i="2"/>
  <c r="M345" i="2"/>
  <c r="N345" i="2"/>
  <c r="L346" i="2"/>
  <c r="M346" i="2"/>
  <c r="N346" i="2"/>
  <c r="E347" i="2"/>
  <c r="AF347" i="2"/>
  <c r="AF348" i="2"/>
  <c r="AF349" i="2"/>
  <c r="L348" i="2"/>
  <c r="L349" i="2" s="1"/>
  <c r="M348" i="2"/>
  <c r="N348" i="2"/>
  <c r="N349" i="2" s="1"/>
  <c r="M349" i="2"/>
  <c r="AF350" i="2"/>
  <c r="AF351" i="2"/>
  <c r="AF352" i="2"/>
  <c r="L351" i="2"/>
  <c r="M351" i="2"/>
  <c r="N351" i="2"/>
  <c r="L352" i="2"/>
  <c r="M352" i="2"/>
  <c r="N352" i="2"/>
  <c r="C353" i="2"/>
  <c r="E353" i="2"/>
  <c r="I353" i="2"/>
  <c r="J353" i="2" s="1"/>
  <c r="E354" i="2"/>
  <c r="G354" i="2" s="1"/>
  <c r="I354" i="2"/>
  <c r="I355" i="2" s="1"/>
  <c r="J354" i="2"/>
  <c r="R354" i="2" s="1"/>
  <c r="E355" i="2"/>
  <c r="E358" i="2" s="1"/>
  <c r="G355" i="2"/>
  <c r="H355" i="2" s="1"/>
  <c r="F355" i="2"/>
  <c r="AF353" i="2"/>
  <c r="AF354" i="2"/>
  <c r="AK354" i="2" s="1"/>
  <c r="AF355" i="2"/>
  <c r="L354" i="2"/>
  <c r="L355" i="2" s="1"/>
  <c r="M354" i="2"/>
  <c r="N354" i="2"/>
  <c r="N355" i="2" s="1"/>
  <c r="M355" i="2"/>
  <c r="E357" i="2"/>
  <c r="E360" i="2" s="1"/>
  <c r="G357" i="2"/>
  <c r="F357" i="2"/>
  <c r="H357" i="2"/>
  <c r="AF356" i="2"/>
  <c r="AF357" i="2"/>
  <c r="AF358" i="2"/>
  <c r="L357" i="2"/>
  <c r="M357" i="2"/>
  <c r="N357" i="2"/>
  <c r="L358" i="2"/>
  <c r="M358" i="2"/>
  <c r="N358" i="2"/>
  <c r="AF359" i="2"/>
  <c r="AF360" i="2"/>
  <c r="AF361" i="2"/>
  <c r="L360" i="2"/>
  <c r="L361" i="2" s="1"/>
  <c r="M360" i="2"/>
  <c r="N360" i="2"/>
  <c r="N361" i="2" s="1"/>
  <c r="M361" i="2"/>
  <c r="AF362" i="2"/>
  <c r="AF363" i="2"/>
  <c r="AF364" i="2"/>
  <c r="L363" i="2"/>
  <c r="M363" i="2"/>
  <c r="N363" i="2"/>
  <c r="L364" i="2"/>
  <c r="M364" i="2"/>
  <c r="N364" i="2"/>
  <c r="AF365" i="2"/>
  <c r="AF366" i="2"/>
  <c r="AF367" i="2"/>
  <c r="L366" i="2"/>
  <c r="M366" i="2"/>
  <c r="N366" i="2"/>
  <c r="N367" i="2" s="1"/>
  <c r="L367" i="2"/>
  <c r="M367" i="2"/>
  <c r="C368" i="2"/>
  <c r="C369" i="2" s="1"/>
  <c r="C370" i="2" s="1"/>
  <c r="E368" i="2"/>
  <c r="F368" i="2" s="1"/>
  <c r="G368" i="2"/>
  <c r="H368" i="2" s="1"/>
  <c r="AS368" i="2" s="1"/>
  <c r="I368" i="2"/>
  <c r="J368" i="2"/>
  <c r="P368" i="2"/>
  <c r="R368" i="2"/>
  <c r="T368" i="2"/>
  <c r="U368" i="2"/>
  <c r="E369" i="2"/>
  <c r="E372" i="2" s="1"/>
  <c r="G369" i="2"/>
  <c r="F369" i="2"/>
  <c r="H369" i="2"/>
  <c r="I369" i="2"/>
  <c r="J369" i="2" s="1"/>
  <c r="AK369" i="2" s="1"/>
  <c r="E370" i="2"/>
  <c r="G370" i="2"/>
  <c r="F370" i="2"/>
  <c r="H370" i="2"/>
  <c r="I370" i="2"/>
  <c r="J370" i="2" s="1"/>
  <c r="AF368" i="2"/>
  <c r="AK368" i="2" s="1"/>
  <c r="AG368" i="2" s="1"/>
  <c r="AF369" i="2"/>
  <c r="AF370" i="2"/>
  <c r="AK370" i="2"/>
  <c r="L369" i="2"/>
  <c r="L370" i="2" s="1"/>
  <c r="M369" i="2"/>
  <c r="M370" i="2" s="1"/>
  <c r="N369" i="2"/>
  <c r="N370" i="2" s="1"/>
  <c r="R369" i="2"/>
  <c r="E371" i="2"/>
  <c r="E374" i="2" s="1"/>
  <c r="F371" i="2"/>
  <c r="G371" i="2"/>
  <c r="H371" i="2"/>
  <c r="I371" i="2"/>
  <c r="J371" i="2"/>
  <c r="I372" i="2"/>
  <c r="I373" i="2" s="1"/>
  <c r="J372" i="2"/>
  <c r="E373" i="2"/>
  <c r="E376" i="2" s="1"/>
  <c r="F373" i="2"/>
  <c r="AF371" i="2"/>
  <c r="AF372" i="2"/>
  <c r="AF373" i="2"/>
  <c r="L372" i="2"/>
  <c r="M372" i="2"/>
  <c r="N372" i="2"/>
  <c r="N373" i="2" s="1"/>
  <c r="L373" i="2"/>
  <c r="M373" i="2"/>
  <c r="AF374" i="2"/>
  <c r="AF375" i="2"/>
  <c r="AF376" i="2"/>
  <c r="L375" i="2"/>
  <c r="L376" i="2" s="1"/>
  <c r="M375" i="2"/>
  <c r="M376" i="2" s="1"/>
  <c r="N375" i="2"/>
  <c r="N376" i="2" s="1"/>
  <c r="E377" i="2"/>
  <c r="E380" i="2" s="1"/>
  <c r="F377" i="2"/>
  <c r="G377" i="2"/>
  <c r="H377" i="2"/>
  <c r="E379" i="2"/>
  <c r="E382" i="2" s="1"/>
  <c r="F379" i="2"/>
  <c r="AF377" i="2"/>
  <c r="AF378" i="2"/>
  <c r="AF379" i="2"/>
  <c r="L378" i="2"/>
  <c r="M378" i="2"/>
  <c r="N378" i="2"/>
  <c r="N379" i="2" s="1"/>
  <c r="L379" i="2"/>
  <c r="M379" i="2"/>
  <c r="AF380" i="2"/>
  <c r="AF381" i="2"/>
  <c r="AF382" i="2"/>
  <c r="L381" i="2"/>
  <c r="L382" i="2" s="1"/>
  <c r="M381" i="2"/>
  <c r="M382" i="2" s="1"/>
  <c r="N381" i="2"/>
  <c r="N382" i="2" s="1"/>
  <c r="C383" i="2"/>
  <c r="E383" i="2"/>
  <c r="E386" i="2" s="1"/>
  <c r="A383" i="2"/>
  <c r="B383" i="2"/>
  <c r="F383" i="2"/>
  <c r="G383" i="2"/>
  <c r="H383" i="2"/>
  <c r="I383" i="2"/>
  <c r="I384" i="2" s="1"/>
  <c r="J383" i="2"/>
  <c r="E384" i="2"/>
  <c r="G384" i="2" s="1"/>
  <c r="E385" i="2"/>
  <c r="E388" i="2" s="1"/>
  <c r="AF383" i="2"/>
  <c r="AF384" i="2"/>
  <c r="AF385" i="2"/>
  <c r="L384" i="2"/>
  <c r="M384" i="2"/>
  <c r="N384" i="2"/>
  <c r="N385" i="2" s="1"/>
  <c r="L385" i="2"/>
  <c r="M385" i="2"/>
  <c r="E387" i="2"/>
  <c r="E390" i="2" s="1"/>
  <c r="E393" i="2" s="1"/>
  <c r="AF386" i="2"/>
  <c r="AF387" i="2"/>
  <c r="AF388" i="2"/>
  <c r="L387" i="2"/>
  <c r="M387" i="2"/>
  <c r="N387" i="2"/>
  <c r="L388" i="2"/>
  <c r="M388" i="2"/>
  <c r="N388" i="2"/>
  <c r="E391" i="2"/>
  <c r="G391" i="2"/>
  <c r="AF389" i="2"/>
  <c r="AF390" i="2"/>
  <c r="AF391" i="2"/>
  <c r="L390" i="2"/>
  <c r="M390" i="2"/>
  <c r="N390" i="2"/>
  <c r="N391" i="2" s="1"/>
  <c r="L391" i="2"/>
  <c r="M391" i="2"/>
  <c r="AF392" i="2"/>
  <c r="AF393" i="2"/>
  <c r="AF394" i="2"/>
  <c r="L393" i="2"/>
  <c r="L394" i="2" s="1"/>
  <c r="M393" i="2"/>
  <c r="M394" i="2" s="1"/>
  <c r="N393" i="2"/>
  <c r="N394" i="2" s="1"/>
  <c r="AF395" i="2"/>
  <c r="AF396" i="2"/>
  <c r="AF397" i="2"/>
  <c r="L396" i="2"/>
  <c r="M396" i="2"/>
  <c r="N396" i="2"/>
  <c r="L397" i="2"/>
  <c r="M397" i="2"/>
  <c r="N397" i="2"/>
  <c r="C398" i="2"/>
  <c r="E398" i="2"/>
  <c r="F398" i="2" s="1"/>
  <c r="B398" i="2"/>
  <c r="G398" i="2"/>
  <c r="H398" i="2"/>
  <c r="I398" i="2"/>
  <c r="J398" i="2"/>
  <c r="P398" i="2"/>
  <c r="R398" i="2"/>
  <c r="E399" i="2"/>
  <c r="F399" i="2" s="1"/>
  <c r="H399" i="2" s="1"/>
  <c r="G399" i="2"/>
  <c r="I399" i="2"/>
  <c r="J399" i="2" s="1"/>
  <c r="E400" i="2"/>
  <c r="G400" i="2" s="1"/>
  <c r="F400" i="2"/>
  <c r="H400" i="2"/>
  <c r="I400" i="2"/>
  <c r="I401" i="2" s="1"/>
  <c r="J400" i="2"/>
  <c r="T400" i="2" s="1"/>
  <c r="AF398" i="2"/>
  <c r="AF399" i="2"/>
  <c r="AK399" i="2" s="1"/>
  <c r="AF400" i="2"/>
  <c r="AP398" i="2"/>
  <c r="C399" i="2"/>
  <c r="A399" i="2"/>
  <c r="L399" i="2"/>
  <c r="L400" i="2" s="1"/>
  <c r="B399" i="2"/>
  <c r="M399" i="2"/>
  <c r="M400" i="2" s="1"/>
  <c r="N399" i="2"/>
  <c r="N400" i="2" s="1"/>
  <c r="R399" i="2"/>
  <c r="E402" i="2"/>
  <c r="E405" i="2" s="1"/>
  <c r="E408" i="2" s="1"/>
  <c r="G402" i="2"/>
  <c r="F402" i="2"/>
  <c r="H402" i="2"/>
  <c r="AF401" i="2"/>
  <c r="AF402" i="2"/>
  <c r="AF403" i="2"/>
  <c r="L402" i="2"/>
  <c r="M402" i="2"/>
  <c r="M403" i="2" s="1"/>
  <c r="N402" i="2"/>
  <c r="N403" i="2" s="1"/>
  <c r="L403" i="2"/>
  <c r="G405" i="2"/>
  <c r="AF404" i="2"/>
  <c r="AF405" i="2"/>
  <c r="AF406" i="2"/>
  <c r="L405" i="2"/>
  <c r="M405" i="2"/>
  <c r="N405" i="2"/>
  <c r="N406" i="2" s="1"/>
  <c r="L406" i="2"/>
  <c r="M406" i="2"/>
  <c r="AF407" i="2"/>
  <c r="AF408" i="2"/>
  <c r="AF409" i="2"/>
  <c r="L408" i="2"/>
  <c r="M408" i="2"/>
  <c r="M409" i="2" s="1"/>
  <c r="N408" i="2"/>
  <c r="L409" i="2"/>
  <c r="N409" i="2"/>
  <c r="AF410" i="2"/>
  <c r="AF411" i="2"/>
  <c r="AF412" i="2"/>
  <c r="L411" i="2"/>
  <c r="L412" i="2" s="1"/>
  <c r="M411" i="2"/>
  <c r="M412" i="2" s="1"/>
  <c r="N411" i="2"/>
  <c r="N412" i="2" s="1"/>
  <c r="E7" i="902"/>
  <c r="H7" i="902"/>
  <c r="E8" i="902"/>
  <c r="H8" i="902"/>
  <c r="E9" i="902"/>
  <c r="H9" i="902"/>
  <c r="E10" i="902"/>
  <c r="H10" i="902"/>
  <c r="E11" i="902"/>
  <c r="H11" i="902"/>
  <c r="E12" i="902"/>
  <c r="H12" i="902"/>
  <c r="E13" i="902"/>
  <c r="H13" i="902"/>
  <c r="D83" i="2"/>
  <c r="G10" i="2"/>
  <c r="D113" i="2"/>
  <c r="D32" i="2"/>
  <c r="D53" i="2"/>
  <c r="E8" i="4"/>
  <c r="D8" i="4"/>
  <c r="E9" i="4"/>
  <c r="D9" i="4"/>
  <c r="E10" i="4"/>
  <c r="D10" i="4"/>
  <c r="E11" i="4"/>
  <c r="D11" i="4"/>
  <c r="E12" i="4"/>
  <c r="D12" i="4"/>
  <c r="E13" i="4"/>
  <c r="D13" i="4"/>
  <c r="E14" i="4"/>
  <c r="D14" i="4"/>
  <c r="E15" i="4"/>
  <c r="D15" i="4"/>
  <c r="E16" i="4"/>
  <c r="D16" i="4"/>
  <c r="E17" i="4"/>
  <c r="D17" i="4"/>
  <c r="E18" i="4"/>
  <c r="D18" i="4"/>
  <c r="E19" i="4"/>
  <c r="D19" i="4"/>
  <c r="E20" i="4"/>
  <c r="D20" i="4"/>
  <c r="E21" i="4"/>
  <c r="D21" i="4"/>
  <c r="E22" i="4"/>
  <c r="D22" i="4"/>
  <c r="E23" i="4"/>
  <c r="D23" i="4"/>
  <c r="E24" i="4"/>
  <c r="D24" i="4"/>
  <c r="E25" i="4"/>
  <c r="D25" i="4"/>
  <c r="E26" i="4"/>
  <c r="D26" i="4"/>
  <c r="E27" i="4"/>
  <c r="D27" i="4"/>
  <c r="E34" i="4"/>
  <c r="D34" i="4"/>
  <c r="D114" i="2"/>
  <c r="D203" i="2"/>
  <c r="D173" i="2"/>
  <c r="D248" i="2"/>
  <c r="D158" i="2"/>
  <c r="D263" i="2"/>
  <c r="D84" i="2"/>
  <c r="D233" i="2"/>
  <c r="D278" i="2"/>
  <c r="D204" i="2"/>
  <c r="D308" i="2"/>
  <c r="D323" i="2"/>
  <c r="D353" i="2"/>
  <c r="D383" i="2"/>
  <c r="D218" i="2"/>
  <c r="D279" i="2"/>
  <c r="D368" i="2"/>
  <c r="D128" i="2"/>
  <c r="D249" i="2"/>
  <c r="D115" i="2"/>
  <c r="D293" i="2"/>
  <c r="D280" i="2"/>
  <c r="D68" i="2"/>
  <c r="D143" i="2"/>
  <c r="D398" i="2"/>
  <c r="D399" i="2"/>
  <c r="D338" i="2"/>
  <c r="D369" i="2"/>
  <c r="D309" i="2"/>
  <c r="D188" i="2"/>
  <c r="D98" i="2"/>
  <c r="D370" i="2"/>
  <c r="D35" i="4" l="1"/>
  <c r="E35" i="4"/>
  <c r="D29" i="4"/>
  <c r="D30" i="4"/>
  <c r="D31" i="4"/>
  <c r="D32" i="4"/>
  <c r="E29" i="4"/>
  <c r="E30" i="4"/>
  <c r="E31" i="4"/>
  <c r="E32" i="4"/>
  <c r="J54" i="2"/>
  <c r="T54" i="2" s="1"/>
  <c r="J69" i="2"/>
  <c r="U400" i="2"/>
  <c r="AS355" i="2"/>
  <c r="P323" i="2"/>
  <c r="T323" i="2"/>
  <c r="U323" i="2" s="1"/>
  <c r="AP323" i="2"/>
  <c r="AS323" i="2"/>
  <c r="C371" i="2"/>
  <c r="B370" i="2"/>
  <c r="A370" i="2"/>
  <c r="E243" i="2"/>
  <c r="G240" i="2"/>
  <c r="F240" i="2"/>
  <c r="F317" i="2"/>
  <c r="E320" i="2"/>
  <c r="G317" i="2"/>
  <c r="E300" i="2"/>
  <c r="G297" i="2"/>
  <c r="H297" i="2" s="1"/>
  <c r="I254" i="2"/>
  <c r="J253" i="2"/>
  <c r="E350" i="2"/>
  <c r="F347" i="2"/>
  <c r="G347" i="2"/>
  <c r="H347" i="2" s="1"/>
  <c r="G408" i="2"/>
  <c r="F408" i="2"/>
  <c r="E411" i="2"/>
  <c r="F393" i="2"/>
  <c r="E396" i="2"/>
  <c r="G393" i="2"/>
  <c r="H393" i="2" s="1"/>
  <c r="E334" i="2"/>
  <c r="G331" i="2"/>
  <c r="F331" i="2"/>
  <c r="AF120" i="2"/>
  <c r="U100" i="2"/>
  <c r="C99" i="2"/>
  <c r="A98" i="2"/>
  <c r="B98" i="2"/>
  <c r="F167" i="2"/>
  <c r="G167" i="2"/>
  <c r="E170" i="2"/>
  <c r="E394" i="2"/>
  <c r="F391" i="2"/>
  <c r="H391" i="2" s="1"/>
  <c r="Y398" i="2"/>
  <c r="AQ338" i="2"/>
  <c r="F343" i="2"/>
  <c r="G282" i="2"/>
  <c r="E285" i="2"/>
  <c r="F282" i="2"/>
  <c r="I235" i="2"/>
  <c r="J234" i="2"/>
  <c r="H168" i="2"/>
  <c r="H384" i="2"/>
  <c r="G343" i="2"/>
  <c r="F168" i="2"/>
  <c r="E171" i="2"/>
  <c r="AF108" i="2"/>
  <c r="J373" i="2"/>
  <c r="I374" i="2"/>
  <c r="F313" i="2"/>
  <c r="G313" i="2"/>
  <c r="H313" i="2" s="1"/>
  <c r="E316" i="2"/>
  <c r="AP369" i="2"/>
  <c r="T369" i="2"/>
  <c r="P369" i="2"/>
  <c r="AS369" i="2"/>
  <c r="AT368" i="2" s="1"/>
  <c r="G346" i="2"/>
  <c r="F346" i="2"/>
  <c r="E349" i="2"/>
  <c r="C189" i="2"/>
  <c r="A188" i="2"/>
  <c r="B188" i="2"/>
  <c r="J310" i="2"/>
  <c r="I311" i="2"/>
  <c r="X252" i="2"/>
  <c r="Y252" i="2"/>
  <c r="Z252" i="2"/>
  <c r="AJ252" i="2"/>
  <c r="R372" i="2"/>
  <c r="AK372" i="2"/>
  <c r="R371" i="2"/>
  <c r="AK371" i="2"/>
  <c r="R383" i="2"/>
  <c r="AK383" i="2"/>
  <c r="F405" i="2"/>
  <c r="H405" i="2" s="1"/>
  <c r="P400" i="2"/>
  <c r="I385" i="2"/>
  <c r="J384" i="2"/>
  <c r="B309" i="2"/>
  <c r="C310" i="2"/>
  <c r="AP308" i="2"/>
  <c r="AS308" i="2"/>
  <c r="P308" i="2"/>
  <c r="T308" i="2"/>
  <c r="U308" i="2" s="1"/>
  <c r="F297" i="2"/>
  <c r="E260" i="2"/>
  <c r="F257" i="2"/>
  <c r="G257" i="2"/>
  <c r="H257" i="2" s="1"/>
  <c r="AS174" i="2"/>
  <c r="T174" i="2"/>
  <c r="P174" i="2"/>
  <c r="AP174" i="2"/>
  <c r="U252" i="2"/>
  <c r="P399" i="2"/>
  <c r="AP399" i="2"/>
  <c r="AQ398" i="2" s="1"/>
  <c r="AS399" i="2"/>
  <c r="T399" i="2"/>
  <c r="U399" i="2" s="1"/>
  <c r="R370" i="2"/>
  <c r="P370" i="2"/>
  <c r="T370" i="2"/>
  <c r="U370" i="2" s="1"/>
  <c r="AS383" i="2"/>
  <c r="J340" i="2"/>
  <c r="I341" i="2"/>
  <c r="E270" i="2"/>
  <c r="F267" i="2"/>
  <c r="H267" i="2" s="1"/>
  <c r="F386" i="2"/>
  <c r="G386" i="2"/>
  <c r="H386" i="2" s="1"/>
  <c r="E389" i="2"/>
  <c r="A369" i="2"/>
  <c r="B369" i="2"/>
  <c r="AK400" i="2"/>
  <c r="AG400" i="2" s="1"/>
  <c r="R400" i="2"/>
  <c r="AP340" i="2"/>
  <c r="AS340" i="2"/>
  <c r="T340" i="2"/>
  <c r="P340" i="2"/>
  <c r="A338" i="2"/>
  <c r="B338" i="2"/>
  <c r="C339" i="2"/>
  <c r="H281" i="2"/>
  <c r="R353" i="2"/>
  <c r="AK353" i="2"/>
  <c r="E356" i="2"/>
  <c r="A353" i="2"/>
  <c r="B353" i="2"/>
  <c r="F353" i="2"/>
  <c r="G353" i="2"/>
  <c r="H311" i="2"/>
  <c r="I402" i="2"/>
  <c r="J401" i="2"/>
  <c r="G358" i="2"/>
  <c r="H358" i="2" s="1"/>
  <c r="F358" i="2"/>
  <c r="E361" i="2"/>
  <c r="AG309" i="2"/>
  <c r="F294" i="2"/>
  <c r="H294" i="2" s="1"/>
  <c r="E228" i="2"/>
  <c r="G225" i="2"/>
  <c r="F225" i="2"/>
  <c r="T190" i="2"/>
  <c r="P190" i="2"/>
  <c r="AS190" i="2"/>
  <c r="AP339" i="2"/>
  <c r="T339" i="2"/>
  <c r="U339" i="2" s="1"/>
  <c r="P339" i="2"/>
  <c r="AS339" i="2"/>
  <c r="F326" i="2"/>
  <c r="G326" i="2"/>
  <c r="H326" i="2" s="1"/>
  <c r="F209" i="2"/>
  <c r="G209" i="2"/>
  <c r="E212" i="2"/>
  <c r="H121" i="2"/>
  <c r="H84" i="2"/>
  <c r="G360" i="2"/>
  <c r="H360" i="2" s="1"/>
  <c r="F360" i="2"/>
  <c r="Y368" i="2"/>
  <c r="AL368" i="2" s="1"/>
  <c r="A398" i="2"/>
  <c r="F387" i="2"/>
  <c r="F385" i="2"/>
  <c r="H354" i="2"/>
  <c r="G342" i="2"/>
  <c r="F342" i="2"/>
  <c r="E299" i="2"/>
  <c r="AK101" i="2"/>
  <c r="R101" i="2"/>
  <c r="G106" i="2"/>
  <c r="F106" i="2"/>
  <c r="E109" i="2"/>
  <c r="AP400" i="2"/>
  <c r="G348" i="2"/>
  <c r="F348" i="2"/>
  <c r="AJ189" i="2"/>
  <c r="X189" i="2"/>
  <c r="Z189" i="2" s="1"/>
  <c r="AM189" i="2" s="1"/>
  <c r="AV189" i="2" s="1"/>
  <c r="F121" i="2"/>
  <c r="E124" i="2"/>
  <c r="B143" i="2"/>
  <c r="A143" i="2"/>
  <c r="AK99" i="2"/>
  <c r="R99" i="2"/>
  <c r="C69" i="2"/>
  <c r="G387" i="2"/>
  <c r="G385" i="2"/>
  <c r="H385" i="2" s="1"/>
  <c r="F380" i="2"/>
  <c r="G380" i="2"/>
  <c r="H380" i="2" s="1"/>
  <c r="F374" i="2"/>
  <c r="G374" i="2"/>
  <c r="H374" i="2" s="1"/>
  <c r="C281" i="2"/>
  <c r="G214" i="2"/>
  <c r="F214" i="2"/>
  <c r="J204" i="2"/>
  <c r="AK204" i="2" s="1"/>
  <c r="AG204" i="2" s="1"/>
  <c r="I205" i="2"/>
  <c r="J191" i="2"/>
  <c r="I192" i="2"/>
  <c r="G147" i="2"/>
  <c r="H147" i="2" s="1"/>
  <c r="F147" i="2"/>
  <c r="E150" i="2"/>
  <c r="G103" i="2"/>
  <c r="H103" i="2" s="1"/>
  <c r="AQ98" i="2"/>
  <c r="AK145" i="2"/>
  <c r="AP252" i="2"/>
  <c r="G292" i="2"/>
  <c r="F292" i="2"/>
  <c r="C294" i="2"/>
  <c r="A293" i="2"/>
  <c r="B293" i="2"/>
  <c r="G259" i="2"/>
  <c r="H259" i="2" s="1"/>
  <c r="F259" i="2"/>
  <c r="E262" i="2"/>
  <c r="T250" i="2"/>
  <c r="P250" i="2"/>
  <c r="AP250" i="2"/>
  <c r="T204" i="2"/>
  <c r="AP204" i="2"/>
  <c r="P204" i="2"/>
  <c r="AS204" i="2"/>
  <c r="AK159" i="2"/>
  <c r="C116" i="2"/>
  <c r="P371" i="2"/>
  <c r="T371" i="2"/>
  <c r="AP371" i="2"/>
  <c r="F290" i="2"/>
  <c r="G290" i="2"/>
  <c r="H290" i="2" s="1"/>
  <c r="AM203" i="2"/>
  <c r="F191" i="2"/>
  <c r="G191" i="2"/>
  <c r="E194" i="2"/>
  <c r="F84" i="2"/>
  <c r="J84" i="2"/>
  <c r="R84" i="2" s="1"/>
  <c r="E87" i="2"/>
  <c r="A84" i="2"/>
  <c r="J68" i="2"/>
  <c r="T68" i="2" s="1"/>
  <c r="E71" i="2"/>
  <c r="E363" i="2"/>
  <c r="B249" i="2"/>
  <c r="C250" i="2"/>
  <c r="G390" i="2"/>
  <c r="F390" i="2"/>
  <c r="AP368" i="2"/>
  <c r="AQ368" i="2" s="1"/>
  <c r="C400" i="2"/>
  <c r="AK398" i="2"/>
  <c r="AG398" i="2" s="1"/>
  <c r="G379" i="2"/>
  <c r="H379" i="2" s="1"/>
  <c r="G373" i="2"/>
  <c r="H373" i="2" s="1"/>
  <c r="AP370" i="2"/>
  <c r="AS370" i="2"/>
  <c r="G341" i="2"/>
  <c r="H341" i="2" s="1"/>
  <c r="G333" i="2"/>
  <c r="H333" i="2" s="1"/>
  <c r="G330" i="2"/>
  <c r="H330" i="2" s="1"/>
  <c r="F330" i="2"/>
  <c r="J324" i="2"/>
  <c r="R308" i="2"/>
  <c r="AS293" i="2"/>
  <c r="E266" i="2"/>
  <c r="F263" i="2"/>
  <c r="G263" i="2"/>
  <c r="J161" i="2"/>
  <c r="C129" i="2"/>
  <c r="P383" i="2"/>
  <c r="T383" i="2"/>
  <c r="AP383" i="2"/>
  <c r="G372" i="2"/>
  <c r="F372" i="2"/>
  <c r="G177" i="2"/>
  <c r="H177" i="2" s="1"/>
  <c r="F177" i="2"/>
  <c r="E180" i="2"/>
  <c r="F332" i="2"/>
  <c r="G332" i="2"/>
  <c r="H325" i="2"/>
  <c r="G382" i="2"/>
  <c r="F382" i="2"/>
  <c r="G376" i="2"/>
  <c r="H376" i="2" s="1"/>
  <c r="F376" i="2"/>
  <c r="A368" i="2"/>
  <c r="B368" i="2"/>
  <c r="Y338" i="2"/>
  <c r="AL338" i="2" s="1"/>
  <c r="AU338" i="2" s="1"/>
  <c r="G336" i="2"/>
  <c r="H336" i="2" s="1"/>
  <c r="F336" i="2"/>
  <c r="AK325" i="2"/>
  <c r="J325" i="2"/>
  <c r="R325" i="2" s="1"/>
  <c r="I326" i="2"/>
  <c r="T295" i="2"/>
  <c r="H256" i="2"/>
  <c r="J162" i="2"/>
  <c r="AS130" i="2"/>
  <c r="T130" i="2"/>
  <c r="U130" i="2" s="1"/>
  <c r="P130" i="2"/>
  <c r="AP130" i="2"/>
  <c r="I102" i="2"/>
  <c r="E92" i="2"/>
  <c r="F89" i="2"/>
  <c r="G89" i="2"/>
  <c r="H89" i="2" s="1"/>
  <c r="I75" i="2"/>
  <c r="AK252" i="2"/>
  <c r="AG252" i="2" s="1"/>
  <c r="R252" i="2"/>
  <c r="AS398" i="2"/>
  <c r="G136" i="2"/>
  <c r="F136" i="2"/>
  <c r="E139" i="2"/>
  <c r="E335" i="2"/>
  <c r="AP190" i="2"/>
  <c r="E351" i="2"/>
  <c r="G328" i="2"/>
  <c r="H328" i="2" s="1"/>
  <c r="F328" i="2"/>
  <c r="E401" i="2"/>
  <c r="AS371" i="2"/>
  <c r="AG338" i="2"/>
  <c r="AG308" i="2"/>
  <c r="G298" i="2"/>
  <c r="H298" i="2" s="1"/>
  <c r="F298" i="2"/>
  <c r="E301" i="2"/>
  <c r="AP295" i="2"/>
  <c r="AK294" i="2"/>
  <c r="R294" i="2"/>
  <c r="AF189" i="2"/>
  <c r="AK189" i="2" s="1"/>
  <c r="AG189" i="2" s="1"/>
  <c r="AS252" i="2"/>
  <c r="P100" i="2"/>
  <c r="AS100" i="2"/>
  <c r="H296" i="2"/>
  <c r="F143" i="2"/>
  <c r="G143" i="2"/>
  <c r="E146" i="2"/>
  <c r="J355" i="2"/>
  <c r="R355" i="2" s="1"/>
  <c r="I356" i="2"/>
  <c r="E403" i="2"/>
  <c r="G388" i="2"/>
  <c r="F388" i="2"/>
  <c r="AS400" i="2"/>
  <c r="R309" i="2"/>
  <c r="P309" i="2"/>
  <c r="J295" i="2"/>
  <c r="I296" i="2"/>
  <c r="G287" i="2"/>
  <c r="H287" i="2" s="1"/>
  <c r="H265" i="2"/>
  <c r="AK250" i="2"/>
  <c r="AL203" i="2"/>
  <c r="I164" i="2"/>
  <c r="X129" i="2"/>
  <c r="Z129" i="2" s="1"/>
  <c r="AM129" i="2" s="1"/>
  <c r="AV129" i="2" s="1"/>
  <c r="Y129" i="2"/>
  <c r="AJ129" i="2"/>
  <c r="R264" i="2"/>
  <c r="AK264" i="2"/>
  <c r="G132" i="2"/>
  <c r="H132" i="2" s="1"/>
  <c r="F132" i="2"/>
  <c r="T398" i="2"/>
  <c r="U398" i="2" s="1"/>
  <c r="E375" i="2"/>
  <c r="AG369" i="2"/>
  <c r="F344" i="2"/>
  <c r="G344" i="2"/>
  <c r="H344" i="2" s="1"/>
  <c r="AT338" i="2"/>
  <c r="AP293" i="2"/>
  <c r="F287" i="2"/>
  <c r="B279" i="2"/>
  <c r="F268" i="2"/>
  <c r="G268" i="2"/>
  <c r="E271" i="2"/>
  <c r="H249" i="2"/>
  <c r="A218" i="2"/>
  <c r="B218" i="2"/>
  <c r="C219" i="2"/>
  <c r="AS188" i="2"/>
  <c r="P188" i="2"/>
  <c r="T188" i="2"/>
  <c r="U188" i="2" s="1"/>
  <c r="AP188" i="2"/>
  <c r="AQ188" i="2" s="1"/>
  <c r="C144" i="2"/>
  <c r="E135" i="2"/>
  <c r="I267" i="2"/>
  <c r="J266" i="2"/>
  <c r="H253" i="2"/>
  <c r="J177" i="2"/>
  <c r="I178" i="2"/>
  <c r="T99" i="2"/>
  <c r="P99" i="2"/>
  <c r="AS99" i="2"/>
  <c r="F384" i="2"/>
  <c r="F354" i="2"/>
  <c r="F324" i="2"/>
  <c r="H324" i="2" s="1"/>
  <c r="AS309" i="2"/>
  <c r="T309" i="2"/>
  <c r="U309" i="2" s="1"/>
  <c r="AS278" i="2"/>
  <c r="Y248" i="2"/>
  <c r="AL248" i="2" s="1"/>
  <c r="AU248" i="2" s="1"/>
  <c r="Z248" i="2"/>
  <c r="AM248" i="2" s="1"/>
  <c r="AV248" i="2" s="1"/>
  <c r="J219" i="2"/>
  <c r="I220" i="2"/>
  <c r="G193" i="2"/>
  <c r="H193" i="2" s="1"/>
  <c r="F193" i="2"/>
  <c r="E196" i="2"/>
  <c r="Y173" i="2"/>
  <c r="AL173" i="2" s="1"/>
  <c r="AK162" i="2"/>
  <c r="AU98" i="2"/>
  <c r="A308" i="2"/>
  <c r="H264" i="2"/>
  <c r="G238" i="2"/>
  <c r="H238" i="2" s="1"/>
  <c r="F210" i="2"/>
  <c r="C205" i="2"/>
  <c r="X173" i="2"/>
  <c r="Z173" i="2" s="1"/>
  <c r="AM173" i="2" s="1"/>
  <c r="I146" i="2"/>
  <c r="J145" i="2"/>
  <c r="AP129" i="2"/>
  <c r="AK295" i="2"/>
  <c r="A278" i="2"/>
  <c r="B278" i="2"/>
  <c r="U251" i="2"/>
  <c r="V251" i="2" s="1"/>
  <c r="G241" i="2"/>
  <c r="F241" i="2"/>
  <c r="G221" i="2"/>
  <c r="H221" i="2" s="1"/>
  <c r="E224" i="2"/>
  <c r="G210" i="2"/>
  <c r="H210" i="2" s="1"/>
  <c r="AK161" i="2"/>
  <c r="G67" i="2"/>
  <c r="H67" i="2" s="1"/>
  <c r="AG53" i="2"/>
  <c r="G42" i="2"/>
  <c r="H42" i="2" s="1"/>
  <c r="F42" i="2"/>
  <c r="E51" i="2"/>
  <c r="AK263" i="2"/>
  <c r="F233" i="2"/>
  <c r="G233" i="2"/>
  <c r="J233" i="2"/>
  <c r="E236" i="2"/>
  <c r="E216" i="2"/>
  <c r="G213" i="2"/>
  <c r="H213" i="2" s="1"/>
  <c r="T158" i="2"/>
  <c r="AP158" i="2"/>
  <c r="AS158" i="2"/>
  <c r="P144" i="2"/>
  <c r="AP144" i="2"/>
  <c r="J89" i="2"/>
  <c r="I90" i="2"/>
  <c r="P53" i="2"/>
  <c r="T53" i="2"/>
  <c r="U53" i="2" s="1"/>
  <c r="AP53" i="2"/>
  <c r="AS53" i="2"/>
  <c r="C234" i="2"/>
  <c r="G198" i="2"/>
  <c r="F198" i="2"/>
  <c r="E201" i="2"/>
  <c r="AJ176" i="2"/>
  <c r="Z176" i="2"/>
  <c r="AF111" i="2"/>
  <c r="C384" i="2"/>
  <c r="C354" i="2"/>
  <c r="C324" i="2"/>
  <c r="E261" i="2"/>
  <c r="G258" i="2"/>
  <c r="H258" i="2" s="1"/>
  <c r="F251" i="2"/>
  <c r="G251" i="2"/>
  <c r="J250" i="2"/>
  <c r="R250" i="2" s="1"/>
  <c r="E244" i="2"/>
  <c r="E229" i="2"/>
  <c r="G211" i="2"/>
  <c r="H211" i="2" s="1"/>
  <c r="F211" i="2"/>
  <c r="AS173" i="2"/>
  <c r="B84" i="2"/>
  <c r="C85" i="2"/>
  <c r="J32" i="2"/>
  <c r="I33" i="2"/>
  <c r="I279" i="2"/>
  <c r="AP251" i="2"/>
  <c r="P251" i="2"/>
  <c r="R251" i="2"/>
  <c r="AM158" i="2"/>
  <c r="AV158" i="2" s="1"/>
  <c r="I134" i="2"/>
  <c r="J133" i="2"/>
  <c r="P133" i="2" s="1"/>
  <c r="G175" i="2"/>
  <c r="F175" i="2"/>
  <c r="G163" i="2"/>
  <c r="H163" i="2" s="1"/>
  <c r="H157" i="2"/>
  <c r="AK144" i="2"/>
  <c r="AG130" i="2"/>
  <c r="G117" i="2"/>
  <c r="H117" i="2" s="1"/>
  <c r="F70" i="2"/>
  <c r="H70" i="2" s="1"/>
  <c r="F56" i="2"/>
  <c r="G56" i="2"/>
  <c r="E59" i="2"/>
  <c r="E172" i="2"/>
  <c r="G169" i="2"/>
  <c r="F134" i="2"/>
  <c r="G134" i="2"/>
  <c r="E137" i="2"/>
  <c r="E123" i="2"/>
  <c r="G120" i="2"/>
  <c r="F120" i="2"/>
  <c r="J114" i="2"/>
  <c r="AP114" i="2" s="1"/>
  <c r="I115" i="2"/>
  <c r="E108" i="2"/>
  <c r="G105" i="2"/>
  <c r="H105" i="2" s="1"/>
  <c r="AM86" i="2"/>
  <c r="G176" i="2"/>
  <c r="H176" i="2" s="1"/>
  <c r="G162" i="2"/>
  <c r="H162" i="2" s="1"/>
  <c r="C159" i="2"/>
  <c r="J131" i="2"/>
  <c r="AK129" i="2"/>
  <c r="AG129" i="2" s="1"/>
  <c r="G101" i="2"/>
  <c r="H101" i="2" s="1"/>
  <c r="U98" i="2"/>
  <c r="AK84" i="2"/>
  <c r="F75" i="2"/>
  <c r="H75" i="2" s="1"/>
  <c r="G72" i="2"/>
  <c r="H72" i="2" s="1"/>
  <c r="G73" i="2"/>
  <c r="H73" i="2" s="1"/>
  <c r="E76" i="2"/>
  <c r="G218" i="2"/>
  <c r="H218" i="2" s="1"/>
  <c r="E179" i="2"/>
  <c r="F166" i="2"/>
  <c r="F105" i="2"/>
  <c r="AM95" i="2"/>
  <c r="G78" i="2"/>
  <c r="H78" i="2" s="1"/>
  <c r="F78" i="2"/>
  <c r="E81" i="2"/>
  <c r="G81" i="2" s="1"/>
  <c r="H81" i="2" s="1"/>
  <c r="R45" i="2"/>
  <c r="L46" i="2"/>
  <c r="R46" i="2" s="1"/>
  <c r="AS203" i="2"/>
  <c r="AK175" i="2"/>
  <c r="C174" i="2"/>
  <c r="G166" i="2"/>
  <c r="F256" i="2"/>
  <c r="F223" i="2"/>
  <c r="H223" i="2" s="1"/>
  <c r="F169" i="2"/>
  <c r="F165" i="2"/>
  <c r="H165" i="2" s="1"/>
  <c r="G116" i="2"/>
  <c r="H116" i="2" s="1"/>
  <c r="E119" i="2"/>
  <c r="Z98" i="2"/>
  <c r="AM98" i="2" s="1"/>
  <c r="AV98" i="2" s="1"/>
  <c r="AF83" i="2"/>
  <c r="AK83" i="2" s="1"/>
  <c r="AG83" i="2" s="1"/>
  <c r="H40" i="2"/>
  <c r="E45" i="2"/>
  <c r="G39" i="2"/>
  <c r="H39" i="2" s="1"/>
  <c r="F39" i="2"/>
  <c r="E48" i="2"/>
  <c r="C264" i="2"/>
  <c r="E178" i="2"/>
  <c r="AK174" i="2"/>
  <c r="J159" i="2"/>
  <c r="T159" i="2" s="1"/>
  <c r="H151" i="2"/>
  <c r="H128" i="2"/>
  <c r="B114" i="2"/>
  <c r="AT98" i="2"/>
  <c r="AK113" i="2"/>
  <c r="E104" i="2"/>
  <c r="E66" i="2"/>
  <c r="F63" i="2"/>
  <c r="H63" i="2" s="1"/>
  <c r="F35" i="2"/>
  <c r="G35" i="2"/>
  <c r="E38" i="2"/>
  <c r="G161" i="2"/>
  <c r="H161" i="2" s="1"/>
  <c r="AK100" i="2"/>
  <c r="AG100" i="2" s="1"/>
  <c r="F86" i="2"/>
  <c r="H86" i="2" s="1"/>
  <c r="G55" i="2"/>
  <c r="H55" i="2" s="1"/>
  <c r="G164" i="2"/>
  <c r="H164" i="2" s="1"/>
  <c r="B83" i="2"/>
  <c r="F83" i="2"/>
  <c r="H83" i="2" s="1"/>
  <c r="J71" i="2"/>
  <c r="AK71" i="2" s="1"/>
  <c r="AG71" i="2" s="1"/>
  <c r="F61" i="2"/>
  <c r="H61" i="2" s="1"/>
  <c r="G58" i="2"/>
  <c r="F58" i="2"/>
  <c r="C54" i="2"/>
  <c r="F40" i="2"/>
  <c r="J72" i="2"/>
  <c r="H5" i="474"/>
  <c r="E5" i="474"/>
  <c r="K5" i="474"/>
  <c r="J5" i="474"/>
  <c r="I5" i="474"/>
  <c r="U39" i="346"/>
  <c r="C39" i="346"/>
  <c r="G39" i="346"/>
  <c r="N39" i="346"/>
  <c r="F39" i="346"/>
  <c r="H39" i="346"/>
  <c r="G64" i="2"/>
  <c r="F64" i="2"/>
  <c r="E49" i="2"/>
  <c r="E43" i="2"/>
  <c r="E46" i="2"/>
  <c r="C33" i="2"/>
  <c r="F113" i="2"/>
  <c r="G113" i="2"/>
  <c r="H113" i="2" s="1"/>
  <c r="G60" i="2"/>
  <c r="F60" i="2"/>
  <c r="I56" i="2"/>
  <c r="E85" i="2"/>
  <c r="D310" i="2"/>
  <c r="D281" i="2"/>
  <c r="D174" i="2"/>
  <c r="D264" i="2"/>
  <c r="D144" i="2"/>
  <c r="D189" i="2"/>
  <c r="D116" i="2"/>
  <c r="D339" i="2"/>
  <c r="D69" i="2"/>
  <c r="D129" i="2"/>
  <c r="D159" i="2"/>
  <c r="G11" i="2"/>
  <c r="E6" i="739" a="1"/>
  <c r="D54" i="2"/>
  <c r="D234" i="2"/>
  <c r="D85" i="2"/>
  <c r="D219" i="2"/>
  <c r="D294" i="2"/>
  <c r="D250" i="2"/>
  <c r="D384" i="2"/>
  <c r="D205" i="2"/>
  <c r="D400" i="2"/>
  <c r="D33" i="2"/>
  <c r="D99" i="2"/>
  <c r="D371" i="2"/>
  <c r="D5" i="900" a="1"/>
  <c r="D6" i="739" a="1"/>
  <c r="D354" i="2"/>
  <c r="D324" i="2"/>
  <c r="D6" i="739" l="1"/>
  <c r="D5" i="900"/>
  <c r="E6" i="739"/>
  <c r="J70" i="2"/>
  <c r="J55" i="2"/>
  <c r="J160" i="2"/>
  <c r="J163" i="2"/>
  <c r="AK163" i="2" s="1"/>
  <c r="J73" i="2"/>
  <c r="P253" i="2"/>
  <c r="AP253" i="2"/>
  <c r="AS253" i="2"/>
  <c r="AT251" i="2" s="1"/>
  <c r="V338" i="2"/>
  <c r="X338" i="2" s="1"/>
  <c r="Z338" i="2" s="1"/>
  <c r="F109" i="2"/>
  <c r="E112" i="2"/>
  <c r="G109" i="2"/>
  <c r="H109" i="2" s="1"/>
  <c r="J279" i="2"/>
  <c r="I280" i="2"/>
  <c r="C325" i="2"/>
  <c r="A324" i="2"/>
  <c r="B324" i="2"/>
  <c r="T265" i="2"/>
  <c r="P265" i="2"/>
  <c r="AP265" i="2"/>
  <c r="AS265" i="2"/>
  <c r="T84" i="2"/>
  <c r="P84" i="2"/>
  <c r="AP84" i="2"/>
  <c r="AS84" i="2"/>
  <c r="G108" i="2"/>
  <c r="H108" i="2" s="1"/>
  <c r="F108" i="2"/>
  <c r="E111" i="2"/>
  <c r="I34" i="2"/>
  <c r="J33" i="2"/>
  <c r="C355" i="2"/>
  <c r="A354" i="2"/>
  <c r="B354" i="2"/>
  <c r="J90" i="2"/>
  <c r="I91" i="2"/>
  <c r="G51" i="2"/>
  <c r="H51" i="2" s="1"/>
  <c r="F51" i="2"/>
  <c r="R373" i="2"/>
  <c r="AK373" i="2"/>
  <c r="F201" i="2"/>
  <c r="G201" i="2"/>
  <c r="G49" i="2"/>
  <c r="F49" i="2"/>
  <c r="X250" i="2"/>
  <c r="Y250" i="2"/>
  <c r="AL250" i="2" s="1"/>
  <c r="AJ250" i="2"/>
  <c r="Z250" i="2"/>
  <c r="AM250" i="2" s="1"/>
  <c r="AV250" i="2" s="1"/>
  <c r="U250" i="2"/>
  <c r="R54" i="2"/>
  <c r="AK54" i="2"/>
  <c r="AP54" i="2"/>
  <c r="AQ53" i="2" s="1"/>
  <c r="AS324" i="2"/>
  <c r="AT323" i="2" s="1"/>
  <c r="AP324" i="2"/>
  <c r="AQ323" i="2" s="1"/>
  <c r="T324" i="2"/>
  <c r="U324" i="2" s="1"/>
  <c r="P324" i="2"/>
  <c r="I116" i="2"/>
  <c r="J115" i="2"/>
  <c r="AK32" i="2"/>
  <c r="AS32" i="2"/>
  <c r="P32" i="2"/>
  <c r="T32" i="2"/>
  <c r="AP32" i="2"/>
  <c r="J296" i="2"/>
  <c r="I297" i="2"/>
  <c r="Y383" i="2"/>
  <c r="AL383" i="2" s="1"/>
  <c r="AU383" i="2" s="1"/>
  <c r="C372" i="2"/>
  <c r="B371" i="2"/>
  <c r="A371" i="2"/>
  <c r="AQ293" i="2"/>
  <c r="AU293" i="2"/>
  <c r="AU278" i="2"/>
  <c r="T70" i="2"/>
  <c r="P70" i="2"/>
  <c r="AP70" i="2"/>
  <c r="AS70" i="2"/>
  <c r="H106" i="2"/>
  <c r="AP83" i="2"/>
  <c r="AS83" i="2"/>
  <c r="T83" i="2"/>
  <c r="R114" i="2"/>
  <c r="AS114" i="2"/>
  <c r="AK114" i="2"/>
  <c r="T114" i="2"/>
  <c r="I193" i="2"/>
  <c r="J192" i="2"/>
  <c r="G104" i="2"/>
  <c r="H104" i="2" s="1"/>
  <c r="F104" i="2"/>
  <c r="E107" i="2"/>
  <c r="AU368" i="2"/>
  <c r="AP73" i="2"/>
  <c r="AS73" i="2"/>
  <c r="T73" i="2"/>
  <c r="P73" i="2"/>
  <c r="X144" i="2"/>
  <c r="Y144" i="2"/>
  <c r="AL144" i="2" s="1"/>
  <c r="AU144" i="2" s="1"/>
  <c r="Z144" i="2"/>
  <c r="AJ144" i="2"/>
  <c r="U144" i="2"/>
  <c r="P114" i="2"/>
  <c r="H342" i="2"/>
  <c r="AG383" i="2"/>
  <c r="A99" i="2"/>
  <c r="C100" i="2"/>
  <c r="B99" i="2"/>
  <c r="X133" i="2"/>
  <c r="Z133" i="2"/>
  <c r="AJ133" i="2"/>
  <c r="H387" i="2"/>
  <c r="A33" i="2"/>
  <c r="B33" i="2"/>
  <c r="C34" i="2"/>
  <c r="T72" i="2"/>
  <c r="AP72" i="2"/>
  <c r="P72" i="2"/>
  <c r="AS72" i="2"/>
  <c r="F335" i="2"/>
  <c r="G335" i="2"/>
  <c r="H335" i="2" s="1"/>
  <c r="J205" i="2"/>
  <c r="I206" i="2"/>
  <c r="AG294" i="2"/>
  <c r="C401" i="2"/>
  <c r="A400" i="2"/>
  <c r="B400" i="2"/>
  <c r="AS54" i="2"/>
  <c r="AT53" i="2" s="1"/>
  <c r="P54" i="2"/>
  <c r="U54" i="2" s="1"/>
  <c r="V53" i="2" s="1"/>
  <c r="H372" i="2"/>
  <c r="H225" i="2"/>
  <c r="G123" i="2"/>
  <c r="H123" i="2" s="1"/>
  <c r="E126" i="2"/>
  <c r="C206" i="2"/>
  <c r="A205" i="2"/>
  <c r="B205" i="2"/>
  <c r="E142" i="2"/>
  <c r="G139" i="2"/>
  <c r="F139" i="2"/>
  <c r="R401" i="2"/>
  <c r="AK401" i="2"/>
  <c r="AP101" i="2"/>
  <c r="P101" i="2"/>
  <c r="T101" i="2"/>
  <c r="AS101" i="2"/>
  <c r="F266" i="2"/>
  <c r="G266" i="2"/>
  <c r="H266" i="2" s="1"/>
  <c r="E269" i="2"/>
  <c r="T55" i="2"/>
  <c r="U55" i="2" s="1"/>
  <c r="P55" i="2"/>
  <c r="AP55" i="2"/>
  <c r="AS55" i="2"/>
  <c r="AM176" i="2"/>
  <c r="H268" i="2"/>
  <c r="H346" i="2"/>
  <c r="X251" i="2"/>
  <c r="Z251" i="2" s="1"/>
  <c r="AM251" i="2" s="1"/>
  <c r="AV251" i="2" s="1"/>
  <c r="Y251" i="2"/>
  <c r="AL251" i="2" s="1"/>
  <c r="AU251" i="2" s="1"/>
  <c r="AJ251" i="2"/>
  <c r="R89" i="2"/>
  <c r="AK89" i="2"/>
  <c r="AG89" i="2" s="1"/>
  <c r="G301" i="2"/>
  <c r="F301" i="2"/>
  <c r="E304" i="2"/>
  <c r="H136" i="2"/>
  <c r="F262" i="2"/>
  <c r="G262" i="2"/>
  <c r="T191" i="2"/>
  <c r="AP191" i="2"/>
  <c r="AS191" i="2"/>
  <c r="AP354" i="2"/>
  <c r="P354" i="2"/>
  <c r="T354" i="2"/>
  <c r="U354" i="2" s="1"/>
  <c r="AS354" i="2"/>
  <c r="X190" i="2"/>
  <c r="Y190" i="2"/>
  <c r="AL190" i="2" s="1"/>
  <c r="AU190" i="2" s="1"/>
  <c r="Z190" i="2"/>
  <c r="AJ190" i="2"/>
  <c r="P311" i="2"/>
  <c r="T311" i="2"/>
  <c r="U311" i="2" s="1"/>
  <c r="AP311" i="2"/>
  <c r="AS311" i="2"/>
  <c r="Y370" i="2"/>
  <c r="AL370" i="2" s="1"/>
  <c r="AU370" i="2" s="1"/>
  <c r="AJ370" i="2"/>
  <c r="X370" i="2"/>
  <c r="Z370" i="2" s="1"/>
  <c r="AM370" i="2" s="1"/>
  <c r="AV370" i="2" s="1"/>
  <c r="AG370" i="2"/>
  <c r="AH368" i="2" s="1"/>
  <c r="AJ368" i="2" s="1"/>
  <c r="F260" i="2"/>
  <c r="G260" i="2"/>
  <c r="H260" i="2" s="1"/>
  <c r="AL398" i="2"/>
  <c r="AU398" i="2" s="1"/>
  <c r="G66" i="2"/>
  <c r="F66" i="2"/>
  <c r="AG84" i="2"/>
  <c r="H120" i="2"/>
  <c r="F261" i="2"/>
  <c r="G261" i="2"/>
  <c r="AT398" i="2"/>
  <c r="U383" i="2"/>
  <c r="AG190" i="2"/>
  <c r="U190" i="2"/>
  <c r="H353" i="2"/>
  <c r="E352" i="2"/>
  <c r="F349" i="2"/>
  <c r="G349" i="2"/>
  <c r="H349" i="2" s="1"/>
  <c r="R69" i="2"/>
  <c r="T69" i="2"/>
  <c r="P69" i="2"/>
  <c r="AP69" i="2"/>
  <c r="AS69" i="2"/>
  <c r="AK69" i="2"/>
  <c r="AG69" i="2" s="1"/>
  <c r="E88" i="2"/>
  <c r="G85" i="2"/>
  <c r="F85" i="2"/>
  <c r="A384" i="2"/>
  <c r="B384" i="2"/>
  <c r="C385" i="2"/>
  <c r="H388" i="2"/>
  <c r="Y399" i="2"/>
  <c r="AL399" i="2" s="1"/>
  <c r="AU399" i="2" s="1"/>
  <c r="AJ399" i="2"/>
  <c r="AG399" i="2"/>
  <c r="AH398" i="2" s="1"/>
  <c r="AJ398" i="2" s="1"/>
  <c r="X399" i="2"/>
  <c r="Z399" i="2" s="1"/>
  <c r="AM399" i="2" s="1"/>
  <c r="AV399" i="2" s="1"/>
  <c r="E406" i="2"/>
  <c r="G403" i="2"/>
  <c r="H403" i="2" s="1"/>
  <c r="F403" i="2"/>
  <c r="R72" i="2"/>
  <c r="AK72" i="2"/>
  <c r="AG72" i="2" s="1"/>
  <c r="H175" i="2"/>
  <c r="U99" i="2"/>
  <c r="V98" i="2" s="1"/>
  <c r="AT188" i="2"/>
  <c r="I165" i="2"/>
  <c r="J164" i="2"/>
  <c r="AK164" i="2" s="1"/>
  <c r="I357" i="2"/>
  <c r="J356" i="2"/>
  <c r="B250" i="2"/>
  <c r="C251" i="2"/>
  <c r="A250" i="2"/>
  <c r="AV203" i="2"/>
  <c r="A294" i="2"/>
  <c r="C295" i="2"/>
  <c r="B294" i="2"/>
  <c r="AL252" i="2"/>
  <c r="AU252" i="2" s="1"/>
  <c r="U369" i="2"/>
  <c r="V368" i="2" s="1"/>
  <c r="X368" i="2" s="1"/>
  <c r="Z368" i="2" s="1"/>
  <c r="G394" i="2"/>
  <c r="E397" i="2"/>
  <c r="F394" i="2"/>
  <c r="T294" i="2"/>
  <c r="U294" i="2" s="1"/>
  <c r="P294" i="2"/>
  <c r="AP294" i="2"/>
  <c r="AS294" i="2"/>
  <c r="AT293" i="2" s="1"/>
  <c r="AP113" i="2"/>
  <c r="AS113" i="2"/>
  <c r="P113" i="2"/>
  <c r="T113" i="2"/>
  <c r="U113" i="2" s="1"/>
  <c r="B219" i="2"/>
  <c r="A219" i="2"/>
  <c r="C220" i="2"/>
  <c r="T89" i="2"/>
  <c r="AP89" i="2"/>
  <c r="AS89" i="2"/>
  <c r="T325" i="2"/>
  <c r="P325" i="2"/>
  <c r="AP325" i="2"/>
  <c r="AS325" i="2"/>
  <c r="H382" i="2"/>
  <c r="C86" i="2"/>
  <c r="A85" i="2"/>
  <c r="B85" i="2"/>
  <c r="X99" i="2"/>
  <c r="Z99" i="2"/>
  <c r="AJ99" i="2"/>
  <c r="Y99" i="2"/>
  <c r="AL99" i="2" s="1"/>
  <c r="AU99" i="2" s="1"/>
  <c r="X188" i="2"/>
  <c r="Y188" i="2"/>
  <c r="AL188" i="2" s="1"/>
  <c r="AU188" i="2" s="1"/>
  <c r="AJ188" i="2"/>
  <c r="Z188" i="2"/>
  <c r="AM188" i="2" s="1"/>
  <c r="AV188" i="2" s="1"/>
  <c r="AG188" i="2"/>
  <c r="AH188" i="2" s="1"/>
  <c r="I76" i="2"/>
  <c r="J75" i="2"/>
  <c r="T75" i="2" s="1"/>
  <c r="H390" i="2"/>
  <c r="E215" i="2"/>
  <c r="F212" i="2"/>
  <c r="G212" i="2"/>
  <c r="H212" i="2" s="1"/>
  <c r="X369" i="2"/>
  <c r="Y369" i="2"/>
  <c r="AL369" i="2" s="1"/>
  <c r="AU369" i="2" s="1"/>
  <c r="Z369" i="2"/>
  <c r="AM369" i="2" s="1"/>
  <c r="AV369" i="2" s="1"/>
  <c r="AJ369" i="2"/>
  <c r="J56" i="2"/>
  <c r="AK56" i="2" s="1"/>
  <c r="I57" i="2"/>
  <c r="P161" i="2"/>
  <c r="AS161" i="2"/>
  <c r="T161" i="2"/>
  <c r="U161" i="2" s="1"/>
  <c r="AP161" i="2"/>
  <c r="F48" i="2"/>
  <c r="G48" i="2"/>
  <c r="H48" i="2" s="1"/>
  <c r="F59" i="2"/>
  <c r="G59" i="2"/>
  <c r="E62" i="2"/>
  <c r="R133" i="2"/>
  <c r="AK133" i="2"/>
  <c r="AG133" i="2" s="1"/>
  <c r="AP133" i="2"/>
  <c r="AS133" i="2"/>
  <c r="T133" i="2"/>
  <c r="U133" i="2" s="1"/>
  <c r="C235" i="2"/>
  <c r="A234" i="2"/>
  <c r="B234" i="2"/>
  <c r="E227" i="2"/>
  <c r="F224" i="2"/>
  <c r="G224" i="2"/>
  <c r="H224" i="2" s="1"/>
  <c r="I221" i="2"/>
  <c r="J220" i="2"/>
  <c r="AU203" i="2"/>
  <c r="F146" i="2"/>
  <c r="G146" i="2"/>
  <c r="H146" i="2" s="1"/>
  <c r="E149" i="2"/>
  <c r="F351" i="2"/>
  <c r="G351" i="2"/>
  <c r="H351" i="2" s="1"/>
  <c r="R324" i="2"/>
  <c r="AK324" i="2"/>
  <c r="AG324" i="2" s="1"/>
  <c r="AK355" i="2"/>
  <c r="AG355" i="2" s="1"/>
  <c r="AS374" i="2"/>
  <c r="P374" i="2"/>
  <c r="AP374" i="2"/>
  <c r="E364" i="2"/>
  <c r="G361" i="2"/>
  <c r="H361" i="2" s="1"/>
  <c r="F361" i="2"/>
  <c r="AP355" i="2"/>
  <c r="R384" i="2"/>
  <c r="AK384" i="2"/>
  <c r="I312" i="2"/>
  <c r="J311" i="2"/>
  <c r="R234" i="2"/>
  <c r="AS234" i="2"/>
  <c r="T234" i="2"/>
  <c r="P234" i="2"/>
  <c r="AK234" i="2"/>
  <c r="AG234" i="2" s="1"/>
  <c r="AP234" i="2"/>
  <c r="J85" i="2"/>
  <c r="U158" i="2"/>
  <c r="Y158" i="2"/>
  <c r="AL158" i="2" s="1"/>
  <c r="AU158" i="2" s="1"/>
  <c r="F356" i="2"/>
  <c r="G356" i="2"/>
  <c r="H356" i="2" s="1"/>
  <c r="E359" i="2"/>
  <c r="AS86" i="2"/>
  <c r="AP86" i="2"/>
  <c r="T86" i="2"/>
  <c r="H198" i="2"/>
  <c r="A54" i="2"/>
  <c r="B54" i="2"/>
  <c r="C55" i="2"/>
  <c r="H56" i="2"/>
  <c r="J134" i="2"/>
  <c r="I135" i="2"/>
  <c r="R145" i="2"/>
  <c r="P145" i="2"/>
  <c r="AG145" i="2" s="1"/>
  <c r="AP145" i="2"/>
  <c r="AS145" i="2"/>
  <c r="T145" i="2"/>
  <c r="R219" i="2"/>
  <c r="AS219" i="2"/>
  <c r="P219" i="2"/>
  <c r="AP219" i="2"/>
  <c r="AK219" i="2"/>
  <c r="AG219" i="2" s="1"/>
  <c r="I179" i="2"/>
  <c r="J178" i="2"/>
  <c r="AG250" i="2"/>
  <c r="H143" i="2"/>
  <c r="E366" i="2"/>
  <c r="F363" i="2"/>
  <c r="G363" i="2"/>
  <c r="H363" i="2" s="1"/>
  <c r="E127" i="2"/>
  <c r="F124" i="2"/>
  <c r="G124" i="2"/>
  <c r="P355" i="2"/>
  <c r="G270" i="2"/>
  <c r="E273" i="2"/>
  <c r="F270" i="2"/>
  <c r="J385" i="2"/>
  <c r="I386" i="2"/>
  <c r="AK310" i="2"/>
  <c r="R310" i="2"/>
  <c r="AP310" i="2"/>
  <c r="AQ308" i="2" s="1"/>
  <c r="P310" i="2"/>
  <c r="AS310" i="2"/>
  <c r="AT308" i="2" s="1"/>
  <c r="T310" i="2"/>
  <c r="J235" i="2"/>
  <c r="I236" i="2"/>
  <c r="H408" i="2"/>
  <c r="G300" i="2"/>
  <c r="F300" i="2"/>
  <c r="E303" i="2"/>
  <c r="P131" i="2"/>
  <c r="AK131" i="2"/>
  <c r="AG131" i="2" s="1"/>
  <c r="R131" i="2"/>
  <c r="AS131" i="2"/>
  <c r="T131" i="2"/>
  <c r="U131" i="2" s="1"/>
  <c r="AP131" i="2"/>
  <c r="AQ131" i="2" s="1"/>
  <c r="AM252" i="2"/>
  <c r="AV252" i="2" s="1"/>
  <c r="G46" i="2"/>
  <c r="H46" i="2" s="1"/>
  <c r="F46" i="2"/>
  <c r="J46" i="2"/>
  <c r="J146" i="2"/>
  <c r="I147" i="2"/>
  <c r="R177" i="2"/>
  <c r="AK177" i="2"/>
  <c r="AG177" i="2" s="1"/>
  <c r="AG251" i="2"/>
  <c r="AH251" i="2" s="1"/>
  <c r="E153" i="2"/>
  <c r="G150" i="2"/>
  <c r="F150" i="2"/>
  <c r="F299" i="2"/>
  <c r="E302" i="2"/>
  <c r="G299" i="2"/>
  <c r="H299" i="2" s="1"/>
  <c r="T355" i="2"/>
  <c r="U355" i="2" s="1"/>
  <c r="X174" i="2"/>
  <c r="Y174" i="2"/>
  <c r="AL174" i="2" s="1"/>
  <c r="AU174" i="2" s="1"/>
  <c r="Z174" i="2"/>
  <c r="AJ174" i="2"/>
  <c r="X400" i="2"/>
  <c r="Z400" i="2" s="1"/>
  <c r="AM400" i="2" s="1"/>
  <c r="AV400" i="2" s="1"/>
  <c r="AJ400" i="2"/>
  <c r="Y400" i="2"/>
  <c r="AL400" i="2" s="1"/>
  <c r="AU400" i="2" s="1"/>
  <c r="AP384" i="2"/>
  <c r="T384" i="2"/>
  <c r="P384" i="2"/>
  <c r="AS384" i="2"/>
  <c r="AK191" i="2"/>
  <c r="AG191" i="2" s="1"/>
  <c r="H317" i="2"/>
  <c r="V188" i="2"/>
  <c r="H60" i="2"/>
  <c r="G43" i="2"/>
  <c r="F43" i="2"/>
  <c r="E52" i="2"/>
  <c r="H58" i="2"/>
  <c r="G45" i="2"/>
  <c r="F45" i="2"/>
  <c r="J45" i="2"/>
  <c r="AK45" i="2" s="1"/>
  <c r="H233" i="2"/>
  <c r="H241" i="2"/>
  <c r="AV173" i="2"/>
  <c r="U68" i="2"/>
  <c r="Y68" i="2"/>
  <c r="T219" i="2"/>
  <c r="U219" i="2" s="1"/>
  <c r="H292" i="2"/>
  <c r="X339" i="2"/>
  <c r="Y339" i="2"/>
  <c r="AL339" i="2" s="1"/>
  <c r="AU339" i="2" s="1"/>
  <c r="Z339" i="2"/>
  <c r="AJ339" i="2"/>
  <c r="AG339" i="2"/>
  <c r="I342" i="2"/>
  <c r="J341" i="2"/>
  <c r="P341" i="2" s="1"/>
  <c r="U174" i="2"/>
  <c r="F320" i="2"/>
  <c r="G320" i="2"/>
  <c r="E44" i="2"/>
  <c r="E41" i="2"/>
  <c r="F38" i="2"/>
  <c r="G38" i="2"/>
  <c r="H38" i="2" s="1"/>
  <c r="E47" i="2"/>
  <c r="P128" i="2"/>
  <c r="T128" i="2"/>
  <c r="U128" i="2" s="1"/>
  <c r="V128" i="2" s="1"/>
  <c r="AP128" i="2"/>
  <c r="AQ128" i="2" s="1"/>
  <c r="AS128" i="2"/>
  <c r="AT128" i="2" s="1"/>
  <c r="E122" i="2"/>
  <c r="F119" i="2"/>
  <c r="G119" i="2"/>
  <c r="C160" i="2"/>
  <c r="A159" i="2"/>
  <c r="B159" i="2"/>
  <c r="E140" i="2"/>
  <c r="F137" i="2"/>
  <c r="G137" i="2"/>
  <c r="H137" i="2" s="1"/>
  <c r="E378" i="2"/>
  <c r="G375" i="2"/>
  <c r="F375" i="2"/>
  <c r="R295" i="2"/>
  <c r="P295" i="2"/>
  <c r="U295" i="2" s="1"/>
  <c r="F92" i="2"/>
  <c r="G92" i="2"/>
  <c r="E95" i="2"/>
  <c r="I327" i="2"/>
  <c r="J326" i="2"/>
  <c r="H332" i="2"/>
  <c r="C130" i="2"/>
  <c r="A129" i="2"/>
  <c r="B129" i="2"/>
  <c r="F71" i="2"/>
  <c r="G71" i="2"/>
  <c r="H71" i="2" s="1"/>
  <c r="E74" i="2"/>
  <c r="H209" i="2"/>
  <c r="G228" i="2"/>
  <c r="H228" i="2" s="1"/>
  <c r="F228" i="2"/>
  <c r="E231" i="2"/>
  <c r="G231" i="2" s="1"/>
  <c r="H231" i="2" s="1"/>
  <c r="I403" i="2"/>
  <c r="J402" i="2"/>
  <c r="AK340" i="2"/>
  <c r="AG340" i="2" s="1"/>
  <c r="R340" i="2"/>
  <c r="AS295" i="2"/>
  <c r="G285" i="2"/>
  <c r="E288" i="2"/>
  <c r="F285" i="2"/>
  <c r="H331" i="2"/>
  <c r="H240" i="2"/>
  <c r="Y323" i="2"/>
  <c r="AL323" i="2" s="1"/>
  <c r="AU323" i="2" s="1"/>
  <c r="AG323" i="2"/>
  <c r="H64" i="2"/>
  <c r="H35" i="2"/>
  <c r="H134" i="2"/>
  <c r="AK266" i="2"/>
  <c r="R266" i="2"/>
  <c r="Y309" i="2"/>
  <c r="AL309" i="2" s="1"/>
  <c r="AU309" i="2" s="1"/>
  <c r="X309" i="2"/>
  <c r="Z309" i="2"/>
  <c r="AJ309" i="2"/>
  <c r="P296" i="2"/>
  <c r="T296" i="2"/>
  <c r="U296" i="2" s="1"/>
  <c r="AP296" i="2"/>
  <c r="AS296" i="2"/>
  <c r="J102" i="2"/>
  <c r="I103" i="2"/>
  <c r="U371" i="2"/>
  <c r="C70" i="2"/>
  <c r="A69" i="2"/>
  <c r="B69" i="2"/>
  <c r="A339" i="2"/>
  <c r="B339" i="2"/>
  <c r="C340" i="2"/>
  <c r="AG371" i="2"/>
  <c r="H282" i="2"/>
  <c r="G334" i="2"/>
  <c r="H334" i="2" s="1"/>
  <c r="F334" i="2"/>
  <c r="E337" i="2"/>
  <c r="F350" i="2"/>
  <c r="G350" i="2"/>
  <c r="G243" i="2"/>
  <c r="F243" i="2"/>
  <c r="E246" i="2"/>
  <c r="AS264" i="2"/>
  <c r="AP264" i="2"/>
  <c r="T264" i="2"/>
  <c r="U264" i="2" s="1"/>
  <c r="P264" i="2"/>
  <c r="J267" i="2"/>
  <c r="AP267" i="2" s="1"/>
  <c r="I268" i="2"/>
  <c r="V398" i="2"/>
  <c r="X398" i="2" s="1"/>
  <c r="Z398" i="2" s="1"/>
  <c r="AS159" i="2"/>
  <c r="AG325" i="2"/>
  <c r="Y371" i="2"/>
  <c r="AL371" i="2" s="1"/>
  <c r="AU371" i="2" s="1"/>
  <c r="Z204" i="2"/>
  <c r="AM204" i="2" s="1"/>
  <c r="AV204" i="2" s="1"/>
  <c r="X204" i="2"/>
  <c r="Y204" i="2"/>
  <c r="AL204" i="2" s="1"/>
  <c r="AU204" i="2" s="1"/>
  <c r="AJ204" i="2"/>
  <c r="AG101" i="2"/>
  <c r="AL189" i="2"/>
  <c r="AU189" i="2" s="1"/>
  <c r="F171" i="2"/>
  <c r="G171" i="2"/>
  <c r="H171" i="2" s="1"/>
  <c r="T162" i="2"/>
  <c r="P162" i="2"/>
  <c r="AS162" i="2"/>
  <c r="AP162" i="2"/>
  <c r="E232" i="2"/>
  <c r="G229" i="2"/>
  <c r="H229" i="2" s="1"/>
  <c r="F229" i="2"/>
  <c r="X100" i="2"/>
  <c r="Y100" i="2"/>
  <c r="AL100" i="2" s="1"/>
  <c r="AU100" i="2" s="1"/>
  <c r="Z100" i="2"/>
  <c r="AJ100" i="2"/>
  <c r="AH338" i="2"/>
  <c r="AJ338" i="2" s="1"/>
  <c r="AP159" i="2"/>
  <c r="X130" i="2"/>
  <c r="Z130" i="2" s="1"/>
  <c r="AM130" i="2" s="1"/>
  <c r="AV130" i="2" s="1"/>
  <c r="Y130" i="2"/>
  <c r="AL130" i="2" s="1"/>
  <c r="AU130" i="2" s="1"/>
  <c r="AJ130" i="2"/>
  <c r="E90" i="2"/>
  <c r="J87" i="2"/>
  <c r="G87" i="2"/>
  <c r="H87" i="2" s="1"/>
  <c r="F87" i="2"/>
  <c r="C117" i="2"/>
  <c r="A116" i="2"/>
  <c r="B116" i="2"/>
  <c r="H214" i="2"/>
  <c r="F389" i="2"/>
  <c r="G389" i="2"/>
  <c r="H389" i="2" s="1"/>
  <c r="E392" i="2"/>
  <c r="Y308" i="2"/>
  <c r="AL308" i="2" s="1"/>
  <c r="AU308" i="2" s="1"/>
  <c r="F316" i="2"/>
  <c r="E319" i="2"/>
  <c r="G316" i="2"/>
  <c r="H316" i="2" s="1"/>
  <c r="G396" i="2"/>
  <c r="F396" i="2"/>
  <c r="AG174" i="2"/>
  <c r="AP176" i="2"/>
  <c r="AS176" i="2"/>
  <c r="T176" i="2"/>
  <c r="AG144" i="2"/>
  <c r="E247" i="2"/>
  <c r="G244" i="2"/>
  <c r="F244" i="2"/>
  <c r="G216" i="2"/>
  <c r="H216" i="2" s="1"/>
  <c r="F216" i="2"/>
  <c r="AU173" i="2"/>
  <c r="E138" i="2"/>
  <c r="G135" i="2"/>
  <c r="H135" i="2" s="1"/>
  <c r="F135" i="2"/>
  <c r="T132" i="2"/>
  <c r="AP132" i="2"/>
  <c r="P132" i="2"/>
  <c r="AS132" i="2"/>
  <c r="AL129" i="2"/>
  <c r="AU129" i="2" s="1"/>
  <c r="P159" i="2"/>
  <c r="AG159" i="2" s="1"/>
  <c r="E183" i="2"/>
  <c r="G180" i="2"/>
  <c r="F180" i="2"/>
  <c r="AS250" i="2"/>
  <c r="U204" i="2"/>
  <c r="AS68" i="2"/>
  <c r="AT68" i="2" s="1"/>
  <c r="Y340" i="2"/>
  <c r="AL340" i="2" s="1"/>
  <c r="AU340" i="2" s="1"/>
  <c r="Z340" i="2"/>
  <c r="AJ340" i="2"/>
  <c r="X340" i="2"/>
  <c r="A189" i="2"/>
  <c r="B189" i="2"/>
  <c r="C190" i="2"/>
  <c r="J254" i="2"/>
  <c r="I255" i="2"/>
  <c r="B10" i="351"/>
  <c r="B17" i="351" s="1"/>
  <c r="B18" i="732"/>
  <c r="B10" i="411"/>
  <c r="B17" i="411" s="1"/>
  <c r="B10" i="414"/>
  <c r="B17" i="414" s="1"/>
  <c r="B10" i="516"/>
  <c r="B17" i="516" s="1"/>
  <c r="B10" i="517"/>
  <c r="B17" i="517" s="1"/>
  <c r="B18" i="786"/>
  <c r="B18" i="778"/>
  <c r="B18" i="840"/>
  <c r="B18" i="731"/>
  <c r="B18" i="730"/>
  <c r="B18" i="729"/>
  <c r="B18" i="715"/>
  <c r="AR39" i="346"/>
  <c r="B32" i="881"/>
  <c r="G178" i="2"/>
  <c r="F178" i="2"/>
  <c r="E181" i="2"/>
  <c r="H166" i="2"/>
  <c r="G179" i="2"/>
  <c r="H179" i="2" s="1"/>
  <c r="F179" i="2"/>
  <c r="E182" i="2"/>
  <c r="H169" i="2"/>
  <c r="X53" i="2"/>
  <c r="Y53" i="2"/>
  <c r="AL53" i="2" s="1"/>
  <c r="AU53" i="2" s="1"/>
  <c r="Z53" i="2"/>
  <c r="F236" i="2"/>
  <c r="G236" i="2"/>
  <c r="H236" i="2" s="1"/>
  <c r="E239" i="2"/>
  <c r="G196" i="2"/>
  <c r="H196" i="2" s="1"/>
  <c r="F196" i="2"/>
  <c r="E199" i="2"/>
  <c r="A144" i="2"/>
  <c r="B144" i="2"/>
  <c r="C145" i="2"/>
  <c r="T249" i="2"/>
  <c r="U249" i="2" s="1"/>
  <c r="P249" i="2"/>
  <c r="AP249" i="2"/>
  <c r="AQ248" i="2" s="1"/>
  <c r="AS249" i="2"/>
  <c r="AT248" i="2" s="1"/>
  <c r="E404" i="2"/>
  <c r="F401" i="2"/>
  <c r="G401" i="2"/>
  <c r="H401" i="2" s="1"/>
  <c r="T373" i="2"/>
  <c r="P373" i="2"/>
  <c r="AP373" i="2"/>
  <c r="AS373" i="2"/>
  <c r="AK68" i="2"/>
  <c r="AG68" i="2" s="1"/>
  <c r="AG99" i="2"/>
  <c r="AH98" i="2" s="1"/>
  <c r="H348" i="2"/>
  <c r="AS326" i="2"/>
  <c r="P326" i="2"/>
  <c r="AP326" i="2"/>
  <c r="T326" i="2"/>
  <c r="AP68" i="2"/>
  <c r="U340" i="2"/>
  <c r="F170" i="2"/>
  <c r="G170" i="2"/>
  <c r="H170" i="2" s="1"/>
  <c r="C265" i="2"/>
  <c r="A264" i="2"/>
  <c r="B264" i="2"/>
  <c r="A174" i="2"/>
  <c r="B174" i="2"/>
  <c r="C175" i="2"/>
  <c r="AP218" i="2"/>
  <c r="P218" i="2"/>
  <c r="AS218" i="2"/>
  <c r="T218" i="2"/>
  <c r="U218" i="2" s="1"/>
  <c r="G76" i="2"/>
  <c r="H76" i="2" s="1"/>
  <c r="E79" i="2"/>
  <c r="G172" i="2"/>
  <c r="F172" i="2"/>
  <c r="AS163" i="2"/>
  <c r="T163" i="2"/>
  <c r="P163" i="2"/>
  <c r="AP163" i="2"/>
  <c r="R233" i="2"/>
  <c r="AK233" i="2"/>
  <c r="E274" i="2"/>
  <c r="G271" i="2"/>
  <c r="H271" i="2" s="1"/>
  <c r="F271" i="2"/>
  <c r="T177" i="2"/>
  <c r="AP177" i="2"/>
  <c r="AS177" i="2"/>
  <c r="P177" i="2"/>
  <c r="H263" i="2"/>
  <c r="F194" i="2"/>
  <c r="G194" i="2"/>
  <c r="H194" i="2" s="1"/>
  <c r="E197" i="2"/>
  <c r="C282" i="2"/>
  <c r="A281" i="2"/>
  <c r="B281" i="2"/>
  <c r="C311" i="2"/>
  <c r="B310" i="2"/>
  <c r="A310" i="2"/>
  <c r="I375" i="2"/>
  <c r="J374" i="2"/>
  <c r="H343" i="2"/>
  <c r="H167" i="2"/>
  <c r="G411" i="2"/>
  <c r="F411" i="2"/>
  <c r="D385" i="2"/>
  <c r="D86" i="2"/>
  <c r="D175" i="2"/>
  <c r="D190" i="2"/>
  <c r="D340" i="2"/>
  <c r="D265" i="2"/>
  <c r="D235" i="2"/>
  <c r="D372" i="2"/>
  <c r="D100" i="2"/>
  <c r="D206" i="2"/>
  <c r="D251" i="2"/>
  <c r="D160" i="2"/>
  <c r="D282" i="2"/>
  <c r="D55" i="2"/>
  <c r="D355" i="2"/>
  <c r="D145" i="2"/>
  <c r="D220" i="2"/>
  <c r="D34" i="2"/>
  <c r="D130" i="2"/>
  <c r="D325" i="2"/>
  <c r="D70" i="2"/>
  <c r="D311" i="2"/>
  <c r="D295" i="2"/>
  <c r="D117" i="2"/>
  <c r="D401" i="2"/>
  <c r="AT383" i="2" l="1"/>
  <c r="AK192" i="2"/>
  <c r="AG192" i="2" s="1"/>
  <c r="T192" i="2"/>
  <c r="U192" i="2" s="1"/>
  <c r="AS192" i="2"/>
  <c r="AP192" i="2"/>
  <c r="P192" i="2"/>
  <c r="AS236" i="2"/>
  <c r="AP236" i="2"/>
  <c r="P236" i="2"/>
  <c r="U70" i="2"/>
  <c r="B7" i="715"/>
  <c r="B25" i="715"/>
  <c r="AT131" i="2"/>
  <c r="AS75" i="2"/>
  <c r="X265" i="2"/>
  <c r="Z265" i="2" s="1"/>
  <c r="AM265" i="2" s="1"/>
  <c r="AV265" i="2" s="1"/>
  <c r="AJ265" i="2"/>
  <c r="Y265" i="2"/>
  <c r="AL265" i="2" s="1"/>
  <c r="AU265" i="2" s="1"/>
  <c r="AG265" i="2"/>
  <c r="X132" i="2"/>
  <c r="Z132" i="2" s="1"/>
  <c r="AM132" i="2" s="1"/>
  <c r="AV132" i="2" s="1"/>
  <c r="Y132" i="2"/>
  <c r="AL132" i="2" s="1"/>
  <c r="AU132" i="2" s="1"/>
  <c r="AJ132" i="2"/>
  <c r="AG132" i="2"/>
  <c r="X161" i="2"/>
  <c r="Y161" i="2"/>
  <c r="AL161" i="2" s="1"/>
  <c r="AU161" i="2" s="1"/>
  <c r="Z161" i="2"/>
  <c r="AM161" i="2" s="1"/>
  <c r="AV161" i="2" s="1"/>
  <c r="AJ161" i="2"/>
  <c r="T164" i="2"/>
  <c r="AK33" i="2"/>
  <c r="P33" i="2"/>
  <c r="AP33" i="2"/>
  <c r="AS33" i="2"/>
  <c r="T33" i="2"/>
  <c r="H172" i="2"/>
  <c r="P164" i="2"/>
  <c r="C402" i="2"/>
  <c r="A401" i="2"/>
  <c r="B401" i="2"/>
  <c r="X73" i="2"/>
  <c r="Y73" i="2"/>
  <c r="Z73" i="2"/>
  <c r="AJ73" i="2"/>
  <c r="J34" i="2"/>
  <c r="I35" i="2"/>
  <c r="C118" i="2"/>
  <c r="A117" i="2"/>
  <c r="B117" i="2"/>
  <c r="AJ131" i="2"/>
  <c r="X131" i="2"/>
  <c r="Y131" i="2"/>
  <c r="AL131" i="2" s="1"/>
  <c r="AU131" i="2" s="1"/>
  <c r="Z131" i="2"/>
  <c r="AM131" i="2" s="1"/>
  <c r="AV131" i="2" s="1"/>
  <c r="R178" i="2"/>
  <c r="AK178" i="2"/>
  <c r="R311" i="2"/>
  <c r="AK311" i="2"/>
  <c r="AG311" i="2" s="1"/>
  <c r="A295" i="2"/>
  <c r="B295" i="2"/>
  <c r="C296" i="2"/>
  <c r="P353" i="2"/>
  <c r="T353" i="2"/>
  <c r="AP353" i="2"/>
  <c r="AQ353" i="2" s="1"/>
  <c r="AS353" i="2"/>
  <c r="AT353" i="2" s="1"/>
  <c r="H139" i="2"/>
  <c r="AM133" i="2"/>
  <c r="AV133" i="2" s="1"/>
  <c r="U73" i="2"/>
  <c r="AG114" i="2"/>
  <c r="U32" i="2"/>
  <c r="J39" i="346"/>
  <c r="F111" i="2"/>
  <c r="G111" i="2"/>
  <c r="H111" i="2" s="1"/>
  <c r="C312" i="2"/>
  <c r="A311" i="2"/>
  <c r="B311" i="2"/>
  <c r="T76" i="2"/>
  <c r="P76" i="2"/>
  <c r="AP76" i="2"/>
  <c r="U326" i="2"/>
  <c r="X249" i="2"/>
  <c r="Z249" i="2"/>
  <c r="Y249" i="2"/>
  <c r="AL249" i="2" s="1"/>
  <c r="AU249" i="2" s="1"/>
  <c r="AJ249" i="2"/>
  <c r="AG249" i="2"/>
  <c r="AH248" i="2" s="1"/>
  <c r="B7" i="840"/>
  <c r="B25" i="840"/>
  <c r="X264" i="2"/>
  <c r="Z264" i="2" s="1"/>
  <c r="Y264" i="2"/>
  <c r="AL264" i="2" s="1"/>
  <c r="AU264" i="2" s="1"/>
  <c r="AJ264" i="2"/>
  <c r="C71" i="2"/>
  <c r="A70" i="2"/>
  <c r="B70" i="2"/>
  <c r="F140" i="2"/>
  <c r="G140" i="2"/>
  <c r="H140" i="2" s="1"/>
  <c r="H320" i="2"/>
  <c r="AL68" i="2"/>
  <c r="AU68" i="2" s="1"/>
  <c r="E276" i="2"/>
  <c r="G273" i="2"/>
  <c r="F273" i="2"/>
  <c r="I180" i="2"/>
  <c r="J179" i="2"/>
  <c r="R134" i="2"/>
  <c r="AK134" i="2"/>
  <c r="I313" i="2"/>
  <c r="J312" i="2"/>
  <c r="U325" i="2"/>
  <c r="V323" i="2" s="1"/>
  <c r="X323" i="2" s="1"/>
  <c r="Z323" i="2" s="1"/>
  <c r="AM323" i="2" s="1"/>
  <c r="AV323" i="2" s="1"/>
  <c r="H85" i="2"/>
  <c r="G142" i="2"/>
  <c r="F142" i="2"/>
  <c r="AS267" i="2"/>
  <c r="U72" i="2"/>
  <c r="Y133" i="2"/>
  <c r="AL133" i="2" s="1"/>
  <c r="AU133" i="2" s="1"/>
  <c r="AJ32" i="2"/>
  <c r="T39" i="346" s="1"/>
  <c r="X32" i="2"/>
  <c r="M39" i="346" s="1"/>
  <c r="Y32" i="2"/>
  <c r="AL32" i="2" s="1"/>
  <c r="AU32" i="2" s="1"/>
  <c r="Z39" i="346" s="1"/>
  <c r="D7" i="902"/>
  <c r="I39" i="346"/>
  <c r="AU250" i="2"/>
  <c r="A325" i="2"/>
  <c r="B325" i="2"/>
  <c r="C326" i="2"/>
  <c r="R73" i="2"/>
  <c r="AK73" i="2"/>
  <c r="AG73" i="2" s="1"/>
  <c r="AH71" i="2" s="1"/>
  <c r="AJ71" i="2" s="1"/>
  <c r="AM71" i="2" s="1"/>
  <c r="AV71" i="2" s="1"/>
  <c r="I256" i="2"/>
  <c r="J255" i="2"/>
  <c r="AM340" i="2"/>
  <c r="AV340" i="2" s="1"/>
  <c r="F392" i="2"/>
  <c r="G392" i="2"/>
  <c r="H392" i="2" s="1"/>
  <c r="E395" i="2"/>
  <c r="U84" i="2"/>
  <c r="U373" i="2"/>
  <c r="AQ161" i="2"/>
  <c r="AM338" i="2"/>
  <c r="AV338" i="2" s="1"/>
  <c r="R374" i="2"/>
  <c r="AK374" i="2"/>
  <c r="AG374" i="2" s="1"/>
  <c r="R146" i="2"/>
  <c r="AK146" i="2"/>
  <c r="U234" i="2"/>
  <c r="AG401" i="2"/>
  <c r="AG373" i="2"/>
  <c r="H301" i="2"/>
  <c r="AU253" i="2"/>
  <c r="AV253" i="2"/>
  <c r="R385" i="2"/>
  <c r="AK385" i="2"/>
  <c r="G246" i="2"/>
  <c r="F246" i="2"/>
  <c r="R402" i="2"/>
  <c r="AP402" i="2"/>
  <c r="AK402" i="2"/>
  <c r="AS402" i="2"/>
  <c r="P402" i="2"/>
  <c r="T402" i="2"/>
  <c r="U402" i="2" s="1"/>
  <c r="C131" i="2"/>
  <c r="A130" i="2"/>
  <c r="B130" i="2"/>
  <c r="G52" i="2"/>
  <c r="H52" i="2" s="1"/>
  <c r="F52" i="2"/>
  <c r="F303" i="2"/>
  <c r="G303" i="2"/>
  <c r="H303" i="2" s="1"/>
  <c r="E306" i="2"/>
  <c r="H270" i="2"/>
  <c r="AS56" i="2"/>
  <c r="P56" i="2"/>
  <c r="AP56" i="2"/>
  <c r="T56" i="2"/>
  <c r="AG384" i="2"/>
  <c r="G88" i="2"/>
  <c r="H88" i="2" s="1"/>
  <c r="F88" i="2"/>
  <c r="E91" i="2"/>
  <c r="J88" i="2"/>
  <c r="AG264" i="2"/>
  <c r="P267" i="2"/>
  <c r="A34" i="2"/>
  <c r="B34" i="2"/>
  <c r="C35" i="2"/>
  <c r="Y39" i="346"/>
  <c r="J280" i="2"/>
  <c r="I281" i="2"/>
  <c r="AG163" i="2"/>
  <c r="R220" i="2"/>
  <c r="AS220" i="2"/>
  <c r="AT218" i="2" s="1"/>
  <c r="T220" i="2"/>
  <c r="AK220" i="2"/>
  <c r="AG220" i="2" s="1"/>
  <c r="P220" i="2"/>
  <c r="AP220" i="2"/>
  <c r="X114" i="2"/>
  <c r="Z114" i="2" s="1"/>
  <c r="AM114" i="2" s="1"/>
  <c r="AV114" i="2" s="1"/>
  <c r="Y114" i="2"/>
  <c r="AL114" i="2" s="1"/>
  <c r="AU114" i="2" s="1"/>
  <c r="AJ114" i="2"/>
  <c r="I92" i="2"/>
  <c r="J91" i="2"/>
  <c r="X295" i="2"/>
  <c r="Z295" i="2" s="1"/>
  <c r="AM295" i="2" s="1"/>
  <c r="AV295" i="2" s="1"/>
  <c r="Y295" i="2"/>
  <c r="AL295" i="2" s="1"/>
  <c r="AU295" i="2" s="1"/>
  <c r="AJ295" i="2"/>
  <c r="Y374" i="2"/>
  <c r="AL374" i="2" s="1"/>
  <c r="AU374" i="2" s="1"/>
  <c r="C221" i="2"/>
  <c r="A220" i="2"/>
  <c r="B220" i="2"/>
  <c r="P263" i="2"/>
  <c r="T263" i="2"/>
  <c r="AP263" i="2"/>
  <c r="AQ263" i="2" s="1"/>
  <c r="AS263" i="2"/>
  <c r="AT263" i="2" s="1"/>
  <c r="F302" i="2"/>
  <c r="E305" i="2"/>
  <c r="G302" i="2"/>
  <c r="H302" i="2" s="1"/>
  <c r="AG310" i="2"/>
  <c r="AH308" i="2" s="1"/>
  <c r="AJ308" i="2" s="1"/>
  <c r="E230" i="2"/>
  <c r="F227" i="2"/>
  <c r="G227" i="2"/>
  <c r="H227" i="2" s="1"/>
  <c r="J375" i="2"/>
  <c r="I376" i="2"/>
  <c r="F404" i="2"/>
  <c r="G404" i="2"/>
  <c r="H404" i="2" s="1"/>
  <c r="E407" i="2"/>
  <c r="AM309" i="2"/>
  <c r="AV309" i="2" s="1"/>
  <c r="G378" i="2"/>
  <c r="H378" i="2" s="1"/>
  <c r="F378" i="2"/>
  <c r="E381" i="2"/>
  <c r="E362" i="2"/>
  <c r="F359" i="2"/>
  <c r="G359" i="2"/>
  <c r="B7" i="731"/>
  <c r="B25" i="731"/>
  <c r="AG56" i="2"/>
  <c r="AS87" i="2"/>
  <c r="AP87" i="2"/>
  <c r="T87" i="2"/>
  <c r="P87" i="2"/>
  <c r="B145" i="2"/>
  <c r="A145" i="2"/>
  <c r="C146" i="2"/>
  <c r="G138" i="2"/>
  <c r="F138" i="2"/>
  <c r="E141" i="2"/>
  <c r="X355" i="2"/>
  <c r="Z355" i="2" s="1"/>
  <c r="AJ355" i="2"/>
  <c r="Y355" i="2"/>
  <c r="AL355" i="2" s="1"/>
  <c r="AU355" i="2" s="1"/>
  <c r="AM99" i="2"/>
  <c r="AV99" i="2" s="1"/>
  <c r="X113" i="2"/>
  <c r="Y113" i="2"/>
  <c r="AL113" i="2" s="1"/>
  <c r="AU113" i="2" s="1"/>
  <c r="Z113" i="2"/>
  <c r="AM113" i="2" s="1"/>
  <c r="AV113" i="2" s="1"/>
  <c r="AJ113" i="2"/>
  <c r="X354" i="2"/>
  <c r="Y354" i="2"/>
  <c r="AL354" i="2" s="1"/>
  <c r="AU354" i="2" s="1"/>
  <c r="Z354" i="2"/>
  <c r="AM354" i="2" s="1"/>
  <c r="AV354" i="2" s="1"/>
  <c r="AJ354" i="2"/>
  <c r="AG354" i="2"/>
  <c r="AS268" i="2"/>
  <c r="T268" i="2"/>
  <c r="T267" i="2"/>
  <c r="U267" i="2" s="1"/>
  <c r="AG113" i="2"/>
  <c r="Y83" i="2"/>
  <c r="AL83" i="2" s="1"/>
  <c r="AU83" i="2" s="1"/>
  <c r="U83" i="2"/>
  <c r="AG32" i="2"/>
  <c r="Q39" i="346"/>
  <c r="AK279" i="2"/>
  <c r="R279" i="2"/>
  <c r="AS279" i="2"/>
  <c r="T279" i="2"/>
  <c r="U279" i="2" s="1"/>
  <c r="P279" i="2"/>
  <c r="AP279" i="2"/>
  <c r="AP160" i="2"/>
  <c r="AQ158" i="2" s="1"/>
  <c r="AS160" i="2"/>
  <c r="AT158" i="2" s="1"/>
  <c r="T160" i="2"/>
  <c r="U160" i="2" s="1"/>
  <c r="AK160" i="2"/>
  <c r="AG160" i="2" s="1"/>
  <c r="AH158" i="2" s="1"/>
  <c r="P160" i="2"/>
  <c r="X162" i="2"/>
  <c r="Y162" i="2"/>
  <c r="AL162" i="2" s="1"/>
  <c r="AU162" i="2" s="1"/>
  <c r="Z162" i="2"/>
  <c r="AJ162" i="2"/>
  <c r="V293" i="2"/>
  <c r="X293" i="2" s="1"/>
  <c r="Z293" i="2" s="1"/>
  <c r="AJ70" i="2"/>
  <c r="X70" i="2"/>
  <c r="Y70" i="2"/>
  <c r="Z70" i="2"/>
  <c r="AM70" i="2" s="1"/>
  <c r="AV70" i="2" s="1"/>
  <c r="AP71" i="2"/>
  <c r="AQ71" i="2" s="1"/>
  <c r="AS71" i="2"/>
  <c r="AT71" i="2" s="1"/>
  <c r="T71" i="2"/>
  <c r="X310" i="2"/>
  <c r="Z310" i="2" s="1"/>
  <c r="AM310" i="2" s="1"/>
  <c r="AV310" i="2" s="1"/>
  <c r="Y310" i="2"/>
  <c r="AL310" i="2" s="1"/>
  <c r="AU310" i="2" s="1"/>
  <c r="AJ310" i="2"/>
  <c r="X163" i="2"/>
  <c r="Y163" i="2"/>
  <c r="AL163" i="2" s="1"/>
  <c r="AU163" i="2" s="1"/>
  <c r="Z163" i="2"/>
  <c r="AM163" i="2" s="1"/>
  <c r="AV163" i="2" s="1"/>
  <c r="AJ163" i="2"/>
  <c r="U114" i="2"/>
  <c r="Y296" i="2"/>
  <c r="AM398" i="2"/>
  <c r="AV398" i="2" s="1"/>
  <c r="G366" i="2"/>
  <c r="F366" i="2"/>
  <c r="AT161" i="2"/>
  <c r="AP164" i="2"/>
  <c r="A355" i="2"/>
  <c r="B355" i="2"/>
  <c r="C356" i="2"/>
  <c r="B7" i="729"/>
  <c r="B25" i="729"/>
  <c r="J386" i="2"/>
  <c r="I387" i="2"/>
  <c r="AM190" i="2"/>
  <c r="AV190" i="2" s="1"/>
  <c r="AH131" i="2"/>
  <c r="I58" i="2"/>
  <c r="J57" i="2"/>
  <c r="X72" i="2"/>
  <c r="Y72" i="2"/>
  <c r="AL72" i="2" s="1"/>
  <c r="AU72" i="2" s="1"/>
  <c r="Z72" i="2"/>
  <c r="AJ72" i="2"/>
  <c r="X39" i="346"/>
  <c r="U177" i="2"/>
  <c r="AG162" i="2"/>
  <c r="I136" i="2"/>
  <c r="J135" i="2"/>
  <c r="V248" i="2"/>
  <c r="B7" i="778"/>
  <c r="B25" i="778"/>
  <c r="AK87" i="2"/>
  <c r="AG87" i="2" s="1"/>
  <c r="R87" i="2"/>
  <c r="AS341" i="2"/>
  <c r="I404" i="2"/>
  <c r="J403" i="2"/>
  <c r="AM174" i="2"/>
  <c r="AV174" i="2" s="1"/>
  <c r="H150" i="2"/>
  <c r="A55" i="2"/>
  <c r="B55" i="2"/>
  <c r="C56" i="2"/>
  <c r="A282" i="2"/>
  <c r="C283" i="2"/>
  <c r="B282" i="2"/>
  <c r="Z218" i="2"/>
  <c r="X218" i="2"/>
  <c r="Y218" i="2"/>
  <c r="AL218" i="2" s="1"/>
  <c r="AU218" i="2" s="1"/>
  <c r="AG218" i="2"/>
  <c r="F182" i="2"/>
  <c r="G182" i="2"/>
  <c r="E185" i="2"/>
  <c r="H180" i="2"/>
  <c r="H396" i="2"/>
  <c r="G90" i="2"/>
  <c r="H90" i="2" s="1"/>
  <c r="F90" i="2"/>
  <c r="E93" i="2"/>
  <c r="H243" i="2"/>
  <c r="AP341" i="2"/>
  <c r="AK326" i="2"/>
  <c r="AG326" i="2" s="1"/>
  <c r="R326" i="2"/>
  <c r="C161" i="2"/>
  <c r="A160" i="2"/>
  <c r="B160" i="2"/>
  <c r="H43" i="2"/>
  <c r="E156" i="2"/>
  <c r="G153" i="2"/>
  <c r="F153" i="2"/>
  <c r="H300" i="2"/>
  <c r="H124" i="2"/>
  <c r="X219" i="2"/>
  <c r="Y219" i="2"/>
  <c r="AL219" i="2" s="1"/>
  <c r="AU219" i="2" s="1"/>
  <c r="Z219" i="2"/>
  <c r="AM219" i="2" s="1"/>
  <c r="AV219" i="2" s="1"/>
  <c r="AJ219" i="2"/>
  <c r="R85" i="2"/>
  <c r="AK85" i="2"/>
  <c r="AV89" i="2"/>
  <c r="AV176" i="2"/>
  <c r="R115" i="2"/>
  <c r="AK115" i="2"/>
  <c r="AG115" i="2" s="1"/>
  <c r="T115" i="2"/>
  <c r="U115" i="2" s="1"/>
  <c r="V113" i="2" s="1"/>
  <c r="AS115" i="2"/>
  <c r="AT113" i="2" s="1"/>
  <c r="AP115" i="2"/>
  <c r="AQ113" i="2" s="1"/>
  <c r="P115" i="2"/>
  <c r="H49" i="2"/>
  <c r="R55" i="2"/>
  <c r="AK55" i="2"/>
  <c r="AG55" i="2" s="1"/>
  <c r="Z84" i="2"/>
  <c r="AJ84" i="2"/>
  <c r="X84" i="2"/>
  <c r="Y84" i="2"/>
  <c r="AL84" i="2" s="1"/>
  <c r="AU84" i="2" s="1"/>
  <c r="H411" i="2"/>
  <c r="AJ159" i="2"/>
  <c r="X159" i="2"/>
  <c r="Y159" i="2"/>
  <c r="AL159" i="2" s="1"/>
  <c r="AU159" i="2" s="1"/>
  <c r="Z159" i="2"/>
  <c r="AM159" i="2" s="1"/>
  <c r="AV159" i="2" s="1"/>
  <c r="X145" i="2"/>
  <c r="Y145" i="2"/>
  <c r="AL145" i="2" s="1"/>
  <c r="AU145" i="2" s="1"/>
  <c r="Z145" i="2"/>
  <c r="AJ145" i="2"/>
  <c r="R75" i="2"/>
  <c r="AK75" i="2"/>
  <c r="J165" i="2"/>
  <c r="I166" i="2"/>
  <c r="AK90" i="2"/>
  <c r="R90" i="2"/>
  <c r="B17" i="881"/>
  <c r="B41" i="881"/>
  <c r="B59" i="881"/>
  <c r="AJ384" i="2"/>
  <c r="Y384" i="2"/>
  <c r="AL384" i="2" s="1"/>
  <c r="AU384" i="2" s="1"/>
  <c r="Z384" i="2"/>
  <c r="AM384" i="2" s="1"/>
  <c r="AV384" i="2" s="1"/>
  <c r="X384" i="2"/>
  <c r="J76" i="2"/>
  <c r="I77" i="2"/>
  <c r="G397" i="2"/>
  <c r="F397" i="2"/>
  <c r="AP401" i="2"/>
  <c r="P401" i="2"/>
  <c r="T401" i="2"/>
  <c r="U401" i="2" s="1"/>
  <c r="AS401" i="2"/>
  <c r="AT401" i="2" s="1"/>
  <c r="AM339" i="2"/>
  <c r="AV339" i="2" s="1"/>
  <c r="AS164" i="2"/>
  <c r="AM144" i="2"/>
  <c r="AV144" i="2" s="1"/>
  <c r="AM368" i="2"/>
  <c r="AV368" i="2" s="1"/>
  <c r="AS266" i="2"/>
  <c r="AT266" i="2" s="1"/>
  <c r="AP266" i="2"/>
  <c r="AQ266" i="2" s="1"/>
  <c r="T266" i="2"/>
  <c r="P266" i="2"/>
  <c r="AG266" i="2" s="1"/>
  <c r="R296" i="2"/>
  <c r="AK296" i="2"/>
  <c r="AG296" i="2" s="1"/>
  <c r="U176" i="2"/>
  <c r="Y176" i="2"/>
  <c r="AL176" i="2" s="1"/>
  <c r="AU176" i="2" s="1"/>
  <c r="AS356" i="2"/>
  <c r="P356" i="2"/>
  <c r="T356" i="2"/>
  <c r="U356" i="2" s="1"/>
  <c r="AP356" i="2"/>
  <c r="AQ68" i="2"/>
  <c r="AV68" i="2"/>
  <c r="J44" i="2"/>
  <c r="AK44" i="2" s="1"/>
  <c r="F44" i="2"/>
  <c r="G44" i="2"/>
  <c r="H44" i="2" s="1"/>
  <c r="X325" i="2"/>
  <c r="Z325" i="2" s="1"/>
  <c r="AM325" i="2" s="1"/>
  <c r="AV325" i="2" s="1"/>
  <c r="AJ325" i="2"/>
  <c r="Y325" i="2"/>
  <c r="AL325" i="2" s="1"/>
  <c r="AU325" i="2" s="1"/>
  <c r="P135" i="2"/>
  <c r="AS135" i="2"/>
  <c r="F274" i="2"/>
  <c r="E277" i="2"/>
  <c r="G274" i="2"/>
  <c r="Y326" i="2"/>
  <c r="B7" i="786"/>
  <c r="B25" i="786"/>
  <c r="E200" i="2"/>
  <c r="F197" i="2"/>
  <c r="G197" i="2"/>
  <c r="AQ218" i="2"/>
  <c r="G183" i="2"/>
  <c r="H183" i="2" s="1"/>
  <c r="E186" i="2"/>
  <c r="G186" i="2" s="1"/>
  <c r="H186" i="2" s="1"/>
  <c r="AG295" i="2"/>
  <c r="AH293" i="2" s="1"/>
  <c r="AJ293" i="2" s="1"/>
  <c r="H350" i="2"/>
  <c r="T341" i="2"/>
  <c r="J327" i="2"/>
  <c r="I328" i="2"/>
  <c r="H119" i="2"/>
  <c r="AS233" i="2"/>
  <c r="P233" i="2"/>
  <c r="T233" i="2"/>
  <c r="U233" i="2" s="1"/>
  <c r="AP233" i="2"/>
  <c r="AQ233" i="2" s="1"/>
  <c r="AP46" i="2"/>
  <c r="T46" i="2"/>
  <c r="P46" i="2"/>
  <c r="F149" i="2"/>
  <c r="G149" i="2"/>
  <c r="E152" i="2"/>
  <c r="U89" i="2"/>
  <c r="Y89" i="2"/>
  <c r="AL89" i="2" s="1"/>
  <c r="AU89" i="2" s="1"/>
  <c r="C252" i="2"/>
  <c r="A251" i="2"/>
  <c r="B251" i="2"/>
  <c r="T403" i="2"/>
  <c r="AS403" i="2"/>
  <c r="P403" i="2"/>
  <c r="AP403" i="2"/>
  <c r="H261" i="2"/>
  <c r="U101" i="2"/>
  <c r="C207" i="2"/>
  <c r="A206" i="2"/>
  <c r="B206" i="2"/>
  <c r="I207" i="2"/>
  <c r="J206" i="2"/>
  <c r="A100" i="2"/>
  <c r="B100" i="2"/>
  <c r="C101" i="2"/>
  <c r="AV83" i="2"/>
  <c r="J116" i="2"/>
  <c r="I117" i="2"/>
  <c r="H201" i="2"/>
  <c r="AS385" i="2"/>
  <c r="AK70" i="2"/>
  <c r="AG70" i="2" s="1"/>
  <c r="AH68" i="2" s="1"/>
  <c r="R70" i="2"/>
  <c r="H178" i="2"/>
  <c r="J221" i="2"/>
  <c r="I222" i="2"/>
  <c r="C373" i="2"/>
  <c r="A372" i="2"/>
  <c r="B372" i="2"/>
  <c r="H66" i="2"/>
  <c r="P75" i="2"/>
  <c r="X54" i="2"/>
  <c r="Y54" i="2"/>
  <c r="AL54" i="2" s="1"/>
  <c r="AU54" i="2" s="1"/>
  <c r="Z54" i="2"/>
  <c r="AM54" i="2" s="1"/>
  <c r="AV54" i="2" s="1"/>
  <c r="AJ54" i="2"/>
  <c r="H244" i="2"/>
  <c r="G288" i="2"/>
  <c r="H288" i="2" s="1"/>
  <c r="F288" i="2"/>
  <c r="E291" i="2"/>
  <c r="Y311" i="2"/>
  <c r="AL311" i="2" s="1"/>
  <c r="AU311" i="2" s="1"/>
  <c r="AG54" i="2"/>
  <c r="AH53" i="2" s="1"/>
  <c r="AJ53" i="2" s="1"/>
  <c r="AM53" i="2" s="1"/>
  <c r="AV53" i="2" s="1"/>
  <c r="Y177" i="2"/>
  <c r="AL177" i="2" s="1"/>
  <c r="AU177" i="2" s="1"/>
  <c r="Z177" i="2"/>
  <c r="AM177" i="2" s="1"/>
  <c r="AV177" i="2" s="1"/>
  <c r="X177" i="2"/>
  <c r="AJ177" i="2"/>
  <c r="H285" i="2"/>
  <c r="AS175" i="2"/>
  <c r="AT173" i="2" s="1"/>
  <c r="T175" i="2"/>
  <c r="U175" i="2" s="1"/>
  <c r="V173" i="2" s="1"/>
  <c r="P175" i="2"/>
  <c r="AP175" i="2"/>
  <c r="AQ173" i="2" s="1"/>
  <c r="AP143" i="2"/>
  <c r="AQ143" i="2" s="1"/>
  <c r="P143" i="2"/>
  <c r="T143" i="2"/>
  <c r="AS143" i="2"/>
  <c r="AT143" i="2" s="1"/>
  <c r="U265" i="2"/>
  <c r="U132" i="2"/>
  <c r="V131" i="2" s="1"/>
  <c r="C236" i="2"/>
  <c r="A235" i="2"/>
  <c r="B235" i="2"/>
  <c r="T179" i="2"/>
  <c r="P179" i="2"/>
  <c r="AS179" i="2"/>
  <c r="AP179" i="2"/>
  <c r="AS134" i="2"/>
  <c r="P134" i="2"/>
  <c r="T134" i="2"/>
  <c r="AP134" i="2"/>
  <c r="AH323" i="2"/>
  <c r="AJ323" i="2" s="1"/>
  <c r="I237" i="2"/>
  <c r="J236" i="2"/>
  <c r="G127" i="2"/>
  <c r="F127" i="2"/>
  <c r="AP146" i="2"/>
  <c r="P146" i="2"/>
  <c r="AS146" i="2"/>
  <c r="T146" i="2"/>
  <c r="U146" i="2" s="1"/>
  <c r="F62" i="2"/>
  <c r="G62" i="2"/>
  <c r="E65" i="2"/>
  <c r="E409" i="2"/>
  <c r="G406" i="2"/>
  <c r="H406" i="2" s="1"/>
  <c r="F406" i="2"/>
  <c r="X69" i="2"/>
  <c r="Y69" i="2"/>
  <c r="AL69" i="2" s="1"/>
  <c r="AU69" i="2" s="1"/>
  <c r="Z69" i="2"/>
  <c r="AJ69" i="2"/>
  <c r="AV191" i="2"/>
  <c r="AJ101" i="2"/>
  <c r="X101" i="2"/>
  <c r="Z101" i="2" s="1"/>
  <c r="AM101" i="2" s="1"/>
  <c r="AV101" i="2" s="1"/>
  <c r="Y101" i="2"/>
  <c r="AL101" i="2" s="1"/>
  <c r="AU101" i="2" s="1"/>
  <c r="T205" i="2"/>
  <c r="P205" i="2"/>
  <c r="AK205" i="2"/>
  <c r="AG205" i="2" s="1"/>
  <c r="AH203" i="2" s="1"/>
  <c r="AP205" i="2"/>
  <c r="AQ203" i="2" s="1"/>
  <c r="AS205" i="2"/>
  <c r="AT203" i="2" s="1"/>
  <c r="F107" i="2"/>
  <c r="G107" i="2"/>
  <c r="E110" i="2"/>
  <c r="AP385" i="2"/>
  <c r="AQ383" i="2" s="1"/>
  <c r="G239" i="2"/>
  <c r="H239" i="2" s="1"/>
  <c r="E242" i="2"/>
  <c r="E77" i="2"/>
  <c r="F74" i="2"/>
  <c r="G74" i="2"/>
  <c r="H74" i="2" s="1"/>
  <c r="J74" i="2"/>
  <c r="X373" i="2"/>
  <c r="Y373" i="2"/>
  <c r="AL373" i="2" s="1"/>
  <c r="AU373" i="2" s="1"/>
  <c r="Z373" i="2"/>
  <c r="AJ373" i="2"/>
  <c r="T372" i="2"/>
  <c r="P372" i="2"/>
  <c r="AS372" i="2"/>
  <c r="AT371" i="2" s="1"/>
  <c r="AP372" i="2"/>
  <c r="AQ371" i="2" s="1"/>
  <c r="F112" i="2"/>
  <c r="G112" i="2"/>
  <c r="H112" i="2" s="1"/>
  <c r="A265" i="2"/>
  <c r="B265" i="2"/>
  <c r="C266" i="2"/>
  <c r="R254" i="2"/>
  <c r="AK254" i="2"/>
  <c r="AP254" i="2"/>
  <c r="P254" i="2"/>
  <c r="T254" i="2"/>
  <c r="U254" i="2" s="1"/>
  <c r="AS254" i="2"/>
  <c r="X128" i="2"/>
  <c r="AJ128" i="2"/>
  <c r="Y128" i="2"/>
  <c r="AL128" i="2" s="1"/>
  <c r="AU128" i="2" s="1"/>
  <c r="Z128" i="2"/>
  <c r="AM128" i="2" s="1"/>
  <c r="AV128" i="2" s="1"/>
  <c r="AG128" i="2"/>
  <c r="AH128" i="2" s="1"/>
  <c r="U86" i="2"/>
  <c r="Y86" i="2"/>
  <c r="AL86" i="2" s="1"/>
  <c r="AU86" i="2" s="1"/>
  <c r="U163" i="2"/>
  <c r="AM100" i="2"/>
  <c r="AV100" i="2" s="1"/>
  <c r="C341" i="2"/>
  <c r="A340" i="2"/>
  <c r="B340" i="2"/>
  <c r="F47" i="2"/>
  <c r="G47" i="2"/>
  <c r="H47" i="2" s="1"/>
  <c r="I148" i="2"/>
  <c r="J147" i="2"/>
  <c r="AJ234" i="2"/>
  <c r="X234" i="2"/>
  <c r="Y234" i="2"/>
  <c r="AL234" i="2" s="1"/>
  <c r="AU234" i="2" s="1"/>
  <c r="Z234" i="2"/>
  <c r="AM234" i="2" s="1"/>
  <c r="AV234" i="2" s="1"/>
  <c r="H394" i="2"/>
  <c r="G304" i="2"/>
  <c r="F304" i="2"/>
  <c r="E307" i="2"/>
  <c r="G247" i="2"/>
  <c r="F247" i="2"/>
  <c r="H375" i="2"/>
  <c r="E272" i="2"/>
  <c r="F269" i="2"/>
  <c r="G269" i="2"/>
  <c r="B7" i="730"/>
  <c r="B25" i="730"/>
  <c r="AK267" i="2"/>
  <c r="AG267" i="2" s="1"/>
  <c r="R267" i="2"/>
  <c r="F41" i="2"/>
  <c r="G41" i="2"/>
  <c r="E50" i="2"/>
  <c r="G352" i="2"/>
  <c r="F352" i="2"/>
  <c r="E82" i="2"/>
  <c r="G79" i="2"/>
  <c r="H79" i="2" s="1"/>
  <c r="B190" i="2"/>
  <c r="A190" i="2"/>
  <c r="C191" i="2"/>
  <c r="H45" i="2"/>
  <c r="A175" i="2"/>
  <c r="C176" i="2"/>
  <c r="B175" i="2"/>
  <c r="G199" i="2"/>
  <c r="F199" i="2"/>
  <c r="E202" i="2"/>
  <c r="AG161" i="2"/>
  <c r="G319" i="2"/>
  <c r="H319" i="2" s="1"/>
  <c r="F319" i="2"/>
  <c r="E322" i="2"/>
  <c r="G232" i="2"/>
  <c r="H232" i="2" s="1"/>
  <c r="F232" i="2"/>
  <c r="G95" i="2"/>
  <c r="F95" i="2"/>
  <c r="F337" i="2"/>
  <c r="G337" i="2"/>
  <c r="H337" i="2" s="1"/>
  <c r="I104" i="2"/>
  <c r="J103" i="2"/>
  <c r="H92" i="2"/>
  <c r="F122" i="2"/>
  <c r="G122" i="2"/>
  <c r="E125" i="2"/>
  <c r="R235" i="2"/>
  <c r="AK235" i="2"/>
  <c r="AS235" i="2"/>
  <c r="AP235" i="2"/>
  <c r="T235" i="2"/>
  <c r="P235" i="2"/>
  <c r="U145" i="2"/>
  <c r="G364" i="2"/>
  <c r="H364" i="2" s="1"/>
  <c r="F364" i="2"/>
  <c r="E367" i="2"/>
  <c r="H59" i="2"/>
  <c r="C87" i="2"/>
  <c r="A86" i="2"/>
  <c r="B86" i="2"/>
  <c r="AK356" i="2"/>
  <c r="R356" i="2"/>
  <c r="U69" i="2"/>
  <c r="V68" i="2" s="1"/>
  <c r="AQ251" i="2"/>
  <c r="U191" i="2"/>
  <c r="Y191" i="2"/>
  <c r="AL191" i="2" s="1"/>
  <c r="AU191" i="2" s="1"/>
  <c r="X55" i="2"/>
  <c r="Y55" i="2"/>
  <c r="AL55" i="2" s="1"/>
  <c r="AU55" i="2" s="1"/>
  <c r="Z55" i="2"/>
  <c r="AJ55" i="2"/>
  <c r="G126" i="2"/>
  <c r="F126" i="2"/>
  <c r="Y324" i="2"/>
  <c r="AL324" i="2" s="1"/>
  <c r="AU324" i="2" s="1"/>
  <c r="Z324" i="2"/>
  <c r="AM324" i="2" s="1"/>
  <c r="AV324" i="2" s="1"/>
  <c r="AJ324" i="2"/>
  <c r="X324" i="2"/>
  <c r="P385" i="2"/>
  <c r="I343" i="2"/>
  <c r="J342" i="2"/>
  <c r="AP342" i="2" s="1"/>
  <c r="U162" i="2"/>
  <c r="V161" i="2" s="1"/>
  <c r="J193" i="2"/>
  <c r="I194" i="2"/>
  <c r="U384" i="2"/>
  <c r="V383" i="2" s="1"/>
  <c r="X383" i="2" s="1"/>
  <c r="Z383" i="2" s="1"/>
  <c r="AP75" i="2"/>
  <c r="U159" i="2"/>
  <c r="V158" i="2" s="1"/>
  <c r="A385" i="2"/>
  <c r="B385" i="2"/>
  <c r="C386" i="2"/>
  <c r="J297" i="2"/>
  <c r="I298" i="2"/>
  <c r="J268" i="2"/>
  <c r="AP268" i="2" s="1"/>
  <c r="I269" i="2"/>
  <c r="AV86" i="2"/>
  <c r="AG233" i="2"/>
  <c r="G181" i="2"/>
  <c r="H181" i="2" s="1"/>
  <c r="F181" i="2"/>
  <c r="E184" i="2"/>
  <c r="B7" i="732"/>
  <c r="B25" i="732"/>
  <c r="R102" i="2"/>
  <c r="AS102" i="2"/>
  <c r="AK102" i="2"/>
  <c r="AG102" i="2" s="1"/>
  <c r="T102" i="2"/>
  <c r="U102" i="2" s="1"/>
  <c r="P102" i="2"/>
  <c r="AP102" i="2"/>
  <c r="R341" i="2"/>
  <c r="AK341" i="2"/>
  <c r="AG341" i="2" s="1"/>
  <c r="U310" i="2"/>
  <c r="V308" i="2" s="1"/>
  <c r="X308" i="2" s="1"/>
  <c r="Z308" i="2" s="1"/>
  <c r="AM308" i="2" s="1"/>
  <c r="AV308" i="2" s="1"/>
  <c r="T374" i="2"/>
  <c r="U374" i="2" s="1"/>
  <c r="F215" i="2"/>
  <c r="G215" i="2"/>
  <c r="H215" i="2" s="1"/>
  <c r="Y294" i="2"/>
  <c r="AL294" i="2" s="1"/>
  <c r="AU294" i="2" s="1"/>
  <c r="X294" i="2"/>
  <c r="Z294" i="2" s="1"/>
  <c r="AM294" i="2" s="1"/>
  <c r="AV294" i="2" s="1"/>
  <c r="AJ294" i="2"/>
  <c r="J357" i="2"/>
  <c r="I358" i="2"/>
  <c r="H262" i="2"/>
  <c r="T385" i="2"/>
  <c r="U385" i="2" s="1"/>
  <c r="D146" i="2"/>
  <c r="D161" i="2"/>
  <c r="D373" i="2"/>
  <c r="D312" i="2"/>
  <c r="D296" i="2"/>
  <c r="D207" i="2"/>
  <c r="D56" i="2"/>
  <c r="D402" i="2"/>
  <c r="D118" i="2"/>
  <c r="D356" i="2"/>
  <c r="D221" i="2"/>
  <c r="E5" i="900" a="1"/>
  <c r="D252" i="2"/>
  <c r="D386" i="2"/>
  <c r="D266" i="2"/>
  <c r="D176" i="2"/>
  <c r="D71" i="2"/>
  <c r="D326" i="2"/>
  <c r="D35" i="2"/>
  <c r="D101" i="2"/>
  <c r="D236" i="2"/>
  <c r="D283" i="2"/>
  <c r="D341" i="2"/>
  <c r="D131" i="2"/>
  <c r="D87" i="2"/>
  <c r="D191" i="2"/>
  <c r="H5" i="900" a="1"/>
  <c r="E5" i="900" l="1"/>
  <c r="C192" i="2"/>
  <c r="B191" i="2"/>
  <c r="A191" i="2"/>
  <c r="F272" i="2"/>
  <c r="G272" i="2"/>
  <c r="E275" i="2"/>
  <c r="P178" i="2"/>
  <c r="AP178" i="2"/>
  <c r="AQ176" i="2" s="1"/>
  <c r="T178" i="2"/>
  <c r="U178" i="2" s="1"/>
  <c r="V176" i="2" s="1"/>
  <c r="AS178" i="2"/>
  <c r="AT176" i="2" s="1"/>
  <c r="AM383" i="2"/>
  <c r="AV383" i="2" s="1"/>
  <c r="A87" i="2"/>
  <c r="C88" i="2"/>
  <c r="B87" i="2"/>
  <c r="J207" i="2"/>
  <c r="I208" i="2"/>
  <c r="X236" i="2"/>
  <c r="Z236" i="2"/>
  <c r="AK193" i="2"/>
  <c r="T193" i="2"/>
  <c r="AP193" i="2"/>
  <c r="AQ191" i="2" s="1"/>
  <c r="AS193" i="2"/>
  <c r="AT191" i="2" s="1"/>
  <c r="P193" i="2"/>
  <c r="AP206" i="2"/>
  <c r="AS206" i="2"/>
  <c r="P206" i="2"/>
  <c r="T206" i="2"/>
  <c r="U206" i="2" s="1"/>
  <c r="AK206" i="2"/>
  <c r="I329" i="2"/>
  <c r="J328" i="2"/>
  <c r="F152" i="2"/>
  <c r="G152" i="2"/>
  <c r="H152" i="2" s="1"/>
  <c r="E155" i="2"/>
  <c r="F242" i="2"/>
  <c r="G242" i="2"/>
  <c r="H242" i="2" s="1"/>
  <c r="E245" i="2"/>
  <c r="R39" i="346"/>
  <c r="I377" i="2"/>
  <c r="J376" i="2"/>
  <c r="X164" i="2"/>
  <c r="Y164" i="2"/>
  <c r="AL164" i="2" s="1"/>
  <c r="AU164" i="2" s="1"/>
  <c r="Z164" i="2"/>
  <c r="AJ164" i="2"/>
  <c r="AG164" i="2"/>
  <c r="R147" i="2"/>
  <c r="AK147" i="2"/>
  <c r="AS147" i="2"/>
  <c r="T147" i="2"/>
  <c r="P147" i="2"/>
  <c r="AP147" i="2"/>
  <c r="AQ86" i="2"/>
  <c r="I149" i="2"/>
  <c r="J148" i="2"/>
  <c r="I359" i="2"/>
  <c r="J358" i="2"/>
  <c r="AQ101" i="2"/>
  <c r="G367" i="2"/>
  <c r="F367" i="2"/>
  <c r="G322" i="2"/>
  <c r="H322" i="2" s="1"/>
  <c r="F322" i="2"/>
  <c r="U372" i="2"/>
  <c r="V371" i="2" s="1"/>
  <c r="X371" i="2" s="1"/>
  <c r="Z371" i="2" s="1"/>
  <c r="X146" i="2"/>
  <c r="Y146" i="2"/>
  <c r="AL146" i="2" s="1"/>
  <c r="AU146" i="2" s="1"/>
  <c r="Z146" i="2"/>
  <c r="AJ179" i="2"/>
  <c r="X179" i="2"/>
  <c r="Z179" i="2" s="1"/>
  <c r="AM179" i="2" s="1"/>
  <c r="AV179" i="2" s="1"/>
  <c r="Y179" i="2"/>
  <c r="AL179" i="2" s="1"/>
  <c r="AU179" i="2" s="1"/>
  <c r="Y75" i="2"/>
  <c r="AL75" i="2" s="1"/>
  <c r="AU75" i="2" s="1"/>
  <c r="Z75" i="2"/>
  <c r="AM75" i="2" s="1"/>
  <c r="AV75" i="2" s="1"/>
  <c r="AJ75" i="2"/>
  <c r="X75" i="2"/>
  <c r="AM249" i="2"/>
  <c r="AV249" i="2" s="1"/>
  <c r="AH233" i="2"/>
  <c r="H126" i="2"/>
  <c r="R103" i="2"/>
  <c r="AK103" i="2"/>
  <c r="AG103" i="2" s="1"/>
  <c r="AH101" i="2" s="1"/>
  <c r="AP103" i="2"/>
  <c r="AS103" i="2"/>
  <c r="AT101" i="2" s="1"/>
  <c r="T103" i="2"/>
  <c r="P103" i="2"/>
  <c r="U179" i="2"/>
  <c r="U341" i="2"/>
  <c r="Y341" i="2"/>
  <c r="AL341" i="2" s="1"/>
  <c r="AU341" i="2" s="1"/>
  <c r="F200" i="2"/>
  <c r="G200" i="2"/>
  <c r="AH113" i="2"/>
  <c r="A131" i="2"/>
  <c r="B131" i="2"/>
  <c r="C132" i="2"/>
  <c r="F395" i="2"/>
  <c r="G395" i="2"/>
  <c r="H395" i="2" s="1"/>
  <c r="T44" i="2"/>
  <c r="P44" i="2"/>
  <c r="AP44" i="2"/>
  <c r="AQ44" i="2" s="1"/>
  <c r="F82" i="2"/>
  <c r="G82" i="2"/>
  <c r="H82" i="2" s="1"/>
  <c r="H352" i="2"/>
  <c r="C342" i="2"/>
  <c r="A341" i="2"/>
  <c r="B341" i="2"/>
  <c r="AS342" i="2"/>
  <c r="X403" i="2"/>
  <c r="Z403" i="2"/>
  <c r="Y403" i="2"/>
  <c r="AJ403" i="2"/>
  <c r="F362" i="2"/>
  <c r="G362" i="2"/>
  <c r="H362" i="2" s="1"/>
  <c r="E365" i="2"/>
  <c r="AG402" i="2"/>
  <c r="T85" i="2"/>
  <c r="P85" i="2"/>
  <c r="AP85" i="2"/>
  <c r="AQ83" i="2" s="1"/>
  <c r="AS85" i="2"/>
  <c r="AT83" i="2" s="1"/>
  <c r="U76" i="2"/>
  <c r="I270" i="2"/>
  <c r="J269" i="2"/>
  <c r="H199" i="2"/>
  <c r="H127" i="2"/>
  <c r="R135" i="2"/>
  <c r="AK135" i="2"/>
  <c r="AG135" i="2" s="1"/>
  <c r="T135" i="2"/>
  <c r="U135" i="2" s="1"/>
  <c r="AP135" i="2"/>
  <c r="Y71" i="2"/>
  <c r="AL71" i="2" s="1"/>
  <c r="AU71" i="2" s="1"/>
  <c r="U71" i="2"/>
  <c r="V71" i="2" s="1"/>
  <c r="G381" i="2"/>
  <c r="H381" i="2" s="1"/>
  <c r="F381" i="2"/>
  <c r="F305" i="2"/>
  <c r="G305" i="2"/>
  <c r="A283" i="2"/>
  <c r="B283" i="2"/>
  <c r="C284" i="2"/>
  <c r="AH161" i="2"/>
  <c r="AG33" i="2"/>
  <c r="R342" i="2"/>
  <c r="AK342" i="2"/>
  <c r="P342" i="2"/>
  <c r="A236" i="2"/>
  <c r="B236" i="2"/>
  <c r="C237" i="2"/>
  <c r="G156" i="2"/>
  <c r="H156" i="2" s="1"/>
  <c r="F156" i="2"/>
  <c r="F50" i="2"/>
  <c r="G50" i="2"/>
  <c r="H50" i="2" s="1"/>
  <c r="R236" i="2"/>
  <c r="AK236" i="2"/>
  <c r="AG236" i="2" s="1"/>
  <c r="G291" i="2"/>
  <c r="F291" i="2"/>
  <c r="A101" i="2"/>
  <c r="B101" i="2"/>
  <c r="C102" i="2"/>
  <c r="J136" i="2"/>
  <c r="I137" i="2"/>
  <c r="A35" i="2"/>
  <c r="B35" i="2"/>
  <c r="C36" i="2"/>
  <c r="X56" i="2"/>
  <c r="Y56" i="2"/>
  <c r="AL56" i="2" s="1"/>
  <c r="AU56" i="2" s="1"/>
  <c r="Z56" i="2"/>
  <c r="A326" i="2"/>
  <c r="B326" i="2"/>
  <c r="C327" i="2"/>
  <c r="A71" i="2"/>
  <c r="B71" i="2"/>
  <c r="C72" i="2"/>
  <c r="X372" i="2"/>
  <c r="Z372" i="2" s="1"/>
  <c r="AM372" i="2" s="1"/>
  <c r="AV372" i="2" s="1"/>
  <c r="Y372" i="2"/>
  <c r="AL372" i="2" s="1"/>
  <c r="AU372" i="2" s="1"/>
  <c r="AJ372" i="2"/>
  <c r="AG372" i="2"/>
  <c r="AH371" i="2" s="1"/>
  <c r="AJ371" i="2" s="1"/>
  <c r="X33" i="2"/>
  <c r="Y33" i="2"/>
  <c r="AL33" i="2" s="1"/>
  <c r="AU33" i="2" s="1"/>
  <c r="Z33" i="2"/>
  <c r="AJ33" i="2"/>
  <c r="AM355" i="2"/>
  <c r="AV355" i="2" s="1"/>
  <c r="Z235" i="2"/>
  <c r="AJ235" i="2"/>
  <c r="Y235" i="2"/>
  <c r="AL235" i="2" s="1"/>
  <c r="AU235" i="2" s="1"/>
  <c r="X235" i="2"/>
  <c r="F110" i="2"/>
  <c r="G110" i="2"/>
  <c r="H110" i="2" s="1"/>
  <c r="X76" i="2"/>
  <c r="Y76" i="2"/>
  <c r="Z76" i="2"/>
  <c r="AM76" i="2" s="1"/>
  <c r="AJ76" i="2"/>
  <c r="H247" i="2"/>
  <c r="U403" i="2"/>
  <c r="V401" i="2" s="1"/>
  <c r="X401" i="2" s="1"/>
  <c r="G277" i="2"/>
  <c r="H277" i="2" s="1"/>
  <c r="F277" i="2"/>
  <c r="J298" i="2"/>
  <c r="I299" i="2"/>
  <c r="AG235" i="2"/>
  <c r="A176" i="2"/>
  <c r="B176" i="2"/>
  <c r="C177" i="2"/>
  <c r="H304" i="2"/>
  <c r="A266" i="2"/>
  <c r="B266" i="2"/>
  <c r="C267" i="2"/>
  <c r="G409" i="2"/>
  <c r="F409" i="2"/>
  <c r="E412" i="2"/>
  <c r="R386" i="2"/>
  <c r="AK386" i="2"/>
  <c r="AG386" i="2" s="1"/>
  <c r="AS386" i="2"/>
  <c r="P386" i="2"/>
  <c r="T386" i="2"/>
  <c r="AP386" i="2"/>
  <c r="E7" i="474"/>
  <c r="G39" i="702"/>
  <c r="I7" i="474"/>
  <c r="H7" i="474"/>
  <c r="F39" i="702"/>
  <c r="C39" i="702"/>
  <c r="K7" i="474"/>
  <c r="J7" i="474"/>
  <c r="N39" i="702"/>
  <c r="H39" i="702"/>
  <c r="J313" i="2"/>
  <c r="I314" i="2"/>
  <c r="AS88" i="2"/>
  <c r="AT86" i="2" s="1"/>
  <c r="T88" i="2"/>
  <c r="P88" i="2"/>
  <c r="AP88" i="2"/>
  <c r="AM373" i="2"/>
  <c r="AV373" i="2" s="1"/>
  <c r="H153" i="2"/>
  <c r="AG146" i="2"/>
  <c r="G202" i="2"/>
  <c r="F202" i="2"/>
  <c r="X143" i="2"/>
  <c r="Y143" i="2"/>
  <c r="AL143" i="2" s="1"/>
  <c r="AU143" i="2" s="1"/>
  <c r="Z143" i="2"/>
  <c r="AM143" i="2" s="1"/>
  <c r="AV143" i="2" s="1"/>
  <c r="AG143" i="2"/>
  <c r="AH143" i="2" s="1"/>
  <c r="AJ143" i="2"/>
  <c r="R221" i="2"/>
  <c r="AK221" i="2"/>
  <c r="AS221" i="2"/>
  <c r="T221" i="2"/>
  <c r="AP221" i="2"/>
  <c r="P221" i="2"/>
  <c r="U38" i="705"/>
  <c r="AG134" i="2"/>
  <c r="AM55" i="2"/>
  <c r="AV55" i="2" s="1"/>
  <c r="AM69" i="2"/>
  <c r="AV69" i="2" s="1"/>
  <c r="J343" i="2"/>
  <c r="I344" i="2"/>
  <c r="T342" i="2"/>
  <c r="R268" i="2"/>
  <c r="AK268" i="2"/>
  <c r="AG268" i="2" s="1"/>
  <c r="AH266" i="2" s="1"/>
  <c r="AJ266" i="2" s="1"/>
  <c r="P268" i="2"/>
  <c r="R297" i="2"/>
  <c r="AK297" i="2"/>
  <c r="P297" i="2"/>
  <c r="AS297" i="2"/>
  <c r="AP297" i="2"/>
  <c r="T297" i="2"/>
  <c r="U297" i="2" s="1"/>
  <c r="A386" i="2"/>
  <c r="B386" i="2"/>
  <c r="C387" i="2"/>
  <c r="H95" i="2"/>
  <c r="P74" i="2"/>
  <c r="T74" i="2"/>
  <c r="AS74" i="2"/>
  <c r="AP74" i="2"/>
  <c r="AQ74" i="2" s="1"/>
  <c r="AJ205" i="2"/>
  <c r="Z205" i="2"/>
  <c r="X205" i="2"/>
  <c r="Y205" i="2"/>
  <c r="AL205" i="2" s="1"/>
  <c r="AU205" i="2" s="1"/>
  <c r="C253" i="2"/>
  <c r="A252" i="2"/>
  <c r="B252" i="2"/>
  <c r="X233" i="2"/>
  <c r="Y233" i="2"/>
  <c r="AL233" i="2" s="1"/>
  <c r="AU233" i="2" s="1"/>
  <c r="Z233" i="2"/>
  <c r="AM233" i="2" s="1"/>
  <c r="AV233" i="2" s="1"/>
  <c r="AJ233" i="2"/>
  <c r="Y135" i="2"/>
  <c r="AL135" i="2" s="1"/>
  <c r="AU135" i="2" s="1"/>
  <c r="AJ135" i="2"/>
  <c r="X135" i="2"/>
  <c r="Z135" i="2" s="1"/>
  <c r="AM135" i="2" s="1"/>
  <c r="AV135" i="2" s="1"/>
  <c r="H397" i="2"/>
  <c r="AH218" i="2"/>
  <c r="AJ218" i="2" s="1"/>
  <c r="AM218" i="2" s="1"/>
  <c r="AV218" i="2" s="1"/>
  <c r="F407" i="2"/>
  <c r="G407" i="2"/>
  <c r="H407" i="2" s="1"/>
  <c r="E410" i="2"/>
  <c r="U263" i="2"/>
  <c r="V263" i="2" s="1"/>
  <c r="X263" i="2" s="1"/>
  <c r="AM264" i="2"/>
  <c r="AV264" i="2" s="1"/>
  <c r="C222" i="2"/>
  <c r="A221" i="2"/>
  <c r="B221" i="2"/>
  <c r="J104" i="2"/>
  <c r="I105" i="2"/>
  <c r="X46" i="2"/>
  <c r="Z46" i="2" s="1"/>
  <c r="AM46" i="2" s="1"/>
  <c r="AV46" i="2" s="1"/>
  <c r="Y46" i="2"/>
  <c r="AL46" i="2" s="1"/>
  <c r="AU46" i="2" s="1"/>
  <c r="AG46" i="2"/>
  <c r="X254" i="2"/>
  <c r="Z254" i="2" s="1"/>
  <c r="AM254" i="2" s="1"/>
  <c r="AV254" i="2" s="1"/>
  <c r="Y254" i="2"/>
  <c r="AL254" i="2" s="1"/>
  <c r="AU254" i="2" s="1"/>
  <c r="AJ254" i="2"/>
  <c r="H142" i="2"/>
  <c r="X385" i="2"/>
  <c r="Y385" i="2"/>
  <c r="AL385" i="2" s="1"/>
  <c r="AU385" i="2" s="1"/>
  <c r="AJ385" i="2"/>
  <c r="Z385" i="2"/>
  <c r="AM385" i="2" s="1"/>
  <c r="AV385" i="2" s="1"/>
  <c r="F65" i="2"/>
  <c r="G65" i="2"/>
  <c r="H65" i="2" s="1"/>
  <c r="I78" i="2"/>
  <c r="J77" i="2"/>
  <c r="AM145" i="2"/>
  <c r="AV145" i="2" s="1"/>
  <c r="A356" i="2"/>
  <c r="B356" i="2"/>
  <c r="C357" i="2"/>
  <c r="AP404" i="2"/>
  <c r="P404" i="2"/>
  <c r="Y263" i="2"/>
  <c r="AL263" i="2" s="1"/>
  <c r="AU263" i="2" s="1"/>
  <c r="Z263" i="2"/>
  <c r="AG263" i="2"/>
  <c r="AH263" i="2" s="1"/>
  <c r="AJ263" i="2" s="1"/>
  <c r="C10" i="351"/>
  <c r="R179" i="2"/>
  <c r="AK179" i="2"/>
  <c r="AG179" i="2" s="1"/>
  <c r="U75" i="2"/>
  <c r="AM162" i="2"/>
  <c r="AV162" i="2" s="1"/>
  <c r="AP375" i="2"/>
  <c r="T375" i="2"/>
  <c r="P375" i="2"/>
  <c r="AS375" i="2"/>
  <c r="X402" i="2"/>
  <c r="AJ402" i="2"/>
  <c r="Y402" i="2"/>
  <c r="AL402" i="2" s="1"/>
  <c r="AU402" i="2" s="1"/>
  <c r="Z402" i="2"/>
  <c r="C119" i="2"/>
  <c r="A118" i="2"/>
  <c r="B118" i="2"/>
  <c r="I118" i="2"/>
  <c r="J117" i="2"/>
  <c r="U235" i="2"/>
  <c r="V233" i="2" s="1"/>
  <c r="R74" i="2"/>
  <c r="AK74" i="2"/>
  <c r="G184" i="2"/>
  <c r="F184" i="2"/>
  <c r="E187" i="2"/>
  <c r="H122" i="2"/>
  <c r="X134" i="2"/>
  <c r="Y134" i="2"/>
  <c r="AL134" i="2" s="1"/>
  <c r="AU134" i="2" s="1"/>
  <c r="Z134" i="2"/>
  <c r="AJ134" i="2"/>
  <c r="Y266" i="2"/>
  <c r="AL266" i="2" s="1"/>
  <c r="AU266" i="2" s="1"/>
  <c r="R76" i="2"/>
  <c r="AK76" i="2"/>
  <c r="AG76" i="2" s="1"/>
  <c r="AS76" i="2"/>
  <c r="X115" i="2"/>
  <c r="Y115" i="2"/>
  <c r="AL115" i="2" s="1"/>
  <c r="AU115" i="2" s="1"/>
  <c r="Z115" i="2"/>
  <c r="AJ115" i="2"/>
  <c r="AJ87" i="2"/>
  <c r="X87" i="2"/>
  <c r="Z87" i="2" s="1"/>
  <c r="AM87" i="2" s="1"/>
  <c r="AV87" i="2" s="1"/>
  <c r="Y87" i="2"/>
  <c r="AL87" i="2" s="1"/>
  <c r="AU87" i="2" s="1"/>
  <c r="X220" i="2"/>
  <c r="Y220" i="2"/>
  <c r="AL220" i="2" s="1"/>
  <c r="AU220" i="2" s="1"/>
  <c r="Z220" i="2"/>
  <c r="AJ220" i="2"/>
  <c r="F7" i="902"/>
  <c r="G7" i="902" s="1"/>
  <c r="I7" i="902"/>
  <c r="J7" i="902" s="1"/>
  <c r="N7" i="902" s="1"/>
  <c r="K7" i="902" s="1"/>
  <c r="K39" i="346"/>
  <c r="C403" i="2"/>
  <c r="A402" i="2"/>
  <c r="B402" i="2"/>
  <c r="T236" i="2"/>
  <c r="AK357" i="2"/>
  <c r="R357" i="2"/>
  <c r="AP357" i="2"/>
  <c r="T357" i="2"/>
  <c r="U357" i="2" s="1"/>
  <c r="P357" i="2"/>
  <c r="AS357" i="2"/>
  <c r="X102" i="2"/>
  <c r="Y102" i="2"/>
  <c r="AL102" i="2" s="1"/>
  <c r="AU102" i="2" s="1"/>
  <c r="Z102" i="2"/>
  <c r="AJ102" i="2"/>
  <c r="I195" i="2"/>
  <c r="J194" i="2"/>
  <c r="AG356" i="2"/>
  <c r="F125" i="2"/>
  <c r="G125" i="2"/>
  <c r="H41" i="2"/>
  <c r="G307" i="2"/>
  <c r="F307" i="2"/>
  <c r="AG254" i="2"/>
  <c r="H107" i="2"/>
  <c r="H197" i="2"/>
  <c r="U266" i="2"/>
  <c r="J387" i="2"/>
  <c r="I388" i="2"/>
  <c r="AL296" i="2"/>
  <c r="AU296" i="2" s="1"/>
  <c r="X160" i="2"/>
  <c r="Y160" i="2"/>
  <c r="AL160" i="2" s="1"/>
  <c r="AU160" i="2" s="1"/>
  <c r="Z160" i="2"/>
  <c r="AM160" i="2" s="1"/>
  <c r="AV160" i="2" s="1"/>
  <c r="AJ160" i="2"/>
  <c r="U87" i="2"/>
  <c r="U220" i="2"/>
  <c r="V218" i="2" s="1"/>
  <c r="X267" i="2"/>
  <c r="Z267" i="2" s="1"/>
  <c r="AM267" i="2" s="1"/>
  <c r="AV267" i="2" s="1"/>
  <c r="Y267" i="2"/>
  <c r="AL267" i="2" s="1"/>
  <c r="AU267" i="2" s="1"/>
  <c r="AJ267" i="2"/>
  <c r="U56" i="2"/>
  <c r="R312" i="2"/>
  <c r="AK312" i="2"/>
  <c r="P312" i="2"/>
  <c r="AS312" i="2"/>
  <c r="T312" i="2"/>
  <c r="U312" i="2" s="1"/>
  <c r="AP312" i="2"/>
  <c r="U33" i="2"/>
  <c r="E96" i="2"/>
  <c r="G93" i="2"/>
  <c r="H93" i="2" s="1"/>
  <c r="F93" i="2"/>
  <c r="A56" i="2"/>
  <c r="B56" i="2"/>
  <c r="C57" i="2"/>
  <c r="AM72" i="2"/>
  <c r="AV72" i="2" s="1"/>
  <c r="AK375" i="2"/>
  <c r="R375" i="2"/>
  <c r="I282" i="2"/>
  <c r="J281" i="2"/>
  <c r="F306" i="2"/>
  <c r="G306" i="2"/>
  <c r="H306" i="2" s="1"/>
  <c r="Z32" i="2"/>
  <c r="I181" i="2"/>
  <c r="J180" i="2"/>
  <c r="U353" i="2"/>
  <c r="V353" i="2" s="1"/>
  <c r="X353" i="2" s="1"/>
  <c r="Z353" i="2" s="1"/>
  <c r="AM353" i="2" s="1"/>
  <c r="AV353" i="2" s="1"/>
  <c r="J35" i="2"/>
  <c r="I36" i="2"/>
  <c r="U164" i="2"/>
  <c r="Z192" i="2"/>
  <c r="AM192" i="2" s="1"/>
  <c r="AV192" i="2" s="1"/>
  <c r="AJ192" i="2"/>
  <c r="X192" i="2"/>
  <c r="Y192" i="2"/>
  <c r="AL192" i="2" s="1"/>
  <c r="AU192" i="2" s="1"/>
  <c r="H269" i="2"/>
  <c r="U205" i="2"/>
  <c r="V203" i="2" s="1"/>
  <c r="J237" i="2"/>
  <c r="I238" i="2"/>
  <c r="H149" i="2"/>
  <c r="AT233" i="2"/>
  <c r="AL326" i="2"/>
  <c r="AU326" i="2" s="1"/>
  <c r="AG85" i="2"/>
  <c r="AH83" i="2" s="1"/>
  <c r="Y279" i="2"/>
  <c r="AL279" i="2" s="1"/>
  <c r="AU279" i="2" s="1"/>
  <c r="AJ279" i="2"/>
  <c r="X279" i="2"/>
  <c r="Z279" i="2" s="1"/>
  <c r="AM279" i="2" s="1"/>
  <c r="AV279" i="2" s="1"/>
  <c r="AK280" i="2"/>
  <c r="R280" i="2"/>
  <c r="T280" i="2"/>
  <c r="P280" i="2"/>
  <c r="AS280" i="2"/>
  <c r="AT278" i="2" s="1"/>
  <c r="AP280" i="2"/>
  <c r="AQ278" i="2" s="1"/>
  <c r="R255" i="2"/>
  <c r="AS255" i="2"/>
  <c r="T255" i="2"/>
  <c r="P255" i="2"/>
  <c r="AK255" i="2"/>
  <c r="AG255" i="2" s="1"/>
  <c r="AP255" i="2"/>
  <c r="Y353" i="2"/>
  <c r="AL353" i="2" s="1"/>
  <c r="AU353" i="2" s="1"/>
  <c r="AG353" i="2"/>
  <c r="AH353" i="2" s="1"/>
  <c r="AJ353" i="2" s="1"/>
  <c r="AP34" i="2"/>
  <c r="AQ32" i="2" s="1"/>
  <c r="AK34" i="2"/>
  <c r="AG34" i="2" s="1"/>
  <c r="T34" i="2"/>
  <c r="U34" i="2" s="1"/>
  <c r="P34" i="2"/>
  <c r="AS34" i="2"/>
  <c r="AT32" i="2" s="1"/>
  <c r="AP45" i="2"/>
  <c r="T45" i="2"/>
  <c r="P45" i="2"/>
  <c r="F77" i="2"/>
  <c r="G77" i="2"/>
  <c r="H77" i="2" s="1"/>
  <c r="E80" i="2"/>
  <c r="U143" i="2"/>
  <c r="V143" i="2" s="1"/>
  <c r="A207" i="2"/>
  <c r="B207" i="2"/>
  <c r="C208" i="2"/>
  <c r="H274" i="2"/>
  <c r="T90" i="2"/>
  <c r="AP90" i="2"/>
  <c r="P90" i="2"/>
  <c r="AG90" i="2" s="1"/>
  <c r="AS90" i="2"/>
  <c r="R91" i="2"/>
  <c r="AK91" i="2"/>
  <c r="H246" i="2"/>
  <c r="I257" i="2"/>
  <c r="J256" i="2"/>
  <c r="H273" i="2"/>
  <c r="A296" i="2"/>
  <c r="B296" i="2"/>
  <c r="C297" i="2"/>
  <c r="AK57" i="2"/>
  <c r="AG57" i="2" s="1"/>
  <c r="R57" i="2"/>
  <c r="T57" i="2"/>
  <c r="U57" i="2" s="1"/>
  <c r="AP57" i="2"/>
  <c r="P57" i="2"/>
  <c r="AS57" i="2"/>
  <c r="AL70" i="2"/>
  <c r="AU70" i="2" s="1"/>
  <c r="G141" i="2"/>
  <c r="H141" i="2" s="1"/>
  <c r="F141" i="2"/>
  <c r="F230" i="2"/>
  <c r="G230" i="2"/>
  <c r="H230" i="2" s="1"/>
  <c r="I93" i="2"/>
  <c r="J92" i="2"/>
  <c r="G276" i="2"/>
  <c r="F276" i="2"/>
  <c r="B312" i="2"/>
  <c r="C313" i="2"/>
  <c r="A312" i="2"/>
  <c r="AM73" i="2"/>
  <c r="AV73" i="2" s="1"/>
  <c r="H62" i="2"/>
  <c r="U134" i="2"/>
  <c r="R116" i="2"/>
  <c r="AK116" i="2"/>
  <c r="T116" i="2"/>
  <c r="P116" i="2"/>
  <c r="AS116" i="2"/>
  <c r="AP116" i="2"/>
  <c r="AK327" i="2"/>
  <c r="AG327" i="2" s="1"/>
  <c r="R327" i="2"/>
  <c r="AP327" i="2"/>
  <c r="T327" i="2"/>
  <c r="P327" i="2"/>
  <c r="AS327" i="2"/>
  <c r="Y356" i="2"/>
  <c r="AL356" i="2" s="1"/>
  <c r="AU356" i="2" s="1"/>
  <c r="I167" i="2"/>
  <c r="J166" i="2"/>
  <c r="AM84" i="2"/>
  <c r="AV84" i="2" s="1"/>
  <c r="AP180" i="2"/>
  <c r="T180" i="2"/>
  <c r="J58" i="2"/>
  <c r="I59" i="2"/>
  <c r="AL73" i="2"/>
  <c r="AU73" i="2" s="1"/>
  <c r="A373" i="2"/>
  <c r="B373" i="2"/>
  <c r="C374" i="2"/>
  <c r="Y401" i="2"/>
  <c r="AL401" i="2" s="1"/>
  <c r="AU401" i="2" s="1"/>
  <c r="Z401" i="2"/>
  <c r="AK165" i="2"/>
  <c r="P165" i="2"/>
  <c r="AP165" i="2"/>
  <c r="AS165" i="2"/>
  <c r="T165" i="2"/>
  <c r="G185" i="2"/>
  <c r="F185" i="2"/>
  <c r="R403" i="2"/>
  <c r="AK403" i="2"/>
  <c r="AG403" i="2" s="1"/>
  <c r="H366" i="2"/>
  <c r="AG279" i="2"/>
  <c r="H138" i="2"/>
  <c r="H359" i="2"/>
  <c r="R88" i="2"/>
  <c r="AK88" i="2"/>
  <c r="AJ175" i="2"/>
  <c r="X175" i="2"/>
  <c r="Y175" i="2"/>
  <c r="AL175" i="2" s="1"/>
  <c r="AU175" i="2" s="1"/>
  <c r="Z175" i="2"/>
  <c r="AM175" i="2" s="1"/>
  <c r="AV175" i="2" s="1"/>
  <c r="AG175" i="2"/>
  <c r="AH173" i="2" s="1"/>
  <c r="I223" i="2"/>
  <c r="J222" i="2"/>
  <c r="AQ401" i="2"/>
  <c r="AG75" i="2"/>
  <c r="C162" i="2"/>
  <c r="A161" i="2"/>
  <c r="B161" i="2"/>
  <c r="H182" i="2"/>
  <c r="J404" i="2"/>
  <c r="AS404" i="2" s="1"/>
  <c r="I405" i="2"/>
  <c r="AM293" i="2"/>
  <c r="AV293" i="2" s="1"/>
  <c r="B146" i="2"/>
  <c r="C147" i="2"/>
  <c r="A146" i="2"/>
  <c r="E94" i="2"/>
  <c r="F91" i="2"/>
  <c r="G91" i="2"/>
  <c r="H91" i="2" s="1"/>
  <c r="AG385" i="2"/>
  <c r="AH383" i="2" s="1"/>
  <c r="AJ383" i="2" s="1"/>
  <c r="H5" i="900"/>
  <c r="D119" i="2"/>
  <c r="D36" i="2"/>
  <c r="D57" i="2"/>
  <c r="D374" i="2"/>
  <c r="D208" i="2"/>
  <c r="D192" i="2"/>
  <c r="D88" i="2"/>
  <c r="D297" i="2"/>
  <c r="D72" i="2"/>
  <c r="D102" i="2"/>
  <c r="D342" i="2"/>
  <c r="D162" i="2"/>
  <c r="D357" i="2"/>
  <c r="D267" i="2"/>
  <c r="D132" i="2"/>
  <c r="D177" i="2"/>
  <c r="D284" i="2"/>
  <c r="D327" i="2"/>
  <c r="E8" i="739" a="1"/>
  <c r="D8" i="739" a="1"/>
  <c r="D253" i="2"/>
  <c r="D403" i="2"/>
  <c r="D147" i="2"/>
  <c r="D313" i="2"/>
  <c r="D237" i="2"/>
  <c r="D387" i="2"/>
  <c r="D222" i="2"/>
  <c r="D8" i="739" l="1"/>
  <c r="D13" i="739" s="1"/>
  <c r="E8" i="739"/>
  <c r="E13" i="739" s="1"/>
  <c r="H367" i="2"/>
  <c r="AG165" i="2"/>
  <c r="AM263" i="2"/>
  <c r="AV263" i="2" s="1"/>
  <c r="C223" i="2"/>
  <c r="A222" i="2"/>
  <c r="B222" i="2"/>
  <c r="AH32" i="2"/>
  <c r="S39" i="346" s="1"/>
  <c r="AT89" i="2"/>
  <c r="AM402" i="2"/>
  <c r="AV402" i="2" s="1"/>
  <c r="J137" i="2"/>
  <c r="I138" i="2"/>
  <c r="X193" i="2"/>
  <c r="Y193" i="2"/>
  <c r="AL193" i="2" s="1"/>
  <c r="AU193" i="2" s="1"/>
  <c r="Z193" i="2"/>
  <c r="AJ193" i="2"/>
  <c r="G187" i="2"/>
  <c r="F187" i="2"/>
  <c r="AM235" i="2"/>
  <c r="AV235" i="2" s="1"/>
  <c r="X147" i="2"/>
  <c r="Y147" i="2"/>
  <c r="AL147" i="2" s="1"/>
  <c r="AU147" i="2" s="1"/>
  <c r="Z147" i="2"/>
  <c r="AM147" i="2" s="1"/>
  <c r="AV147" i="2" s="1"/>
  <c r="AJ147" i="2"/>
  <c r="AT56" i="2"/>
  <c r="X165" i="2"/>
  <c r="Y165" i="2"/>
  <c r="AL165" i="2" s="1"/>
  <c r="AU165" i="2" s="1"/>
  <c r="Z165" i="2"/>
  <c r="AM165" i="2" s="1"/>
  <c r="AV165" i="2" s="1"/>
  <c r="AJ165" i="2"/>
  <c r="U236" i="2"/>
  <c r="Y236" i="2"/>
  <c r="AL236" i="2" s="1"/>
  <c r="AU236" i="2" s="1"/>
  <c r="X74" i="2"/>
  <c r="Z74" i="2" s="1"/>
  <c r="AM74" i="2" s="1"/>
  <c r="AV74" i="2" s="1"/>
  <c r="Y74" i="2"/>
  <c r="AL74" i="2" s="1"/>
  <c r="AU74" i="2" s="1"/>
  <c r="I345" i="2"/>
  <c r="J344" i="2"/>
  <c r="U147" i="2"/>
  <c r="I271" i="2"/>
  <c r="J270" i="2"/>
  <c r="P93" i="2"/>
  <c r="AS93" i="2"/>
  <c r="AP93" i="2"/>
  <c r="H125" i="2"/>
  <c r="AH401" i="2"/>
  <c r="AJ401" i="2" s="1"/>
  <c r="AM401" i="2" s="1"/>
  <c r="AV401" i="2" s="1"/>
  <c r="R269" i="2"/>
  <c r="AK269" i="2"/>
  <c r="G96" i="2"/>
  <c r="F96" i="2"/>
  <c r="A387" i="2"/>
  <c r="B387" i="2"/>
  <c r="C388" i="2"/>
  <c r="C238" i="2"/>
  <c r="B237" i="2"/>
  <c r="A237" i="2"/>
  <c r="F365" i="2"/>
  <c r="G365" i="2"/>
  <c r="H365" i="2" s="1"/>
  <c r="C17" i="351"/>
  <c r="V32" i="2"/>
  <c r="L39" i="346" s="1"/>
  <c r="A313" i="2"/>
  <c r="C314" i="2"/>
  <c r="B313" i="2"/>
  <c r="R148" i="2"/>
  <c r="T148" i="2"/>
  <c r="U148" i="2" s="1"/>
  <c r="P148" i="2"/>
  <c r="AP148" i="2"/>
  <c r="AQ146" i="2" s="1"/>
  <c r="AK148" i="2"/>
  <c r="AS148" i="2"/>
  <c r="AT146" i="2" s="1"/>
  <c r="R180" i="2"/>
  <c r="AK180" i="2"/>
  <c r="P180" i="2"/>
  <c r="A147" i="2"/>
  <c r="B147" i="2"/>
  <c r="C148" i="2"/>
  <c r="AS180" i="2"/>
  <c r="J181" i="2"/>
  <c r="I182" i="2"/>
  <c r="G38" i="705"/>
  <c r="H38" i="705"/>
  <c r="N38" i="705"/>
  <c r="J38" i="705"/>
  <c r="F38" i="705"/>
  <c r="A403" i="2"/>
  <c r="B403" i="2"/>
  <c r="C404" i="2"/>
  <c r="AG342" i="2"/>
  <c r="J359" i="2"/>
  <c r="I360" i="2"/>
  <c r="U116" i="2"/>
  <c r="U375" i="2"/>
  <c r="A253" i="2"/>
  <c r="B253" i="2"/>
  <c r="C254" i="2"/>
  <c r="U45" i="2"/>
  <c r="Y297" i="2"/>
  <c r="AL297" i="2" s="1"/>
  <c r="AU297" i="2" s="1"/>
  <c r="AJ297" i="2"/>
  <c r="X297" i="2"/>
  <c r="Z297" i="2" s="1"/>
  <c r="AM297" i="2" s="1"/>
  <c r="AV297" i="2" s="1"/>
  <c r="R313" i="2"/>
  <c r="AK313" i="2"/>
  <c r="P313" i="2"/>
  <c r="AP313" i="2"/>
  <c r="T313" i="2"/>
  <c r="AS313" i="2"/>
  <c r="C328" i="2"/>
  <c r="A327" i="2"/>
  <c r="B327" i="2"/>
  <c r="A284" i="2"/>
  <c r="B284" i="2"/>
  <c r="C285" i="2"/>
  <c r="R328" i="2"/>
  <c r="AK328" i="2"/>
  <c r="AS328" i="2"/>
  <c r="P328" i="2"/>
  <c r="T328" i="2"/>
  <c r="AP328" i="2"/>
  <c r="AQ326" i="2" s="1"/>
  <c r="I209" i="2"/>
  <c r="J208" i="2"/>
  <c r="H272" i="2"/>
  <c r="T149" i="2"/>
  <c r="AQ311" i="2"/>
  <c r="Y404" i="2"/>
  <c r="AL404" i="2" s="1"/>
  <c r="AU404" i="2" s="1"/>
  <c r="X44" i="2"/>
  <c r="Z44" i="2" s="1"/>
  <c r="AM44" i="2" s="1"/>
  <c r="AV44" i="2" s="1"/>
  <c r="Y44" i="2"/>
  <c r="AL44" i="2" s="1"/>
  <c r="AU44" i="2" s="1"/>
  <c r="D11" i="902"/>
  <c r="AJ44" i="2"/>
  <c r="J405" i="2"/>
  <c r="I406" i="2"/>
  <c r="X116" i="2"/>
  <c r="Y116" i="2"/>
  <c r="AL116" i="2" s="1"/>
  <c r="AU116" i="2" s="1"/>
  <c r="Z116" i="2"/>
  <c r="AJ116" i="2"/>
  <c r="F410" i="2"/>
  <c r="G410" i="2"/>
  <c r="H410" i="2" s="1"/>
  <c r="AT311" i="2"/>
  <c r="J314" i="2"/>
  <c r="I315" i="2"/>
  <c r="H291" i="2"/>
  <c r="AM164" i="2"/>
  <c r="AV164" i="2" s="1"/>
  <c r="AG312" i="2"/>
  <c r="AG297" i="2"/>
  <c r="AH296" i="2" s="1"/>
  <c r="AJ296" i="2" s="1"/>
  <c r="X221" i="2"/>
  <c r="Y221" i="2"/>
  <c r="AL221" i="2" s="1"/>
  <c r="AU221" i="2" s="1"/>
  <c r="Z221" i="2"/>
  <c r="H202" i="2"/>
  <c r="B177" i="2"/>
  <c r="A177" i="2"/>
  <c r="C178" i="2"/>
  <c r="AV76" i="2"/>
  <c r="X85" i="2"/>
  <c r="Z85" i="2" s="1"/>
  <c r="AM85" i="2" s="1"/>
  <c r="AV85" i="2" s="1"/>
  <c r="AJ85" i="2"/>
  <c r="Y85" i="2"/>
  <c r="AL85" i="2" s="1"/>
  <c r="AU85" i="2" s="1"/>
  <c r="B132" i="2"/>
  <c r="A132" i="2"/>
  <c r="C133" i="2"/>
  <c r="AM371" i="2"/>
  <c r="AV371" i="2" s="1"/>
  <c r="J329" i="2"/>
  <c r="I330" i="2"/>
  <c r="P207" i="2"/>
  <c r="AK207" i="2"/>
  <c r="AG207" i="2" s="1"/>
  <c r="AS207" i="2"/>
  <c r="T207" i="2"/>
  <c r="U207" i="2" s="1"/>
  <c r="AP207" i="2"/>
  <c r="G412" i="2"/>
  <c r="H412" i="2" s="1"/>
  <c r="F412" i="2"/>
  <c r="J149" i="2"/>
  <c r="AP149" i="2" s="1"/>
  <c r="I150" i="2"/>
  <c r="H185" i="2"/>
  <c r="AM32" i="2"/>
  <c r="P39" i="346"/>
  <c r="X342" i="2"/>
  <c r="Y342" i="2"/>
  <c r="AL342" i="2" s="1"/>
  <c r="AU342" i="2" s="1"/>
  <c r="Z342" i="2"/>
  <c r="AJ342" i="2"/>
  <c r="AG147" i="2"/>
  <c r="U90" i="2"/>
  <c r="A267" i="2"/>
  <c r="C268" i="2"/>
  <c r="B267" i="2"/>
  <c r="AK92" i="2"/>
  <c r="AG92" i="2" s="1"/>
  <c r="R92" i="2"/>
  <c r="J388" i="2"/>
  <c r="I389" i="2"/>
  <c r="X45" i="2"/>
  <c r="Z45" i="2" s="1"/>
  <c r="AM45" i="2" s="1"/>
  <c r="AV45" i="2" s="1"/>
  <c r="Y45" i="2"/>
  <c r="AL45" i="2" s="1"/>
  <c r="AU45" i="2" s="1"/>
  <c r="AJ45" i="2"/>
  <c r="AG45" i="2"/>
  <c r="AK387" i="2"/>
  <c r="AG387" i="2" s="1"/>
  <c r="R387" i="2"/>
  <c r="AS387" i="2"/>
  <c r="T387" i="2"/>
  <c r="U387" i="2" s="1"/>
  <c r="P387" i="2"/>
  <c r="AP387" i="2"/>
  <c r="F275" i="2"/>
  <c r="G275" i="2"/>
  <c r="H275" i="2" s="1"/>
  <c r="P269" i="2"/>
  <c r="T269" i="2"/>
  <c r="U269" i="2" s="1"/>
  <c r="AP269" i="2"/>
  <c r="AS269" i="2"/>
  <c r="I283" i="2"/>
  <c r="J282" i="2"/>
  <c r="A357" i="2"/>
  <c r="B357" i="2"/>
  <c r="C358" i="2"/>
  <c r="X255" i="2"/>
  <c r="Z255" i="2" s="1"/>
  <c r="AM255" i="2" s="1"/>
  <c r="AV255" i="2" s="1"/>
  <c r="Y255" i="2"/>
  <c r="AL255" i="2" s="1"/>
  <c r="AU255" i="2" s="1"/>
  <c r="AJ255" i="2"/>
  <c r="AM220" i="2"/>
  <c r="AV220" i="2" s="1"/>
  <c r="C163" i="2"/>
  <c r="A162" i="2"/>
  <c r="B162" i="2"/>
  <c r="AG88" i="2"/>
  <c r="AH86" i="2" s="1"/>
  <c r="U255" i="2"/>
  <c r="AG375" i="2"/>
  <c r="AL76" i="2"/>
  <c r="AU76" i="2" s="1"/>
  <c r="U85" i="2"/>
  <c r="V83" i="2" s="1"/>
  <c r="C343" i="2"/>
  <c r="A342" i="2"/>
  <c r="B342" i="2"/>
  <c r="AP92" i="2"/>
  <c r="R376" i="2"/>
  <c r="AK376" i="2"/>
  <c r="AG376" i="2" s="1"/>
  <c r="P376" i="2"/>
  <c r="T376" i="2"/>
  <c r="AS376" i="2"/>
  <c r="AP376" i="2"/>
  <c r="R343" i="2"/>
  <c r="AK343" i="2"/>
  <c r="T343" i="2"/>
  <c r="P343" i="2"/>
  <c r="AP343" i="2"/>
  <c r="AQ341" i="2" s="1"/>
  <c r="AS343" i="2"/>
  <c r="AT341" i="2" s="1"/>
  <c r="G245" i="2"/>
  <c r="F245" i="2"/>
  <c r="A102" i="2"/>
  <c r="B102" i="2"/>
  <c r="C103" i="2"/>
  <c r="I239" i="2"/>
  <c r="J238" i="2"/>
  <c r="AT374" i="2"/>
  <c r="A72" i="2"/>
  <c r="B72" i="2"/>
  <c r="C73" i="2"/>
  <c r="F155" i="2"/>
  <c r="G155" i="2"/>
  <c r="H155" i="2" s="1"/>
  <c r="R404" i="2"/>
  <c r="AK404" i="2"/>
  <c r="AG404" i="2" s="1"/>
  <c r="A297" i="2"/>
  <c r="B297" i="2"/>
  <c r="C298" i="2"/>
  <c r="X312" i="2"/>
  <c r="Y312" i="2"/>
  <c r="AL312" i="2" s="1"/>
  <c r="AU312" i="2" s="1"/>
  <c r="Z312" i="2"/>
  <c r="AM312" i="2" s="1"/>
  <c r="AV312" i="2" s="1"/>
  <c r="AJ312" i="2"/>
  <c r="R256" i="2"/>
  <c r="AK256" i="2"/>
  <c r="P256" i="2"/>
  <c r="AS256" i="2"/>
  <c r="AT254" i="2" s="1"/>
  <c r="T256" i="2"/>
  <c r="U256" i="2" s="1"/>
  <c r="AP256" i="2"/>
  <c r="AQ254" i="2" s="1"/>
  <c r="X357" i="2"/>
  <c r="Z357" i="2" s="1"/>
  <c r="AM357" i="2" s="1"/>
  <c r="AV357" i="2" s="1"/>
  <c r="Y357" i="2"/>
  <c r="AL357" i="2" s="1"/>
  <c r="AU357" i="2" s="1"/>
  <c r="AJ357" i="2"/>
  <c r="R117" i="2"/>
  <c r="AK117" i="2"/>
  <c r="T117" i="2"/>
  <c r="P117" i="2"/>
  <c r="AS117" i="2"/>
  <c r="AP117" i="2"/>
  <c r="AM205" i="2"/>
  <c r="AV205" i="2" s="1"/>
  <c r="Y268" i="2"/>
  <c r="AL268" i="2" s="1"/>
  <c r="AU268" i="2" s="1"/>
  <c r="Z268" i="2"/>
  <c r="AM268" i="2" s="1"/>
  <c r="AV268" i="2" s="1"/>
  <c r="AJ268" i="2"/>
  <c r="X268" i="2"/>
  <c r="U221" i="2"/>
  <c r="T92" i="2"/>
  <c r="U92" i="2" s="1"/>
  <c r="J377" i="2"/>
  <c r="I378" i="2"/>
  <c r="AG206" i="2"/>
  <c r="R136" i="2"/>
  <c r="AK136" i="2"/>
  <c r="AP136" i="2"/>
  <c r="AQ134" i="2" s="1"/>
  <c r="AS136" i="2"/>
  <c r="AT134" i="2" s="1"/>
  <c r="T136" i="2"/>
  <c r="P136" i="2"/>
  <c r="AJ280" i="2"/>
  <c r="X280" i="2"/>
  <c r="Z280" i="2" s="1"/>
  <c r="AM280" i="2" s="1"/>
  <c r="AV280" i="2" s="1"/>
  <c r="Y280" i="2"/>
  <c r="AL280" i="2" s="1"/>
  <c r="AU280" i="2" s="1"/>
  <c r="AK166" i="2"/>
  <c r="AG166" i="2" s="1"/>
  <c r="AH164" i="2" s="1"/>
  <c r="T166" i="2"/>
  <c r="U166" i="2" s="1"/>
  <c r="V164" i="2" s="1"/>
  <c r="AP166" i="2"/>
  <c r="AQ164" i="2" s="1"/>
  <c r="AS166" i="2"/>
  <c r="AT164" i="2" s="1"/>
  <c r="P166" i="2"/>
  <c r="AK194" i="2"/>
  <c r="AG194" i="2" s="1"/>
  <c r="AP194" i="2"/>
  <c r="AS194" i="2"/>
  <c r="T194" i="2"/>
  <c r="P194" i="2"/>
  <c r="AG74" i="2"/>
  <c r="AH74" i="2" s="1"/>
  <c r="AJ74" i="2" s="1"/>
  <c r="AP77" i="2"/>
  <c r="AS77" i="2"/>
  <c r="T77" i="2"/>
  <c r="U44" i="2"/>
  <c r="V44" i="2" s="1"/>
  <c r="T404" i="2"/>
  <c r="U404" i="2" s="1"/>
  <c r="Z178" i="2"/>
  <c r="AJ178" i="2"/>
  <c r="X178" i="2"/>
  <c r="Y178" i="2"/>
  <c r="AL178" i="2" s="1"/>
  <c r="AU178" i="2" s="1"/>
  <c r="AG116" i="2"/>
  <c r="R281" i="2"/>
  <c r="AK281" i="2"/>
  <c r="AS281" i="2"/>
  <c r="T281" i="2"/>
  <c r="P281" i="2"/>
  <c r="AP281" i="2"/>
  <c r="P91" i="2"/>
  <c r="AG91" i="2" s="1"/>
  <c r="AH89" i="2" s="1"/>
  <c r="AP91" i="2"/>
  <c r="AQ89" i="2" s="1"/>
  <c r="AS91" i="2"/>
  <c r="T91" i="2"/>
  <c r="J257" i="2"/>
  <c r="I258" i="2"/>
  <c r="J118" i="2"/>
  <c r="I119" i="2"/>
  <c r="AG178" i="2"/>
  <c r="AH176" i="2" s="1"/>
  <c r="R77" i="2"/>
  <c r="AK77" i="2"/>
  <c r="AG77" i="2" s="1"/>
  <c r="X103" i="2"/>
  <c r="Y103" i="2"/>
  <c r="AL103" i="2" s="1"/>
  <c r="AU103" i="2" s="1"/>
  <c r="Z103" i="2"/>
  <c r="AM103" i="2" s="1"/>
  <c r="AV103" i="2" s="1"/>
  <c r="AJ103" i="2"/>
  <c r="AS92" i="2"/>
  <c r="A88" i="2"/>
  <c r="B88" i="2"/>
  <c r="C89" i="2"/>
  <c r="C193" i="2"/>
  <c r="A192" i="2"/>
  <c r="B192" i="2"/>
  <c r="H276" i="2"/>
  <c r="U193" i="2"/>
  <c r="V191" i="2" s="1"/>
  <c r="U280" i="2"/>
  <c r="V278" i="2" s="1"/>
  <c r="X278" i="2" s="1"/>
  <c r="Z278" i="2" s="1"/>
  <c r="AM115" i="2"/>
  <c r="AV115" i="2" s="1"/>
  <c r="AM33" i="2"/>
  <c r="AV33" i="2" s="1"/>
  <c r="AG280" i="2"/>
  <c r="AH278" i="2" s="1"/>
  <c r="AJ278" i="2" s="1"/>
  <c r="I94" i="2"/>
  <c r="J93" i="2"/>
  <c r="T93" i="2" s="1"/>
  <c r="U93" i="2" s="1"/>
  <c r="AQ374" i="2"/>
  <c r="P359" i="2"/>
  <c r="T359" i="2"/>
  <c r="U359" i="2" s="1"/>
  <c r="AP359" i="2"/>
  <c r="AS359" i="2"/>
  <c r="A208" i="2"/>
  <c r="B208" i="2"/>
  <c r="C209" i="2"/>
  <c r="R222" i="2"/>
  <c r="AK222" i="2"/>
  <c r="P222" i="2"/>
  <c r="T222" i="2"/>
  <c r="U222" i="2" s="1"/>
  <c r="AS222" i="2"/>
  <c r="AP222" i="2"/>
  <c r="U165" i="2"/>
  <c r="A374" i="2"/>
  <c r="B374" i="2"/>
  <c r="C375" i="2"/>
  <c r="I60" i="2"/>
  <c r="J59" i="2"/>
  <c r="AT326" i="2"/>
  <c r="C58" i="2"/>
  <c r="A57" i="2"/>
  <c r="B57" i="2"/>
  <c r="AM134" i="2"/>
  <c r="AV134" i="2" s="1"/>
  <c r="J78" i="2"/>
  <c r="I79" i="2"/>
  <c r="AG221" i="2"/>
  <c r="U386" i="2"/>
  <c r="J299" i="2"/>
  <c r="I300" i="2"/>
  <c r="H305" i="2"/>
  <c r="U103" i="2"/>
  <c r="V101" i="2" s="1"/>
  <c r="P92" i="2"/>
  <c r="AJ206" i="2"/>
  <c r="X206" i="2"/>
  <c r="Y206" i="2"/>
  <c r="AL206" i="2" s="1"/>
  <c r="AU206" i="2" s="1"/>
  <c r="Z206" i="2"/>
  <c r="AM206" i="2" s="1"/>
  <c r="AV206" i="2" s="1"/>
  <c r="X90" i="2"/>
  <c r="Y90" i="2"/>
  <c r="AL90" i="2" s="1"/>
  <c r="AU90" i="2" s="1"/>
  <c r="Z90" i="2"/>
  <c r="AJ90" i="2"/>
  <c r="H184" i="2"/>
  <c r="AK358" i="2"/>
  <c r="AG358" i="2" s="1"/>
  <c r="R358" i="2"/>
  <c r="T358" i="2"/>
  <c r="U358" i="2" s="1"/>
  <c r="V356" i="2" s="1"/>
  <c r="X356" i="2" s="1"/>
  <c r="Z356" i="2" s="1"/>
  <c r="AM356" i="2" s="1"/>
  <c r="AV356" i="2" s="1"/>
  <c r="P358" i="2"/>
  <c r="AS358" i="2"/>
  <c r="AT356" i="2" s="1"/>
  <c r="AP358" i="2"/>
  <c r="AQ356" i="2" s="1"/>
  <c r="J195" i="2"/>
  <c r="I196" i="2"/>
  <c r="AQ296" i="2"/>
  <c r="AM102" i="2"/>
  <c r="AV102" i="2" s="1"/>
  <c r="J223" i="2"/>
  <c r="I224" i="2"/>
  <c r="R58" i="2"/>
  <c r="AK58" i="2"/>
  <c r="AG58" i="2" s="1"/>
  <c r="AH56" i="2" s="1"/>
  <c r="AJ56" i="2" s="1"/>
  <c r="AM56" i="2" s="1"/>
  <c r="AV56" i="2" s="1"/>
  <c r="T58" i="2"/>
  <c r="U58" i="2" s="1"/>
  <c r="V56" i="2" s="1"/>
  <c r="AP58" i="2"/>
  <c r="AQ56" i="2" s="1"/>
  <c r="P58" i="2"/>
  <c r="AS58" i="2"/>
  <c r="J36" i="2"/>
  <c r="I37" i="2"/>
  <c r="AT74" i="2"/>
  <c r="X88" i="2"/>
  <c r="Z88" i="2" s="1"/>
  <c r="AM88" i="2" s="1"/>
  <c r="AV88" i="2" s="1"/>
  <c r="Y88" i="2"/>
  <c r="AL88" i="2" s="1"/>
  <c r="AU88" i="2" s="1"/>
  <c r="AJ88" i="2"/>
  <c r="Y386" i="2"/>
  <c r="AL386" i="2" s="1"/>
  <c r="AU386" i="2" s="1"/>
  <c r="AK298" i="2"/>
  <c r="AG298" i="2" s="1"/>
  <c r="R298" i="2"/>
  <c r="AP298" i="2"/>
  <c r="T298" i="2"/>
  <c r="P298" i="2"/>
  <c r="AS298" i="2"/>
  <c r="AT296" i="2" s="1"/>
  <c r="C37" i="2"/>
  <c r="A36" i="2"/>
  <c r="B36" i="2"/>
  <c r="AG44" i="2"/>
  <c r="AH356" i="2"/>
  <c r="AJ356" i="2" s="1"/>
  <c r="G80" i="2"/>
  <c r="H80" i="2" s="1"/>
  <c r="F80" i="2"/>
  <c r="H409" i="2"/>
  <c r="AL403" i="2"/>
  <c r="AU403" i="2" s="1"/>
  <c r="AG193" i="2"/>
  <c r="AH191" i="2" s="1"/>
  <c r="I168" i="2"/>
  <c r="J167" i="2"/>
  <c r="P237" i="2"/>
  <c r="R237" i="2"/>
  <c r="AS237" i="2"/>
  <c r="T237" i="2"/>
  <c r="U237" i="2" s="1"/>
  <c r="AK237" i="2"/>
  <c r="AP237" i="2"/>
  <c r="X375" i="2"/>
  <c r="Y375" i="2"/>
  <c r="AL375" i="2" s="1"/>
  <c r="AU375" i="2" s="1"/>
  <c r="Z375" i="2"/>
  <c r="AM375" i="2" s="1"/>
  <c r="AV375" i="2" s="1"/>
  <c r="AJ375" i="2"/>
  <c r="AM403" i="2"/>
  <c r="AV403" i="2" s="1"/>
  <c r="E97" i="2"/>
  <c r="G94" i="2"/>
  <c r="F94" i="2"/>
  <c r="X327" i="2"/>
  <c r="Z327" i="2" s="1"/>
  <c r="AM327" i="2" s="1"/>
  <c r="AV327" i="2" s="1"/>
  <c r="Y327" i="2"/>
  <c r="AL327" i="2" s="1"/>
  <c r="AU327" i="2" s="1"/>
  <c r="AJ327" i="2"/>
  <c r="I106" i="2"/>
  <c r="J105" i="2"/>
  <c r="U342" i="2"/>
  <c r="U327" i="2"/>
  <c r="AJ57" i="2"/>
  <c r="Y57" i="2"/>
  <c r="AL57" i="2" s="1"/>
  <c r="AU57" i="2" s="1"/>
  <c r="X57" i="2"/>
  <c r="Z57" i="2" s="1"/>
  <c r="AM57" i="2" s="1"/>
  <c r="AV57" i="2" s="1"/>
  <c r="X34" i="2"/>
  <c r="Y34" i="2"/>
  <c r="AL34" i="2" s="1"/>
  <c r="AU34" i="2" s="1"/>
  <c r="Z34" i="2"/>
  <c r="AJ34" i="2"/>
  <c r="AK35" i="2"/>
  <c r="Q39" i="702" s="1"/>
  <c r="AS35" i="2"/>
  <c r="P35" i="2"/>
  <c r="I38" i="705" s="1"/>
  <c r="AP35" i="2"/>
  <c r="T35" i="2"/>
  <c r="H307" i="2"/>
  <c r="AG357" i="2"/>
  <c r="C120" i="2"/>
  <c r="A119" i="2"/>
  <c r="B119" i="2"/>
  <c r="R104" i="2"/>
  <c r="AK104" i="2"/>
  <c r="AP104" i="2"/>
  <c r="AS104" i="2"/>
  <c r="P104" i="2"/>
  <c r="T104" i="2"/>
  <c r="U104" i="2" s="1"/>
  <c r="U74" i="2"/>
  <c r="V74" i="2" s="1"/>
  <c r="U88" i="2"/>
  <c r="V86" i="2" s="1"/>
  <c r="I39" i="702"/>
  <c r="U39" i="702"/>
  <c r="X39" i="702"/>
  <c r="H200" i="2"/>
  <c r="U268" i="2"/>
  <c r="V266" i="2" s="1"/>
  <c r="X266" i="2" s="1"/>
  <c r="Z266" i="2" s="1"/>
  <c r="AM266" i="2" s="1"/>
  <c r="AV266" i="2" s="1"/>
  <c r="D404" i="2"/>
  <c r="D328" i="2"/>
  <c r="D238" i="2"/>
  <c r="D268" i="2"/>
  <c r="D89" i="2"/>
  <c r="D58" i="2"/>
  <c r="D133" i="2"/>
  <c r="D343" i="2"/>
  <c r="D193" i="2"/>
  <c r="D375" i="2"/>
  <c r="D388" i="2"/>
  <c r="D254" i="2"/>
  <c r="D223" i="2"/>
  <c r="D209" i="2"/>
  <c r="D358" i="2"/>
  <c r="D103" i="2"/>
  <c r="D73" i="2"/>
  <c r="D163" i="2"/>
  <c r="D148" i="2"/>
  <c r="D178" i="2"/>
  <c r="D285" i="2"/>
  <c r="D37" i="2"/>
  <c r="D120" i="2"/>
  <c r="D298" i="2"/>
  <c r="D314" i="2"/>
  <c r="AT221" i="2" l="1"/>
  <c r="I225" i="2"/>
  <c r="J224" i="2"/>
  <c r="J182" i="2"/>
  <c r="I183" i="2"/>
  <c r="A314" i="2"/>
  <c r="C315" i="2"/>
  <c r="B314" i="2"/>
  <c r="AK344" i="2"/>
  <c r="R344" i="2"/>
  <c r="P344" i="2"/>
  <c r="AP344" i="2"/>
  <c r="AS344" i="2"/>
  <c r="T344" i="2"/>
  <c r="U344" i="2" s="1"/>
  <c r="H94" i="2"/>
  <c r="AQ236" i="2"/>
  <c r="AG222" i="2"/>
  <c r="U91" i="2"/>
  <c r="A298" i="2"/>
  <c r="B298" i="2"/>
  <c r="C299" i="2"/>
  <c r="AK282" i="2"/>
  <c r="R282" i="2"/>
  <c r="T282" i="2"/>
  <c r="P282" i="2"/>
  <c r="AS282" i="2"/>
  <c r="AP282" i="2"/>
  <c r="V89" i="2"/>
  <c r="R181" i="2"/>
  <c r="AK181" i="2"/>
  <c r="AP181" i="2"/>
  <c r="AQ179" i="2" s="1"/>
  <c r="P181" i="2"/>
  <c r="AS181" i="2"/>
  <c r="AT179" i="2" s="1"/>
  <c r="T181" i="2"/>
  <c r="U181" i="2" s="1"/>
  <c r="J345" i="2"/>
  <c r="I346" i="2"/>
  <c r="G97" i="2"/>
  <c r="F97" i="2"/>
  <c r="AG237" i="2"/>
  <c r="AH236" i="2" s="1"/>
  <c r="AJ236" i="2" s="1"/>
  <c r="AM236" i="2" s="1"/>
  <c r="AV236" i="2" s="1"/>
  <c r="H245" i="2"/>
  <c r="J283" i="2"/>
  <c r="I284" i="2"/>
  <c r="X207" i="2"/>
  <c r="Y207" i="2"/>
  <c r="AL207" i="2" s="1"/>
  <c r="AU207" i="2" s="1"/>
  <c r="Z207" i="2"/>
  <c r="AJ207" i="2"/>
  <c r="U328" i="2"/>
  <c r="R223" i="2"/>
  <c r="AK223" i="2"/>
  <c r="AG223" i="2" s="1"/>
  <c r="P223" i="2"/>
  <c r="T223" i="2"/>
  <c r="U223" i="2" s="1"/>
  <c r="AP223" i="2"/>
  <c r="AQ221" i="2" s="1"/>
  <c r="AS223" i="2"/>
  <c r="AH44" i="2"/>
  <c r="AG104" i="2"/>
  <c r="AH221" i="2"/>
  <c r="AJ221" i="2" s="1"/>
  <c r="AM221" i="2" s="1"/>
  <c r="AV221" i="2" s="1"/>
  <c r="J60" i="2"/>
  <c r="I61" i="2"/>
  <c r="J315" i="2"/>
  <c r="I316" i="2"/>
  <c r="X180" i="2"/>
  <c r="Z180" i="2" s="1"/>
  <c r="AM180" i="2" s="1"/>
  <c r="AV180" i="2" s="1"/>
  <c r="Y180" i="2"/>
  <c r="AL180" i="2" s="1"/>
  <c r="AU180" i="2" s="1"/>
  <c r="AJ180" i="2"/>
  <c r="AM193" i="2"/>
  <c r="AV193" i="2" s="1"/>
  <c r="C121" i="2"/>
  <c r="A120" i="2"/>
  <c r="B120" i="2"/>
  <c r="AK167" i="2"/>
  <c r="AP167" i="2"/>
  <c r="AS167" i="2"/>
  <c r="P167" i="2"/>
  <c r="T167" i="2"/>
  <c r="U167" i="2" s="1"/>
  <c r="C38" i="2"/>
  <c r="B37" i="2"/>
  <c r="A37" i="2"/>
  <c r="AK195" i="2"/>
  <c r="AG195" i="2" s="1"/>
  <c r="P195" i="2"/>
  <c r="AP195" i="2"/>
  <c r="T195" i="2"/>
  <c r="AS195" i="2"/>
  <c r="U281" i="2"/>
  <c r="X194" i="2"/>
  <c r="Z194" i="2" s="1"/>
  <c r="AM194" i="2" s="1"/>
  <c r="AV194" i="2" s="1"/>
  <c r="Y194" i="2"/>
  <c r="AL194" i="2" s="1"/>
  <c r="AU194" i="2" s="1"/>
  <c r="AJ194" i="2"/>
  <c r="U136" i="2"/>
  <c r="V134" i="2" s="1"/>
  <c r="Y117" i="2"/>
  <c r="AL117" i="2" s="1"/>
  <c r="AU117" i="2" s="1"/>
  <c r="Z117" i="2"/>
  <c r="AM117" i="2" s="1"/>
  <c r="AV117" i="2" s="1"/>
  <c r="AJ117" i="2"/>
  <c r="X117" i="2"/>
  <c r="AG256" i="2"/>
  <c r="AH254" i="2" s="1"/>
  <c r="U343" i="2"/>
  <c r="V341" i="2" s="1"/>
  <c r="X341" i="2" s="1"/>
  <c r="Z341" i="2" s="1"/>
  <c r="D10" i="351"/>
  <c r="R314" i="2"/>
  <c r="P314" i="2"/>
  <c r="T314" i="2"/>
  <c r="U314" i="2" s="1"/>
  <c r="AP314" i="2"/>
  <c r="AS314" i="2"/>
  <c r="AK314" i="2"/>
  <c r="I407" i="2"/>
  <c r="J406" i="2"/>
  <c r="AS149" i="2"/>
  <c r="A285" i="2"/>
  <c r="C286" i="2"/>
  <c r="B285" i="2"/>
  <c r="AG180" i="2"/>
  <c r="R105" i="2"/>
  <c r="AK105" i="2"/>
  <c r="AP105" i="2"/>
  <c r="T105" i="2"/>
  <c r="P105" i="2"/>
  <c r="AS105" i="2"/>
  <c r="C179" i="2"/>
  <c r="A178" i="2"/>
  <c r="B178" i="2"/>
  <c r="AM178" i="2"/>
  <c r="AV178" i="2" s="1"/>
  <c r="H187" i="2"/>
  <c r="AM34" i="2"/>
  <c r="AV34" i="2" s="1"/>
  <c r="Y222" i="2"/>
  <c r="AL222" i="2" s="1"/>
  <c r="AU222" i="2" s="1"/>
  <c r="AJ222" i="2"/>
  <c r="X222" i="2"/>
  <c r="Z222" i="2" s="1"/>
  <c r="AM222" i="2" s="1"/>
  <c r="AV222" i="2" s="1"/>
  <c r="B148" i="2"/>
  <c r="C149" i="2"/>
  <c r="A148" i="2"/>
  <c r="Y91" i="2"/>
  <c r="AL91" i="2" s="1"/>
  <c r="AU91" i="2" s="1"/>
  <c r="X91" i="2"/>
  <c r="Z91" i="2" s="1"/>
  <c r="AM91" i="2" s="1"/>
  <c r="AV91" i="2" s="1"/>
  <c r="AJ91" i="2"/>
  <c r="AM116" i="2"/>
  <c r="AV116" i="2" s="1"/>
  <c r="AM278" i="2"/>
  <c r="AV278" i="2" s="1"/>
  <c r="Y281" i="2"/>
  <c r="AL281" i="2" s="1"/>
  <c r="AU281" i="2" s="1"/>
  <c r="C164" i="2"/>
  <c r="A163" i="2"/>
  <c r="B163" i="2"/>
  <c r="V236" i="2"/>
  <c r="V326" i="2"/>
  <c r="X326" i="2" s="1"/>
  <c r="Z326" i="2" s="1"/>
  <c r="J168" i="2"/>
  <c r="I169" i="2"/>
  <c r="X92" i="2"/>
  <c r="Z92" i="2" s="1"/>
  <c r="Y92" i="2"/>
  <c r="AL92" i="2" s="1"/>
  <c r="AU92" i="2" s="1"/>
  <c r="I120" i="2"/>
  <c r="J119" i="2"/>
  <c r="U194" i="2"/>
  <c r="U117" i="2"/>
  <c r="C74" i="2"/>
  <c r="B73" i="2"/>
  <c r="A73" i="2"/>
  <c r="AG343" i="2"/>
  <c r="AV32" i="2"/>
  <c r="AA39" i="346" s="1"/>
  <c r="W39" i="346"/>
  <c r="R405" i="2"/>
  <c r="AK405" i="2"/>
  <c r="P405" i="2"/>
  <c r="T405" i="2"/>
  <c r="U405" i="2" s="1"/>
  <c r="AP405" i="2"/>
  <c r="AS405" i="2"/>
  <c r="P149" i="2"/>
  <c r="U180" i="2"/>
  <c r="V179" i="2" s="1"/>
  <c r="R270" i="2"/>
  <c r="AK270" i="2"/>
  <c r="AP270" i="2"/>
  <c r="T270" i="2"/>
  <c r="U270" i="2" s="1"/>
  <c r="P270" i="2"/>
  <c r="AS270" i="2"/>
  <c r="I259" i="2"/>
  <c r="J258" i="2"/>
  <c r="R377" i="2"/>
  <c r="AK377" i="2"/>
  <c r="AP377" i="2"/>
  <c r="P377" i="2"/>
  <c r="T377" i="2"/>
  <c r="U377" i="2" s="1"/>
  <c r="AS377" i="2"/>
  <c r="B103" i="2"/>
  <c r="A103" i="2"/>
  <c r="C104" i="2"/>
  <c r="C359" i="2"/>
  <c r="B358" i="2"/>
  <c r="A358" i="2"/>
  <c r="AM90" i="2"/>
  <c r="AV90" i="2" s="1"/>
  <c r="A209" i="2"/>
  <c r="B209" i="2"/>
  <c r="C210" i="2"/>
  <c r="AM342" i="2"/>
  <c r="AV342" i="2" s="1"/>
  <c r="I80" i="2"/>
  <c r="J79" i="2"/>
  <c r="X343" i="2"/>
  <c r="Z343" i="2" s="1"/>
  <c r="AM343" i="2" s="1"/>
  <c r="AV343" i="2" s="1"/>
  <c r="Y343" i="2"/>
  <c r="AL343" i="2" s="1"/>
  <c r="AU343" i="2" s="1"/>
  <c r="AJ343" i="2"/>
  <c r="Z298" i="2"/>
  <c r="AM298" i="2" s="1"/>
  <c r="AV298" i="2" s="1"/>
  <c r="X298" i="2"/>
  <c r="Y298" i="2"/>
  <c r="AL298" i="2" s="1"/>
  <c r="AU298" i="2" s="1"/>
  <c r="AJ298" i="2"/>
  <c r="AJ58" i="2"/>
  <c r="X58" i="2"/>
  <c r="Y58" i="2"/>
  <c r="AL58" i="2" s="1"/>
  <c r="AU58" i="2" s="1"/>
  <c r="Z58" i="2"/>
  <c r="AK118" i="2"/>
  <c r="R118" i="2"/>
  <c r="AP118" i="2"/>
  <c r="AQ116" i="2" s="1"/>
  <c r="AS118" i="2"/>
  <c r="AT116" i="2" s="1"/>
  <c r="T118" i="2"/>
  <c r="P118" i="2"/>
  <c r="AG281" i="2"/>
  <c r="AG117" i="2"/>
  <c r="I390" i="2"/>
  <c r="J389" i="2"/>
  <c r="U313" i="2"/>
  <c r="V311" i="2" s="1"/>
  <c r="X311" i="2" s="1"/>
  <c r="Z311" i="2" s="1"/>
  <c r="I361" i="2"/>
  <c r="J360" i="2"/>
  <c r="H96" i="2"/>
  <c r="J271" i="2"/>
  <c r="I272" i="2"/>
  <c r="I139" i="2"/>
  <c r="J138" i="2"/>
  <c r="AG35" i="2"/>
  <c r="Q38" i="705"/>
  <c r="AK208" i="2"/>
  <c r="AG208" i="2" s="1"/>
  <c r="AS208" i="2"/>
  <c r="AT206" i="2" s="1"/>
  <c r="AP208" i="2"/>
  <c r="AQ206" i="2" s="1"/>
  <c r="T208" i="2"/>
  <c r="P208" i="2"/>
  <c r="AK59" i="2"/>
  <c r="T59" i="2"/>
  <c r="AP59" i="2"/>
  <c r="AS59" i="2"/>
  <c r="P59" i="2"/>
  <c r="I197" i="2"/>
  <c r="J196" i="2"/>
  <c r="C224" i="2"/>
  <c r="A223" i="2"/>
  <c r="B223" i="2"/>
  <c r="U35" i="2"/>
  <c r="J39" i="702"/>
  <c r="U298" i="2"/>
  <c r="V296" i="2" s="1"/>
  <c r="X296" i="2" s="1"/>
  <c r="Z296" i="2" s="1"/>
  <c r="AM296" i="2" s="1"/>
  <c r="AV296" i="2" s="1"/>
  <c r="Y358" i="2"/>
  <c r="AL358" i="2" s="1"/>
  <c r="AU358" i="2" s="1"/>
  <c r="Z358" i="2"/>
  <c r="AM358" i="2" s="1"/>
  <c r="AV358" i="2" s="1"/>
  <c r="AJ358" i="2"/>
  <c r="X358" i="2"/>
  <c r="Y359" i="2"/>
  <c r="AG136" i="2"/>
  <c r="AH134" i="2" s="1"/>
  <c r="Y387" i="2"/>
  <c r="AL387" i="2" s="1"/>
  <c r="AU387" i="2" s="1"/>
  <c r="AJ387" i="2"/>
  <c r="X387" i="2"/>
  <c r="Z387" i="2" s="1"/>
  <c r="AM387" i="2" s="1"/>
  <c r="AV387" i="2" s="1"/>
  <c r="R388" i="2"/>
  <c r="AK388" i="2"/>
  <c r="P388" i="2"/>
  <c r="AP388" i="2"/>
  <c r="AQ386" i="2" s="1"/>
  <c r="AS388" i="2"/>
  <c r="AT386" i="2" s="1"/>
  <c r="T388" i="2"/>
  <c r="U388" i="2" s="1"/>
  <c r="I151" i="2"/>
  <c r="J150" i="2"/>
  <c r="I11" i="902"/>
  <c r="F11" i="902"/>
  <c r="G11" i="902" s="1"/>
  <c r="R359" i="2"/>
  <c r="AK359" i="2"/>
  <c r="AG359" i="2" s="1"/>
  <c r="AG148" i="2"/>
  <c r="AH146" i="2" s="1"/>
  <c r="AJ146" i="2" s="1"/>
  <c r="AM146" i="2" s="1"/>
  <c r="AV146" i="2" s="1"/>
  <c r="AG269" i="2"/>
  <c r="R137" i="2"/>
  <c r="AK137" i="2"/>
  <c r="AG137" i="2" s="1"/>
  <c r="T137" i="2"/>
  <c r="U137" i="2" s="1"/>
  <c r="AS137" i="2"/>
  <c r="AP137" i="2"/>
  <c r="P137" i="2"/>
  <c r="I107" i="2"/>
  <c r="J106" i="2"/>
  <c r="R329" i="2"/>
  <c r="AK329" i="2"/>
  <c r="AS329" i="2"/>
  <c r="P329" i="2"/>
  <c r="T329" i="2"/>
  <c r="AP329" i="2"/>
  <c r="A254" i="2"/>
  <c r="B254" i="2"/>
  <c r="C255" i="2"/>
  <c r="C389" i="2"/>
  <c r="B388" i="2"/>
  <c r="A388" i="2"/>
  <c r="AJ237" i="2"/>
  <c r="X237" i="2"/>
  <c r="Z237" i="2" s="1"/>
  <c r="AM237" i="2" s="1"/>
  <c r="AV237" i="2" s="1"/>
  <c r="Y237" i="2"/>
  <c r="AL237" i="2" s="1"/>
  <c r="AU237" i="2" s="1"/>
  <c r="P36" i="2"/>
  <c r="AS36" i="2"/>
  <c r="AP36" i="2"/>
  <c r="AK36" i="2"/>
  <c r="AG36" i="2" s="1"/>
  <c r="T36" i="2"/>
  <c r="A375" i="2"/>
  <c r="B375" i="2"/>
  <c r="C376" i="2"/>
  <c r="I301" i="2"/>
  <c r="J300" i="2"/>
  <c r="B193" i="2"/>
  <c r="C194" i="2"/>
  <c r="A193" i="2"/>
  <c r="V221" i="2"/>
  <c r="R149" i="2"/>
  <c r="AK149" i="2"/>
  <c r="AG149" i="2" s="1"/>
  <c r="AH311" i="2"/>
  <c r="AJ311" i="2" s="1"/>
  <c r="X313" i="2"/>
  <c r="Y313" i="2"/>
  <c r="AL313" i="2" s="1"/>
  <c r="AU313" i="2" s="1"/>
  <c r="Z313" i="2"/>
  <c r="AJ313" i="2"/>
  <c r="AH341" i="2"/>
  <c r="AJ341" i="2" s="1"/>
  <c r="V146" i="2"/>
  <c r="AJ104" i="2"/>
  <c r="X104" i="2"/>
  <c r="Z104" i="2"/>
  <c r="AM104" i="2" s="1"/>
  <c r="AV104" i="2" s="1"/>
  <c r="Y104" i="2"/>
  <c r="AL104" i="2" s="1"/>
  <c r="AU104" i="2" s="1"/>
  <c r="J209" i="2"/>
  <c r="I210" i="2"/>
  <c r="Y77" i="2"/>
  <c r="AL77" i="2" s="1"/>
  <c r="AU77" i="2" s="1"/>
  <c r="U77" i="2"/>
  <c r="A343" i="2"/>
  <c r="B343" i="2"/>
  <c r="C344" i="2"/>
  <c r="I331" i="2"/>
  <c r="J330" i="2"/>
  <c r="R78" i="2"/>
  <c r="AK78" i="2"/>
  <c r="AP78" i="2"/>
  <c r="AS78" i="2"/>
  <c r="T78" i="2"/>
  <c r="P78" i="2"/>
  <c r="AJ136" i="2"/>
  <c r="X136" i="2"/>
  <c r="Z136" i="2" s="1"/>
  <c r="AM136" i="2" s="1"/>
  <c r="AV136" i="2" s="1"/>
  <c r="Y136" i="2"/>
  <c r="AL136" i="2" s="1"/>
  <c r="AU136" i="2" s="1"/>
  <c r="X256" i="2"/>
  <c r="Y256" i="2"/>
  <c r="AL256" i="2" s="1"/>
  <c r="AU256" i="2" s="1"/>
  <c r="Z256" i="2"/>
  <c r="AM256" i="2" s="1"/>
  <c r="AV256" i="2" s="1"/>
  <c r="AJ256" i="2"/>
  <c r="Y269" i="2"/>
  <c r="AL269" i="2" s="1"/>
  <c r="AU269" i="2" s="1"/>
  <c r="B133" i="2"/>
  <c r="C134" i="2"/>
  <c r="A133" i="2"/>
  <c r="U149" i="2"/>
  <c r="AJ93" i="2"/>
  <c r="Y93" i="2"/>
  <c r="AL93" i="2" s="1"/>
  <c r="AU93" i="2" s="1"/>
  <c r="X93" i="2"/>
  <c r="Z93" i="2" s="1"/>
  <c r="AM93" i="2" s="1"/>
  <c r="AV93" i="2" s="1"/>
  <c r="AJ35" i="2"/>
  <c r="X35" i="2"/>
  <c r="Y35" i="2"/>
  <c r="D9" i="902"/>
  <c r="R299" i="2"/>
  <c r="AK299" i="2"/>
  <c r="P299" i="2"/>
  <c r="T299" i="2"/>
  <c r="U299" i="2" s="1"/>
  <c r="AS299" i="2"/>
  <c r="AP299" i="2"/>
  <c r="C59" i="2"/>
  <c r="A58" i="2"/>
  <c r="B58" i="2"/>
  <c r="R93" i="2"/>
  <c r="AK93" i="2"/>
  <c r="AG93" i="2" s="1"/>
  <c r="A89" i="2"/>
  <c r="B89" i="2"/>
  <c r="C90" i="2"/>
  <c r="AH206" i="2"/>
  <c r="AS238" i="2"/>
  <c r="AT236" i="2" s="1"/>
  <c r="AP238" i="2"/>
  <c r="U376" i="2"/>
  <c r="V374" i="2" s="1"/>
  <c r="X374" i="2" s="1"/>
  <c r="Z374" i="2" s="1"/>
  <c r="AH374" i="2"/>
  <c r="AJ374" i="2" s="1"/>
  <c r="AG313" i="2"/>
  <c r="X148" i="2"/>
  <c r="Y148" i="2"/>
  <c r="AL148" i="2" s="1"/>
  <c r="AU148" i="2" s="1"/>
  <c r="Z148" i="2"/>
  <c r="AM148" i="2" s="1"/>
  <c r="AV148" i="2" s="1"/>
  <c r="AJ148" i="2"/>
  <c r="R257" i="2"/>
  <c r="AK257" i="2"/>
  <c r="AG257" i="2" s="1"/>
  <c r="AP257" i="2"/>
  <c r="T257" i="2"/>
  <c r="U257" i="2" s="1"/>
  <c r="AS257" i="2"/>
  <c r="P257" i="2"/>
  <c r="C269" i="2"/>
  <c r="B268" i="2"/>
  <c r="A268" i="2"/>
  <c r="A238" i="2"/>
  <c r="B238" i="2"/>
  <c r="C239" i="2"/>
  <c r="Y328" i="2"/>
  <c r="AL328" i="2" s="1"/>
  <c r="AU328" i="2" s="1"/>
  <c r="AJ328" i="2"/>
  <c r="X328" i="2"/>
  <c r="Z328" i="2" s="1"/>
  <c r="AM328" i="2" s="1"/>
  <c r="AV328" i="2" s="1"/>
  <c r="J37" i="2"/>
  <c r="I38" i="2"/>
  <c r="AG328" i="2"/>
  <c r="AH326" i="2" s="1"/>
  <c r="AJ326" i="2" s="1"/>
  <c r="Y39" i="702"/>
  <c r="V386" i="2"/>
  <c r="X386" i="2" s="1"/>
  <c r="Z386" i="2" s="1"/>
  <c r="I95" i="2"/>
  <c r="J94" i="2"/>
  <c r="X166" i="2"/>
  <c r="Y166" i="2"/>
  <c r="AL166" i="2" s="1"/>
  <c r="AU166" i="2" s="1"/>
  <c r="Z166" i="2"/>
  <c r="AM166" i="2" s="1"/>
  <c r="AV166" i="2" s="1"/>
  <c r="AJ166" i="2"/>
  <c r="I379" i="2"/>
  <c r="J378" i="2"/>
  <c r="J239" i="2"/>
  <c r="I240" i="2"/>
  <c r="Y376" i="2"/>
  <c r="AL376" i="2" s="1"/>
  <c r="AU376" i="2" s="1"/>
  <c r="AJ376" i="2"/>
  <c r="X376" i="2"/>
  <c r="Z376" i="2" s="1"/>
  <c r="AM376" i="2" s="1"/>
  <c r="AV376" i="2" s="1"/>
  <c r="V254" i="2"/>
  <c r="C329" i="2"/>
  <c r="A328" i="2"/>
  <c r="B328" i="2"/>
  <c r="A404" i="2"/>
  <c r="B404" i="2"/>
  <c r="C405" i="2"/>
  <c r="D359" i="2"/>
  <c r="D59" i="2"/>
  <c r="D164" i="2"/>
  <c r="D329" i="2"/>
  <c r="D32" i="881" a="1"/>
  <c r="D179" i="2"/>
  <c r="D194" i="2"/>
  <c r="D389" i="2"/>
  <c r="D255" i="2"/>
  <c r="D134" i="2"/>
  <c r="D405" i="2"/>
  <c r="D90" i="2"/>
  <c r="C32" i="881" a="1"/>
  <c r="E18" i="715" a="1"/>
  <c r="D18" i="715" a="1"/>
  <c r="D224" i="2"/>
  <c r="D315" i="2"/>
  <c r="D299" i="2"/>
  <c r="D286" i="2"/>
  <c r="D74" i="2"/>
  <c r="D269" i="2"/>
  <c r="D376" i="2"/>
  <c r="D149" i="2"/>
  <c r="D121" i="2"/>
  <c r="D210" i="2"/>
  <c r="D239" i="2"/>
  <c r="D38" i="2"/>
  <c r="D104" i="2"/>
  <c r="D344" i="2"/>
  <c r="D18" i="715" l="1"/>
  <c r="E18" i="715"/>
  <c r="C32" i="881"/>
  <c r="D32" i="881"/>
  <c r="A344" i="2"/>
  <c r="B344" i="2"/>
  <c r="C345" i="2"/>
  <c r="R94" i="2"/>
  <c r="AK94" i="2"/>
  <c r="K38" i="705"/>
  <c r="K39" i="702"/>
  <c r="C105" i="2"/>
  <c r="A104" i="2"/>
  <c r="B104" i="2"/>
  <c r="J95" i="2"/>
  <c r="I96" i="2"/>
  <c r="Y329" i="2"/>
  <c r="AL329" i="2" s="1"/>
  <c r="AU329" i="2" s="1"/>
  <c r="AM313" i="2"/>
  <c r="AV313" i="2" s="1"/>
  <c r="I62" i="2"/>
  <c r="J61" i="2"/>
  <c r="AM374" i="2"/>
  <c r="AV374" i="2" s="1"/>
  <c r="AG299" i="2"/>
  <c r="R60" i="2"/>
  <c r="AK60" i="2"/>
  <c r="P60" i="2"/>
  <c r="AS60" i="2"/>
  <c r="AP60" i="2"/>
  <c r="T60" i="2"/>
  <c r="I39" i="2"/>
  <c r="J38" i="2"/>
  <c r="Y299" i="2"/>
  <c r="AL299" i="2" s="1"/>
  <c r="AU299" i="2" s="1"/>
  <c r="C39" i="2"/>
  <c r="A38" i="2"/>
  <c r="B38" i="2"/>
  <c r="AP94" i="2"/>
  <c r="AQ92" i="2" s="1"/>
  <c r="AS94" i="2"/>
  <c r="AT92" i="2" s="1"/>
  <c r="T94" i="2"/>
  <c r="P94" i="2"/>
  <c r="AG329" i="2"/>
  <c r="AJ118" i="2"/>
  <c r="X118" i="2"/>
  <c r="Z118" i="2" s="1"/>
  <c r="AM118" i="2" s="1"/>
  <c r="AV118" i="2" s="1"/>
  <c r="Y118" i="2"/>
  <c r="AL118" i="2" s="1"/>
  <c r="AU118" i="2" s="1"/>
  <c r="AM207" i="2"/>
  <c r="AV207" i="2" s="1"/>
  <c r="X59" i="2"/>
  <c r="Z59" i="2" s="1"/>
  <c r="Y59" i="2"/>
  <c r="AL59" i="2" s="1"/>
  <c r="AU59" i="2" s="1"/>
  <c r="R224" i="2"/>
  <c r="AK224" i="2"/>
  <c r="T224" i="2"/>
  <c r="AP224" i="2"/>
  <c r="AS224" i="2"/>
  <c r="P224" i="2"/>
  <c r="C240" i="2"/>
  <c r="A239" i="2"/>
  <c r="B239" i="2"/>
  <c r="AH35" i="2"/>
  <c r="R39" i="702"/>
  <c r="R38" i="705"/>
  <c r="X105" i="2"/>
  <c r="Y105" i="2"/>
  <c r="AL105" i="2" s="1"/>
  <c r="AU105" i="2" s="1"/>
  <c r="Z105" i="2"/>
  <c r="AJ105" i="2"/>
  <c r="R138" i="2"/>
  <c r="AK138" i="2"/>
  <c r="AS138" i="2"/>
  <c r="AP138" i="2"/>
  <c r="P138" i="2"/>
  <c r="AG167" i="2"/>
  <c r="J284" i="2"/>
  <c r="I285" i="2"/>
  <c r="M39" i="702"/>
  <c r="M38" i="705"/>
  <c r="AK209" i="2"/>
  <c r="AG209" i="2" s="1"/>
  <c r="AP209" i="2"/>
  <c r="AS209" i="2"/>
  <c r="T209" i="2"/>
  <c r="P209" i="2"/>
  <c r="J107" i="2"/>
  <c r="I108" i="2"/>
  <c r="AJ282" i="2"/>
  <c r="X282" i="2"/>
  <c r="Z282" i="2" s="1"/>
  <c r="AM282" i="2" s="1"/>
  <c r="AV282" i="2" s="1"/>
  <c r="Y282" i="2"/>
  <c r="AL282" i="2" s="1"/>
  <c r="AU282" i="2" s="1"/>
  <c r="J272" i="2"/>
  <c r="I273" i="2"/>
  <c r="AG377" i="2"/>
  <c r="R271" i="2"/>
  <c r="AK271" i="2"/>
  <c r="AP271" i="2"/>
  <c r="AQ269" i="2" s="1"/>
  <c r="AS271" i="2"/>
  <c r="AT269" i="2" s="1"/>
  <c r="T271" i="2"/>
  <c r="P271" i="2"/>
  <c r="J361" i="2"/>
  <c r="I362" i="2"/>
  <c r="A210" i="2"/>
  <c r="B210" i="2"/>
  <c r="C211" i="2"/>
  <c r="I170" i="2"/>
  <c r="J169" i="2"/>
  <c r="C122" i="2"/>
  <c r="A121" i="2"/>
  <c r="B121" i="2"/>
  <c r="AG181" i="2"/>
  <c r="AG344" i="2"/>
  <c r="Y405" i="2"/>
  <c r="AL405" i="2" s="1"/>
  <c r="AU405" i="2" s="1"/>
  <c r="AJ405" i="2"/>
  <c r="X405" i="2"/>
  <c r="Z405" i="2" s="1"/>
  <c r="AM405" i="2" s="1"/>
  <c r="AV405" i="2" s="1"/>
  <c r="Y167" i="2"/>
  <c r="AL167" i="2" s="1"/>
  <c r="AU167" i="2" s="1"/>
  <c r="AJ167" i="2"/>
  <c r="X167" i="2"/>
  <c r="Z167" i="2" s="1"/>
  <c r="AM167" i="2" s="1"/>
  <c r="AV167" i="2" s="1"/>
  <c r="I347" i="2"/>
  <c r="J346" i="2"/>
  <c r="AK345" i="2"/>
  <c r="AG345" i="2" s="1"/>
  <c r="R345" i="2"/>
  <c r="T345" i="2"/>
  <c r="P345" i="2"/>
  <c r="AP345" i="2"/>
  <c r="AS345" i="2"/>
  <c r="AL35" i="2"/>
  <c r="O39" i="702"/>
  <c r="J210" i="2"/>
  <c r="I211" i="2"/>
  <c r="I152" i="2"/>
  <c r="J151" i="2"/>
  <c r="J80" i="2"/>
  <c r="I81" i="2"/>
  <c r="B149" i="2"/>
  <c r="A149" i="2"/>
  <c r="C150" i="2"/>
  <c r="U282" i="2"/>
  <c r="Y78" i="2"/>
  <c r="AL78" i="2" s="1"/>
  <c r="AU78" i="2" s="1"/>
  <c r="AJ78" i="2"/>
  <c r="X78" i="2"/>
  <c r="Z78" i="2" s="1"/>
  <c r="AM78" i="2" s="1"/>
  <c r="AV78" i="2" s="1"/>
  <c r="C377" i="2"/>
  <c r="B376" i="2"/>
  <c r="A376" i="2"/>
  <c r="AM311" i="2"/>
  <c r="AV311" i="2" s="1"/>
  <c r="AM58" i="2"/>
  <c r="AV58" i="2" s="1"/>
  <c r="R258" i="2"/>
  <c r="AK258" i="2"/>
  <c r="AP258" i="2"/>
  <c r="AS258" i="2"/>
  <c r="T258" i="2"/>
  <c r="P258" i="2"/>
  <c r="AK168" i="2"/>
  <c r="AS168" i="2"/>
  <c r="T168" i="2"/>
  <c r="AP168" i="2"/>
  <c r="P168" i="2"/>
  <c r="AG282" i="2"/>
  <c r="AH281" i="2" s="1"/>
  <c r="AJ281" i="2" s="1"/>
  <c r="AG405" i="2"/>
  <c r="Y314" i="2"/>
  <c r="AL314" i="2" s="1"/>
  <c r="AU314" i="2" s="1"/>
  <c r="F9" i="902"/>
  <c r="G9" i="902" s="1"/>
  <c r="I9" i="902"/>
  <c r="R79" i="2"/>
  <c r="AK79" i="2"/>
  <c r="AP79" i="2"/>
  <c r="AQ77" i="2" s="1"/>
  <c r="T79" i="2"/>
  <c r="P79" i="2"/>
  <c r="AS79" i="2"/>
  <c r="AT77" i="2" s="1"/>
  <c r="Y344" i="2"/>
  <c r="AL344" i="2" s="1"/>
  <c r="AU344" i="2" s="1"/>
  <c r="T39" i="702"/>
  <c r="T38" i="705"/>
  <c r="R360" i="2"/>
  <c r="AK360" i="2"/>
  <c r="P360" i="2"/>
  <c r="AP360" i="2"/>
  <c r="T360" i="2"/>
  <c r="AS360" i="2"/>
  <c r="P239" i="2"/>
  <c r="R239" i="2"/>
  <c r="AK239" i="2"/>
  <c r="AG239" i="2" s="1"/>
  <c r="T239" i="2"/>
  <c r="U239" i="2" s="1"/>
  <c r="AP239" i="2"/>
  <c r="AS239" i="2"/>
  <c r="C270" i="2"/>
  <c r="A269" i="2"/>
  <c r="B269" i="2"/>
  <c r="U78" i="2"/>
  <c r="R378" i="2"/>
  <c r="AK378" i="2"/>
  <c r="AG378" i="2" s="1"/>
  <c r="T378" i="2"/>
  <c r="P378" i="2"/>
  <c r="AS378" i="2"/>
  <c r="AP378" i="2"/>
  <c r="X257" i="2"/>
  <c r="Y257" i="2"/>
  <c r="AL257" i="2" s="1"/>
  <c r="AU257" i="2" s="1"/>
  <c r="Z257" i="2"/>
  <c r="AJ257" i="2"/>
  <c r="AJ388" i="2"/>
  <c r="X388" i="2"/>
  <c r="Z388" i="2" s="1"/>
  <c r="AM388" i="2" s="1"/>
  <c r="AV388" i="2" s="1"/>
  <c r="Y388" i="2"/>
  <c r="AL388" i="2" s="1"/>
  <c r="AU388" i="2" s="1"/>
  <c r="X208" i="2"/>
  <c r="Z208" i="2" s="1"/>
  <c r="AM208" i="2" s="1"/>
  <c r="AV208" i="2" s="1"/>
  <c r="Y208" i="2"/>
  <c r="AL208" i="2" s="1"/>
  <c r="AU208" i="2" s="1"/>
  <c r="AJ208" i="2"/>
  <c r="J259" i="2"/>
  <c r="I260" i="2"/>
  <c r="C75" i="2"/>
  <c r="A74" i="2"/>
  <c r="B74" i="2"/>
  <c r="AM326" i="2"/>
  <c r="AV326" i="2" s="1"/>
  <c r="AH179" i="2"/>
  <c r="C287" i="2"/>
  <c r="B286" i="2"/>
  <c r="A286" i="2"/>
  <c r="U195" i="2"/>
  <c r="J316" i="2"/>
  <c r="I317" i="2"/>
  <c r="H97" i="2"/>
  <c r="C300" i="2"/>
  <c r="B299" i="2"/>
  <c r="A299" i="2"/>
  <c r="A315" i="2"/>
  <c r="B315" i="2"/>
  <c r="C316" i="2"/>
  <c r="C225" i="2"/>
  <c r="A224" i="2"/>
  <c r="B224" i="2"/>
  <c r="T37" i="2"/>
  <c r="U37" i="2" s="1"/>
  <c r="P37" i="2"/>
  <c r="AK37" i="2"/>
  <c r="AG37" i="2" s="1"/>
  <c r="AP37" i="2"/>
  <c r="AQ35" i="2" s="1"/>
  <c r="AS37" i="2"/>
  <c r="AT35" i="2" s="1"/>
  <c r="AL359" i="2"/>
  <c r="AU359" i="2" s="1"/>
  <c r="R150" i="2"/>
  <c r="AK150" i="2"/>
  <c r="P150" i="2"/>
  <c r="AP150" i="2"/>
  <c r="AS150" i="2"/>
  <c r="T150" i="2"/>
  <c r="U150" i="2" s="1"/>
  <c r="E10" i="351"/>
  <c r="AH43" i="346"/>
  <c r="AD39" i="346"/>
  <c r="A90" i="2"/>
  <c r="B90" i="2"/>
  <c r="C91" i="2"/>
  <c r="AC39" i="346"/>
  <c r="R283" i="2"/>
  <c r="P283" i="2"/>
  <c r="AP283" i="2"/>
  <c r="AQ281" i="2" s="1"/>
  <c r="AK283" i="2"/>
  <c r="AG283" i="2" s="1"/>
  <c r="AS283" i="2"/>
  <c r="AT281" i="2" s="1"/>
  <c r="T283" i="2"/>
  <c r="U283" i="2" s="1"/>
  <c r="V281" i="2" s="1"/>
  <c r="X281" i="2" s="1"/>
  <c r="Z281" i="2" s="1"/>
  <c r="AG105" i="2"/>
  <c r="D17" i="351"/>
  <c r="I241" i="2"/>
  <c r="J240" i="2"/>
  <c r="A405" i="2"/>
  <c r="B405" i="2"/>
  <c r="C406" i="2"/>
  <c r="J379" i="2"/>
  <c r="I380" i="2"/>
  <c r="C135" i="2"/>
  <c r="A134" i="2"/>
  <c r="B134" i="2"/>
  <c r="U36" i="2"/>
  <c r="V35" i="2" s="1"/>
  <c r="C256" i="2"/>
  <c r="A255" i="2"/>
  <c r="B255" i="2"/>
  <c r="AG388" i="2"/>
  <c r="AH386" i="2" s="1"/>
  <c r="AJ386" i="2" s="1"/>
  <c r="AM386" i="2" s="1"/>
  <c r="AV386" i="2" s="1"/>
  <c r="U208" i="2"/>
  <c r="V206" i="2" s="1"/>
  <c r="R315" i="2"/>
  <c r="AK315" i="2"/>
  <c r="AG315" i="2" s="1"/>
  <c r="P315" i="2"/>
  <c r="AS315" i="2"/>
  <c r="AP315" i="2"/>
  <c r="T315" i="2"/>
  <c r="U315" i="2" s="1"/>
  <c r="AJ223" i="2"/>
  <c r="X223" i="2"/>
  <c r="Z223" i="2" s="1"/>
  <c r="AM223" i="2" s="1"/>
  <c r="AV223" i="2" s="1"/>
  <c r="Y223" i="2"/>
  <c r="AL223" i="2" s="1"/>
  <c r="AU223" i="2" s="1"/>
  <c r="I198" i="2"/>
  <c r="J197" i="2"/>
  <c r="C390" i="2"/>
  <c r="A389" i="2"/>
  <c r="B389" i="2"/>
  <c r="Y377" i="2"/>
  <c r="AL377" i="2" s="1"/>
  <c r="AU377" i="2" s="1"/>
  <c r="U105" i="2"/>
  <c r="AG59" i="2"/>
  <c r="AG118" i="2"/>
  <c r="AH116" i="2" s="1"/>
  <c r="Z35" i="2"/>
  <c r="AG78" i="2"/>
  <c r="A194" i="2"/>
  <c r="B194" i="2"/>
  <c r="C195" i="2"/>
  <c r="Y270" i="2"/>
  <c r="AL270" i="2" s="1"/>
  <c r="AU270" i="2" s="1"/>
  <c r="AJ270" i="2"/>
  <c r="X270" i="2"/>
  <c r="Z270" i="2" s="1"/>
  <c r="AM270" i="2" s="1"/>
  <c r="AV270" i="2" s="1"/>
  <c r="AM341" i="2"/>
  <c r="AV341" i="2" s="1"/>
  <c r="X195" i="2"/>
  <c r="Y195" i="2"/>
  <c r="AL195" i="2" s="1"/>
  <c r="AU195" i="2" s="1"/>
  <c r="Z195" i="2"/>
  <c r="AJ195" i="2"/>
  <c r="I184" i="2"/>
  <c r="J183" i="2"/>
  <c r="R389" i="2"/>
  <c r="AK389" i="2"/>
  <c r="AG389" i="2" s="1"/>
  <c r="T389" i="2"/>
  <c r="U389" i="2" s="1"/>
  <c r="AP389" i="2"/>
  <c r="AS389" i="2"/>
  <c r="P389" i="2"/>
  <c r="R406" i="2"/>
  <c r="AK406" i="2"/>
  <c r="P406" i="2"/>
  <c r="AP406" i="2"/>
  <c r="AQ404" i="2" s="1"/>
  <c r="T406" i="2"/>
  <c r="AS406" i="2"/>
  <c r="R182" i="2"/>
  <c r="AK182" i="2"/>
  <c r="T182" i="2"/>
  <c r="P182" i="2"/>
  <c r="AS182" i="2"/>
  <c r="AP182" i="2"/>
  <c r="C180" i="2"/>
  <c r="A179" i="2"/>
  <c r="B179" i="2"/>
  <c r="U118" i="2"/>
  <c r="V116" i="2" s="1"/>
  <c r="U59" i="2"/>
  <c r="C330" i="2"/>
  <c r="B329" i="2"/>
  <c r="A329" i="2"/>
  <c r="R330" i="2"/>
  <c r="AK330" i="2"/>
  <c r="AG330" i="2" s="1"/>
  <c r="AP330" i="2"/>
  <c r="T330" i="2"/>
  <c r="P330" i="2"/>
  <c r="AS330" i="2"/>
  <c r="AK300" i="2"/>
  <c r="R300" i="2"/>
  <c r="P300" i="2"/>
  <c r="T300" i="2"/>
  <c r="AS300" i="2"/>
  <c r="AP300" i="2"/>
  <c r="I391" i="2"/>
  <c r="J390" i="2"/>
  <c r="X149" i="2"/>
  <c r="Y149" i="2"/>
  <c r="AL149" i="2" s="1"/>
  <c r="AU149" i="2" s="1"/>
  <c r="Z149" i="2"/>
  <c r="R119" i="2"/>
  <c r="AK119" i="2"/>
  <c r="AG119" i="2" s="1"/>
  <c r="AS119" i="2"/>
  <c r="P119" i="2"/>
  <c r="T119" i="2"/>
  <c r="U119" i="2" s="1"/>
  <c r="AP119" i="2"/>
  <c r="C165" i="2"/>
  <c r="A164" i="2"/>
  <c r="B164" i="2"/>
  <c r="I408" i="2"/>
  <c r="J407" i="2"/>
  <c r="AK196" i="2"/>
  <c r="AG196" i="2" s="1"/>
  <c r="AH194" i="2" s="1"/>
  <c r="AS196" i="2"/>
  <c r="AT194" i="2" s="1"/>
  <c r="T196" i="2"/>
  <c r="AP196" i="2"/>
  <c r="AQ194" i="2" s="1"/>
  <c r="P196" i="2"/>
  <c r="J11" i="902"/>
  <c r="N11" i="902" s="1"/>
  <c r="K11" i="902" s="1"/>
  <c r="I226" i="2"/>
  <c r="J225" i="2"/>
  <c r="AK106" i="2"/>
  <c r="R106" i="2"/>
  <c r="AS106" i="2"/>
  <c r="AT104" i="2" s="1"/>
  <c r="T106" i="2"/>
  <c r="P106" i="2"/>
  <c r="AP106" i="2"/>
  <c r="AQ104" i="2" s="1"/>
  <c r="J139" i="2"/>
  <c r="I140" i="2"/>
  <c r="Y181" i="2"/>
  <c r="AL181" i="2" s="1"/>
  <c r="AU181" i="2" s="1"/>
  <c r="AJ181" i="2"/>
  <c r="X181" i="2"/>
  <c r="Z181" i="2"/>
  <c r="AM181" i="2" s="1"/>
  <c r="AV181" i="2" s="1"/>
  <c r="A59" i="2"/>
  <c r="C60" i="2"/>
  <c r="B59" i="2"/>
  <c r="J331" i="2"/>
  <c r="I332" i="2"/>
  <c r="J301" i="2"/>
  <c r="I302" i="2"/>
  <c r="Y36" i="2"/>
  <c r="AL36" i="2" s="1"/>
  <c r="AU36" i="2" s="1"/>
  <c r="AJ36" i="2"/>
  <c r="X36" i="2"/>
  <c r="Z36" i="2" s="1"/>
  <c r="AM36" i="2" s="1"/>
  <c r="AV36" i="2" s="1"/>
  <c r="U329" i="2"/>
  <c r="AJ137" i="2"/>
  <c r="X137" i="2"/>
  <c r="Z137" i="2" s="1"/>
  <c r="AM137" i="2" s="1"/>
  <c r="AV137" i="2" s="1"/>
  <c r="Y137" i="2"/>
  <c r="AL137" i="2" s="1"/>
  <c r="AU137" i="2" s="1"/>
  <c r="C360" i="2"/>
  <c r="A359" i="2"/>
  <c r="B359" i="2"/>
  <c r="AG270" i="2"/>
  <c r="AT404" i="2"/>
  <c r="I121" i="2"/>
  <c r="J120" i="2"/>
  <c r="AG314" i="2"/>
  <c r="H39" i="701"/>
  <c r="U39" i="701"/>
  <c r="E6" i="474"/>
  <c r="D150" i="2"/>
  <c r="D390" i="2"/>
  <c r="D135" i="2"/>
  <c r="D256" i="2"/>
  <c r="D180" i="2"/>
  <c r="I6" i="739" a="1"/>
  <c r="H6" i="739" a="1"/>
  <c r="D330" i="2"/>
  <c r="D225" i="2"/>
  <c r="D211" i="2"/>
  <c r="D270" i="2"/>
  <c r="D287" i="2"/>
  <c r="D240" i="2"/>
  <c r="D105" i="2"/>
  <c r="D39" i="2"/>
  <c r="D75" i="2"/>
  <c r="D316" i="2"/>
  <c r="D195" i="2"/>
  <c r="D122" i="2"/>
  <c r="D300" i="2"/>
  <c r="D406" i="2"/>
  <c r="D60" i="2"/>
  <c r="D377" i="2"/>
  <c r="D91" i="2"/>
  <c r="D165" i="2"/>
  <c r="D360" i="2"/>
  <c r="D345" i="2"/>
  <c r="H6" i="739" l="1"/>
  <c r="I6" i="739"/>
  <c r="L39" i="702"/>
  <c r="L38" i="705"/>
  <c r="AT59" i="2"/>
  <c r="AQ377" i="2"/>
  <c r="AQ167" i="2"/>
  <c r="V149" i="2"/>
  <c r="AT149" i="2"/>
  <c r="AM281" i="2"/>
  <c r="AV281" i="2" s="1"/>
  <c r="I141" i="2"/>
  <c r="J140" i="2"/>
  <c r="X60" i="2"/>
  <c r="Y60" i="2"/>
  <c r="AL60" i="2" s="1"/>
  <c r="AU60" i="2" s="1"/>
  <c r="Z60" i="2"/>
  <c r="AJ60" i="2"/>
  <c r="AK346" i="2"/>
  <c r="AG346" i="2" s="1"/>
  <c r="R346" i="2"/>
  <c r="AP346" i="2"/>
  <c r="AQ344" i="2" s="1"/>
  <c r="P346" i="2"/>
  <c r="AS346" i="2"/>
  <c r="AT344" i="2" s="1"/>
  <c r="T346" i="2"/>
  <c r="J170" i="2"/>
  <c r="I171" i="2"/>
  <c r="AG60" i="2"/>
  <c r="J121" i="2"/>
  <c r="I122" i="2"/>
  <c r="I392" i="2"/>
  <c r="J391" i="2"/>
  <c r="X168" i="2"/>
  <c r="Z168" i="2"/>
  <c r="AJ168" i="2"/>
  <c r="Y168" i="2"/>
  <c r="AL168" i="2" s="1"/>
  <c r="AU168" i="2" s="1"/>
  <c r="AG182" i="2"/>
  <c r="X283" i="2"/>
  <c r="Y283" i="2"/>
  <c r="AL283" i="2" s="1"/>
  <c r="AU283" i="2" s="1"/>
  <c r="Z283" i="2"/>
  <c r="AJ283" i="2"/>
  <c r="AG94" i="2"/>
  <c r="AH92" i="2" s="1"/>
  <c r="AJ92" i="2" s="1"/>
  <c r="AM92" i="2" s="1"/>
  <c r="AV92" i="2" s="1"/>
  <c r="R331" i="2"/>
  <c r="AK331" i="2"/>
  <c r="T331" i="2"/>
  <c r="P331" i="2"/>
  <c r="AS331" i="2"/>
  <c r="AT329" i="2" s="1"/>
  <c r="AP331" i="2"/>
  <c r="AQ329" i="2" s="1"/>
  <c r="AG150" i="2"/>
  <c r="AH149" i="2" s="1"/>
  <c r="AJ149" i="2" s="1"/>
  <c r="AM149" i="2" s="1"/>
  <c r="AV149" i="2" s="1"/>
  <c r="J62" i="2"/>
  <c r="I63" i="2"/>
  <c r="I212" i="2"/>
  <c r="J211" i="2"/>
  <c r="X271" i="2"/>
  <c r="Z271" i="2" s="1"/>
  <c r="AM271" i="2" s="1"/>
  <c r="AV271" i="2" s="1"/>
  <c r="Y271" i="2"/>
  <c r="AL271" i="2" s="1"/>
  <c r="AU271" i="2" s="1"/>
  <c r="AJ271" i="2"/>
  <c r="A345" i="2"/>
  <c r="B345" i="2"/>
  <c r="C346" i="2"/>
  <c r="C361" i="2"/>
  <c r="A360" i="2"/>
  <c r="B360" i="2"/>
  <c r="R225" i="2"/>
  <c r="AK225" i="2"/>
  <c r="AG225" i="2" s="1"/>
  <c r="P225" i="2"/>
  <c r="AP225" i="2"/>
  <c r="AS225" i="2"/>
  <c r="T225" i="2"/>
  <c r="U225" i="2" s="1"/>
  <c r="C166" i="2"/>
  <c r="A165" i="2"/>
  <c r="B165" i="2"/>
  <c r="U300" i="2"/>
  <c r="U406" i="2"/>
  <c r="V404" i="2" s="1"/>
  <c r="X404" i="2" s="1"/>
  <c r="Z404" i="2" s="1"/>
  <c r="AM404" i="2" s="1"/>
  <c r="AV404" i="2" s="1"/>
  <c r="V104" i="2"/>
  <c r="R379" i="2"/>
  <c r="AK379" i="2"/>
  <c r="AG379" i="2" s="1"/>
  <c r="AS379" i="2"/>
  <c r="AT377" i="2" s="1"/>
  <c r="T379" i="2"/>
  <c r="U379" i="2" s="1"/>
  <c r="P379" i="2"/>
  <c r="AP379" i="2"/>
  <c r="B91" i="2"/>
  <c r="A91" i="2"/>
  <c r="C92" i="2"/>
  <c r="X239" i="2"/>
  <c r="Y239" i="2"/>
  <c r="AL239" i="2" s="1"/>
  <c r="AU239" i="2" s="1"/>
  <c r="Z239" i="2"/>
  <c r="AG79" i="2"/>
  <c r="AH77" i="2" s="1"/>
  <c r="AJ77" i="2" s="1"/>
  <c r="AM77" i="2" s="1"/>
  <c r="AV77" i="2" s="1"/>
  <c r="AG168" i="2"/>
  <c r="C378" i="2"/>
  <c r="B377" i="2"/>
  <c r="A377" i="2"/>
  <c r="AK210" i="2"/>
  <c r="AG210" i="2" s="1"/>
  <c r="T210" i="2"/>
  <c r="P210" i="2"/>
  <c r="AP210" i="2"/>
  <c r="AS210" i="2"/>
  <c r="U271" i="2"/>
  <c r="V269" i="2" s="1"/>
  <c r="X269" i="2" s="1"/>
  <c r="Z269" i="2" s="1"/>
  <c r="AG138" i="2"/>
  <c r="U224" i="2"/>
  <c r="K6" i="474"/>
  <c r="C39" i="701"/>
  <c r="F39" i="701"/>
  <c r="N39" i="701"/>
  <c r="S39" i="702"/>
  <c r="S38" i="705"/>
  <c r="J273" i="2"/>
  <c r="I274" i="2"/>
  <c r="AJ182" i="2"/>
  <c r="X182" i="2"/>
  <c r="Y182" i="2"/>
  <c r="AL182" i="2" s="1"/>
  <c r="AU182" i="2" s="1"/>
  <c r="Z182" i="2"/>
  <c r="AM182" i="2" s="1"/>
  <c r="AV182" i="2" s="1"/>
  <c r="R284" i="2"/>
  <c r="AK284" i="2"/>
  <c r="AG284" i="2" s="1"/>
  <c r="AP284" i="2"/>
  <c r="AS284" i="2"/>
  <c r="P284" i="2"/>
  <c r="T284" i="2"/>
  <c r="U106" i="2"/>
  <c r="R61" i="2"/>
  <c r="AK61" i="2"/>
  <c r="AG61" i="2" s="1"/>
  <c r="AH59" i="2" s="1"/>
  <c r="AJ59" i="2" s="1"/>
  <c r="AM59" i="2" s="1"/>
  <c r="AV59" i="2" s="1"/>
  <c r="T61" i="2"/>
  <c r="U61" i="2" s="1"/>
  <c r="P61" i="2"/>
  <c r="AP61" i="2"/>
  <c r="AQ59" i="2" s="1"/>
  <c r="AS61" i="2"/>
  <c r="AM257" i="2"/>
  <c r="AV257" i="2" s="1"/>
  <c r="B60" i="2"/>
  <c r="C61" i="2"/>
  <c r="A60" i="2"/>
  <c r="J226" i="2"/>
  <c r="I227" i="2"/>
  <c r="AJ300" i="2"/>
  <c r="Y300" i="2"/>
  <c r="AL300" i="2" s="1"/>
  <c r="AU300" i="2" s="1"/>
  <c r="X300" i="2"/>
  <c r="Z300" i="2" s="1"/>
  <c r="AM300" i="2" s="1"/>
  <c r="AV300" i="2" s="1"/>
  <c r="Y315" i="2"/>
  <c r="AL315" i="2" s="1"/>
  <c r="AU315" i="2" s="1"/>
  <c r="X315" i="2"/>
  <c r="AJ315" i="2"/>
  <c r="Z315" i="2"/>
  <c r="AM315" i="2" s="1"/>
  <c r="AV315" i="2" s="1"/>
  <c r="A406" i="2"/>
  <c r="B406" i="2"/>
  <c r="C407" i="2"/>
  <c r="C301" i="2"/>
  <c r="A300" i="2"/>
  <c r="B300" i="2"/>
  <c r="X258" i="2"/>
  <c r="Z258" i="2" s="1"/>
  <c r="AM258" i="2" s="1"/>
  <c r="AV258" i="2" s="1"/>
  <c r="Y258" i="2"/>
  <c r="AL258" i="2" s="1"/>
  <c r="AU258" i="2" s="1"/>
  <c r="AJ258" i="2"/>
  <c r="I109" i="2"/>
  <c r="J108" i="2"/>
  <c r="AG224" i="2"/>
  <c r="A122" i="2"/>
  <c r="B122" i="2"/>
  <c r="C123" i="2"/>
  <c r="C196" i="2"/>
  <c r="A195" i="2"/>
  <c r="B195" i="2"/>
  <c r="AK169" i="2"/>
  <c r="T169" i="2"/>
  <c r="P169" i="2"/>
  <c r="AP169" i="2"/>
  <c r="AS169" i="2"/>
  <c r="AT167" i="2" s="1"/>
  <c r="I409" i="2"/>
  <c r="J408" i="2"/>
  <c r="I82" i="2"/>
  <c r="J82" i="2" s="1"/>
  <c r="J81" i="2"/>
  <c r="X106" i="2"/>
  <c r="Y106" i="2"/>
  <c r="AL106" i="2" s="1"/>
  <c r="AU106" i="2" s="1"/>
  <c r="Z106" i="2"/>
  <c r="AJ106" i="2"/>
  <c r="AK80" i="2"/>
  <c r="AG80" i="2" s="1"/>
  <c r="AP80" i="2"/>
  <c r="T80" i="2"/>
  <c r="AS80" i="2"/>
  <c r="B316" i="2"/>
  <c r="A316" i="2"/>
  <c r="C317" i="2"/>
  <c r="R151" i="2"/>
  <c r="AK151" i="2"/>
  <c r="AG151" i="2" s="1"/>
  <c r="AS151" i="2"/>
  <c r="P151" i="2"/>
  <c r="AP151" i="2"/>
  <c r="T151" i="2"/>
  <c r="U151" i="2" s="1"/>
  <c r="AM35" i="2"/>
  <c r="P39" i="702"/>
  <c r="P38" i="705"/>
  <c r="X79" i="2"/>
  <c r="Z79" i="2"/>
  <c r="AJ79" i="2"/>
  <c r="Y79" i="2"/>
  <c r="AL79" i="2" s="1"/>
  <c r="AU79" i="2" s="1"/>
  <c r="U94" i="2"/>
  <c r="V92" i="2" s="1"/>
  <c r="U79" i="2"/>
  <c r="V77" i="2" s="1"/>
  <c r="Z406" i="2"/>
  <c r="AM406" i="2" s="1"/>
  <c r="AV406" i="2" s="1"/>
  <c r="AJ406" i="2"/>
  <c r="X406" i="2"/>
  <c r="Y406" i="2"/>
  <c r="AL406" i="2" s="1"/>
  <c r="AU406" i="2" s="1"/>
  <c r="C76" i="2"/>
  <c r="A75" i="2"/>
  <c r="B75" i="2"/>
  <c r="AT359" i="2"/>
  <c r="U258" i="2"/>
  <c r="AU35" i="2"/>
  <c r="V39" i="702"/>
  <c r="R107" i="2"/>
  <c r="AK107" i="2"/>
  <c r="AG107" i="2" s="1"/>
  <c r="P107" i="2"/>
  <c r="T107" i="2"/>
  <c r="AP107" i="2"/>
  <c r="AS107" i="2"/>
  <c r="A39" i="2"/>
  <c r="B39" i="2"/>
  <c r="C40" i="2"/>
  <c r="A105" i="2"/>
  <c r="B105" i="2"/>
  <c r="C106" i="2"/>
  <c r="R390" i="2"/>
  <c r="AK390" i="2"/>
  <c r="P390" i="2"/>
  <c r="AP390" i="2"/>
  <c r="AS390" i="2"/>
  <c r="T390" i="2"/>
  <c r="J285" i="2"/>
  <c r="I286" i="2"/>
  <c r="R183" i="2"/>
  <c r="AK183" i="2"/>
  <c r="AP183" i="2"/>
  <c r="T183" i="2"/>
  <c r="P183" i="2"/>
  <c r="AS183" i="2"/>
  <c r="AK272" i="2"/>
  <c r="AG272" i="2" s="1"/>
  <c r="R272" i="2"/>
  <c r="T272" i="2"/>
  <c r="U272" i="2" s="1"/>
  <c r="AS272" i="2"/>
  <c r="AP272" i="2"/>
  <c r="P272" i="2"/>
  <c r="C241" i="2"/>
  <c r="A240" i="2"/>
  <c r="B240" i="2"/>
  <c r="C288" i="2"/>
  <c r="A287" i="2"/>
  <c r="B287" i="2"/>
  <c r="I381" i="2"/>
  <c r="J380" i="2"/>
  <c r="X119" i="2"/>
  <c r="Y119" i="2"/>
  <c r="AL119" i="2" s="1"/>
  <c r="AU119" i="2" s="1"/>
  <c r="Z119" i="2"/>
  <c r="AJ119" i="2"/>
  <c r="AG300" i="2"/>
  <c r="AG406" i="2"/>
  <c r="J260" i="2"/>
  <c r="I261" i="2"/>
  <c r="Y378" i="2"/>
  <c r="AL378" i="2" s="1"/>
  <c r="AU378" i="2" s="1"/>
  <c r="X378" i="2"/>
  <c r="Z378" i="2"/>
  <c r="AJ378" i="2"/>
  <c r="U360" i="2"/>
  <c r="AH344" i="2"/>
  <c r="AJ344" i="2" s="1"/>
  <c r="AG271" i="2"/>
  <c r="AH269" i="2" s="1"/>
  <c r="AJ269" i="2" s="1"/>
  <c r="Z209" i="2"/>
  <c r="AM209" i="2" s="1"/>
  <c r="AV209" i="2" s="1"/>
  <c r="X209" i="2"/>
  <c r="Y209" i="2"/>
  <c r="AL209" i="2" s="1"/>
  <c r="AU209" i="2" s="1"/>
  <c r="AJ209" i="2"/>
  <c r="D41" i="881"/>
  <c r="D59" i="881"/>
  <c r="R407" i="2"/>
  <c r="AK407" i="2"/>
  <c r="P407" i="2"/>
  <c r="T407" i="2"/>
  <c r="U407" i="2" s="1"/>
  <c r="AP407" i="2"/>
  <c r="AS407" i="2"/>
  <c r="J198" i="2"/>
  <c r="I199" i="2"/>
  <c r="A270" i="2"/>
  <c r="B270" i="2"/>
  <c r="C271" i="2"/>
  <c r="C212" i="2"/>
  <c r="B211" i="2"/>
  <c r="A211" i="2"/>
  <c r="C226" i="2"/>
  <c r="A225" i="2"/>
  <c r="B225" i="2"/>
  <c r="AK38" i="2"/>
  <c r="AS38" i="2"/>
  <c r="P38" i="2"/>
  <c r="T38" i="2"/>
  <c r="U38" i="2" s="1"/>
  <c r="AP38" i="2"/>
  <c r="R301" i="2"/>
  <c r="AK301" i="2"/>
  <c r="AS301" i="2"/>
  <c r="AT299" i="2" s="1"/>
  <c r="T301" i="2"/>
  <c r="P301" i="2"/>
  <c r="AP301" i="2"/>
  <c r="AQ299" i="2" s="1"/>
  <c r="AQ149" i="2"/>
  <c r="I40" i="2"/>
  <c r="J39" i="2"/>
  <c r="U138" i="2"/>
  <c r="X138" i="2"/>
  <c r="Z138" i="2"/>
  <c r="AJ138" i="2"/>
  <c r="Y138" i="2"/>
  <c r="AL138" i="2" s="1"/>
  <c r="AU138" i="2" s="1"/>
  <c r="C331" i="2"/>
  <c r="A330" i="2"/>
  <c r="B330" i="2"/>
  <c r="U168" i="2"/>
  <c r="R361" i="2"/>
  <c r="AK361" i="2"/>
  <c r="AP361" i="2"/>
  <c r="AQ359" i="2" s="1"/>
  <c r="P361" i="2"/>
  <c r="AS361" i="2"/>
  <c r="T361" i="2"/>
  <c r="Y196" i="2"/>
  <c r="AL196" i="2" s="1"/>
  <c r="AU196" i="2" s="1"/>
  <c r="AJ196" i="2"/>
  <c r="X196" i="2"/>
  <c r="Z196" i="2" s="1"/>
  <c r="AM196" i="2" s="1"/>
  <c r="AV196" i="2" s="1"/>
  <c r="R240" i="2"/>
  <c r="AK240" i="2"/>
  <c r="T240" i="2"/>
  <c r="AS240" i="2"/>
  <c r="AP240" i="2"/>
  <c r="P240" i="2"/>
  <c r="R259" i="2"/>
  <c r="AK259" i="2"/>
  <c r="T259" i="2"/>
  <c r="P259" i="2"/>
  <c r="AS259" i="2"/>
  <c r="AT257" i="2" s="1"/>
  <c r="AP259" i="2"/>
  <c r="AQ257" i="2" s="1"/>
  <c r="U378" i="2"/>
  <c r="V377" i="2" s="1"/>
  <c r="X377" i="2" s="1"/>
  <c r="Z377" i="2" s="1"/>
  <c r="AM377" i="2" s="1"/>
  <c r="AV377" i="2" s="1"/>
  <c r="J9" i="902"/>
  <c r="N9" i="902" s="1"/>
  <c r="K9" i="902" s="1"/>
  <c r="U209" i="2"/>
  <c r="AM105" i="2"/>
  <c r="AV105" i="2" s="1"/>
  <c r="I97" i="2"/>
  <c r="J97" i="2" s="1"/>
  <c r="J96" i="2"/>
  <c r="C41" i="881"/>
  <c r="R316" i="2"/>
  <c r="AK316" i="2"/>
  <c r="AP316" i="2"/>
  <c r="AQ314" i="2" s="1"/>
  <c r="T316" i="2"/>
  <c r="P316" i="2"/>
  <c r="AS316" i="2"/>
  <c r="AT314" i="2" s="1"/>
  <c r="AH404" i="2"/>
  <c r="AJ404" i="2" s="1"/>
  <c r="R120" i="2"/>
  <c r="AK120" i="2"/>
  <c r="AG120" i="2" s="1"/>
  <c r="P120" i="2"/>
  <c r="AS120" i="2"/>
  <c r="T120" i="2"/>
  <c r="AP120" i="2"/>
  <c r="I185" i="2"/>
  <c r="J184" i="2"/>
  <c r="AJ94" i="2"/>
  <c r="X94" i="2"/>
  <c r="Y94" i="2"/>
  <c r="AL94" i="2" s="1"/>
  <c r="AU94" i="2" s="1"/>
  <c r="Z94" i="2"/>
  <c r="AM94" i="2" s="1"/>
  <c r="AV94" i="2" s="1"/>
  <c r="AJ330" i="2"/>
  <c r="X330" i="2"/>
  <c r="Z330" i="2" s="1"/>
  <c r="AM330" i="2" s="1"/>
  <c r="AV330" i="2" s="1"/>
  <c r="Y330" i="2"/>
  <c r="AL330" i="2" s="1"/>
  <c r="AU330" i="2" s="1"/>
  <c r="Y389" i="2"/>
  <c r="AL389" i="2" s="1"/>
  <c r="AU389" i="2" s="1"/>
  <c r="J241" i="2"/>
  <c r="I242" i="2"/>
  <c r="AS97" i="2"/>
  <c r="P97" i="2"/>
  <c r="T97" i="2"/>
  <c r="X360" i="2"/>
  <c r="Y360" i="2"/>
  <c r="AL360" i="2" s="1"/>
  <c r="AU360" i="2" s="1"/>
  <c r="Z360" i="2"/>
  <c r="AM360" i="2" s="1"/>
  <c r="AV360" i="2" s="1"/>
  <c r="AJ360" i="2"/>
  <c r="AG258" i="2"/>
  <c r="X345" i="2"/>
  <c r="Y345" i="2"/>
  <c r="AL345" i="2" s="1"/>
  <c r="AU345" i="2" s="1"/>
  <c r="Z345" i="2"/>
  <c r="AJ345" i="2"/>
  <c r="U60" i="2"/>
  <c r="V59" i="2" s="1"/>
  <c r="R95" i="2"/>
  <c r="AK95" i="2"/>
  <c r="AG95" i="2" s="1"/>
  <c r="AS95" i="2"/>
  <c r="AP95" i="2"/>
  <c r="T95" i="2"/>
  <c r="E25" i="715"/>
  <c r="AK197" i="2"/>
  <c r="AG197" i="2" s="1"/>
  <c r="AP197" i="2"/>
  <c r="AS197" i="2"/>
  <c r="P197" i="2"/>
  <c r="T197" i="2"/>
  <c r="U197" i="2" s="1"/>
  <c r="R139" i="2"/>
  <c r="AK139" i="2"/>
  <c r="AP139" i="2"/>
  <c r="AQ137" i="2" s="1"/>
  <c r="P139" i="2"/>
  <c r="AS139" i="2"/>
  <c r="AT137" i="2" s="1"/>
  <c r="T139" i="2"/>
  <c r="U139" i="2" s="1"/>
  <c r="A180" i="2"/>
  <c r="B180" i="2"/>
  <c r="C181" i="2"/>
  <c r="E17" i="351"/>
  <c r="AH377" i="2"/>
  <c r="AJ377" i="2" s="1"/>
  <c r="J347" i="2"/>
  <c r="I348" i="2"/>
  <c r="I303" i="2"/>
  <c r="J302" i="2"/>
  <c r="A256" i="2"/>
  <c r="B256" i="2"/>
  <c r="C257" i="2"/>
  <c r="U182" i="2"/>
  <c r="I333" i="2"/>
  <c r="J332" i="2"/>
  <c r="X150" i="2"/>
  <c r="Z150" i="2" s="1"/>
  <c r="AM150" i="2" s="1"/>
  <c r="AV150" i="2" s="1"/>
  <c r="Y150" i="2"/>
  <c r="AL150" i="2" s="1"/>
  <c r="AU150" i="2" s="1"/>
  <c r="AJ150" i="2"/>
  <c r="J152" i="2"/>
  <c r="I153" i="2"/>
  <c r="I363" i="2"/>
  <c r="J362" i="2"/>
  <c r="X224" i="2"/>
  <c r="Y224" i="2"/>
  <c r="AL224" i="2" s="1"/>
  <c r="AU224" i="2" s="1"/>
  <c r="Z224" i="2"/>
  <c r="AM195" i="2"/>
  <c r="AV195" i="2" s="1"/>
  <c r="AG106" i="2"/>
  <c r="AH104" i="2" s="1"/>
  <c r="C136" i="2"/>
  <c r="A135" i="2"/>
  <c r="B135" i="2"/>
  <c r="U196" i="2"/>
  <c r="V194" i="2" s="1"/>
  <c r="U330" i="2"/>
  <c r="B390" i="2"/>
  <c r="C391" i="2"/>
  <c r="A390" i="2"/>
  <c r="AJ37" i="2"/>
  <c r="X37" i="2"/>
  <c r="Z37" i="2" s="1"/>
  <c r="AM37" i="2" s="1"/>
  <c r="AV37" i="2" s="1"/>
  <c r="Y37" i="2"/>
  <c r="AL37" i="2" s="1"/>
  <c r="AU37" i="2" s="1"/>
  <c r="J317" i="2"/>
  <c r="I318" i="2"/>
  <c r="AG360" i="2"/>
  <c r="A150" i="2"/>
  <c r="B150" i="2"/>
  <c r="C151" i="2"/>
  <c r="U345" i="2"/>
  <c r="D25" i="715"/>
  <c r="F18" i="715"/>
  <c r="D301" i="2"/>
  <c r="D136" i="2"/>
  <c r="D166" i="2"/>
  <c r="D391" i="2"/>
  <c r="D6" i="900" a="1"/>
  <c r="D7" i="739" a="1"/>
  <c r="D407" i="2"/>
  <c r="D106" i="2"/>
  <c r="D378" i="2"/>
  <c r="D271" i="2"/>
  <c r="D181" i="2"/>
  <c r="D212" i="2"/>
  <c r="D92" i="2"/>
  <c r="D76" i="2"/>
  <c r="D317" i="2"/>
  <c r="D361" i="2"/>
  <c r="D151" i="2"/>
  <c r="D196" i="2"/>
  <c r="D331" i="2"/>
  <c r="D241" i="2"/>
  <c r="D346" i="2"/>
  <c r="D123" i="2"/>
  <c r="D40" i="2"/>
  <c r="D226" i="2"/>
  <c r="D288" i="2"/>
  <c r="D61" i="2"/>
  <c r="D257" i="2"/>
  <c r="K6" i="739" l="1"/>
  <c r="D7" i="739"/>
  <c r="D6" i="900"/>
  <c r="AT389" i="2"/>
  <c r="V182" i="2"/>
  <c r="X169" i="2"/>
  <c r="Y169" i="2"/>
  <c r="AL169" i="2" s="1"/>
  <c r="AU169" i="2" s="1"/>
  <c r="AJ169" i="2"/>
  <c r="Z169" i="2"/>
  <c r="AM169" i="2" s="1"/>
  <c r="AV169" i="2" s="1"/>
  <c r="C258" i="2"/>
  <c r="A257" i="2"/>
  <c r="B257" i="2"/>
  <c r="AG169" i="2"/>
  <c r="AH167" i="2" s="1"/>
  <c r="AM168" i="2"/>
  <c r="AV168" i="2" s="1"/>
  <c r="B61" i="2"/>
  <c r="A61" i="2"/>
  <c r="C62" i="2"/>
  <c r="R391" i="2"/>
  <c r="AK391" i="2"/>
  <c r="T391" i="2"/>
  <c r="P391" i="2"/>
  <c r="AP391" i="2"/>
  <c r="AQ389" i="2" s="1"/>
  <c r="AS391" i="2"/>
  <c r="J303" i="2"/>
  <c r="I304" i="2"/>
  <c r="AG331" i="2"/>
  <c r="AH329" i="2" s="1"/>
  <c r="AJ329" i="2" s="1"/>
  <c r="I319" i="2"/>
  <c r="J318" i="2"/>
  <c r="R152" i="2"/>
  <c r="AK152" i="2"/>
  <c r="AG152" i="2" s="1"/>
  <c r="T152" i="2"/>
  <c r="U152" i="2" s="1"/>
  <c r="AS152" i="2"/>
  <c r="AP152" i="2"/>
  <c r="P152" i="2"/>
  <c r="R347" i="2"/>
  <c r="AK347" i="2"/>
  <c r="T347" i="2"/>
  <c r="P347" i="2"/>
  <c r="AP347" i="2"/>
  <c r="AS347" i="2"/>
  <c r="AJ197" i="2"/>
  <c r="X197" i="2"/>
  <c r="Y197" i="2"/>
  <c r="AL197" i="2" s="1"/>
  <c r="AU197" i="2" s="1"/>
  <c r="Z197" i="2"/>
  <c r="AM197" i="2" s="1"/>
  <c r="AV197" i="2" s="1"/>
  <c r="U120" i="2"/>
  <c r="AK39" i="2"/>
  <c r="AG39" i="2" s="1"/>
  <c r="AS39" i="2"/>
  <c r="AP39" i="2"/>
  <c r="P39" i="2"/>
  <c r="T39" i="2"/>
  <c r="U39" i="2" s="1"/>
  <c r="I262" i="2"/>
  <c r="J262" i="2" s="1"/>
  <c r="J261" i="2"/>
  <c r="A288" i="2"/>
  <c r="C289" i="2"/>
  <c r="B288" i="2"/>
  <c r="J286" i="2"/>
  <c r="I287" i="2"/>
  <c r="R81" i="2"/>
  <c r="AK81" i="2"/>
  <c r="P81" i="2"/>
  <c r="AP81" i="2"/>
  <c r="AQ80" i="2" s="1"/>
  <c r="AS81" i="2"/>
  <c r="AT80" i="2" s="1"/>
  <c r="T81" i="2"/>
  <c r="U81" i="2" s="1"/>
  <c r="J274" i="2"/>
  <c r="I275" i="2"/>
  <c r="X379" i="2"/>
  <c r="Y379" i="2"/>
  <c r="AL379" i="2" s="1"/>
  <c r="AU379" i="2" s="1"/>
  <c r="Z379" i="2"/>
  <c r="AJ379" i="2"/>
  <c r="R121" i="2"/>
  <c r="AK121" i="2"/>
  <c r="P121" i="2"/>
  <c r="AS121" i="2"/>
  <c r="AT119" i="2" s="1"/>
  <c r="AP121" i="2"/>
  <c r="AQ119" i="2" s="1"/>
  <c r="T121" i="2"/>
  <c r="U121" i="2" s="1"/>
  <c r="I64" i="2"/>
  <c r="J63" i="2"/>
  <c r="AM119" i="2"/>
  <c r="AV119" i="2" s="1"/>
  <c r="X259" i="2"/>
  <c r="Z259" i="2" s="1"/>
  <c r="AM259" i="2" s="1"/>
  <c r="AV259" i="2" s="1"/>
  <c r="Y259" i="2"/>
  <c r="AL259" i="2" s="1"/>
  <c r="AU259" i="2" s="1"/>
  <c r="AJ259" i="2"/>
  <c r="R241" i="2"/>
  <c r="AK241" i="2"/>
  <c r="AS241" i="2"/>
  <c r="AT239" i="2" s="1"/>
  <c r="T241" i="2"/>
  <c r="AP241" i="2"/>
  <c r="AQ239" i="2" s="1"/>
  <c r="P241" i="2"/>
  <c r="U259" i="2"/>
  <c r="AJ38" i="2"/>
  <c r="X38" i="2"/>
  <c r="Z38" i="2" s="1"/>
  <c r="AM38" i="2" s="1"/>
  <c r="AV38" i="2" s="1"/>
  <c r="Y38" i="2"/>
  <c r="AL38" i="2" s="1"/>
  <c r="AU38" i="2" s="1"/>
  <c r="D8" i="902"/>
  <c r="R184" i="2"/>
  <c r="AK184" i="2"/>
  <c r="AG184" i="2" s="1"/>
  <c r="P184" i="2"/>
  <c r="T184" i="2"/>
  <c r="U184" i="2" s="1"/>
  <c r="AP184" i="2"/>
  <c r="AQ182" i="2" s="1"/>
  <c r="AS184" i="2"/>
  <c r="AT182" i="2" s="1"/>
  <c r="R302" i="2"/>
  <c r="AK302" i="2"/>
  <c r="AS302" i="2"/>
  <c r="T302" i="2"/>
  <c r="P302" i="2"/>
  <c r="AP302" i="2"/>
  <c r="AM138" i="2"/>
  <c r="AV138" i="2" s="1"/>
  <c r="AV35" i="2"/>
  <c r="W39" i="702"/>
  <c r="AC39" i="702" s="1"/>
  <c r="W38" i="705"/>
  <c r="J363" i="2"/>
  <c r="I364" i="2"/>
  <c r="I349" i="2"/>
  <c r="J348" i="2"/>
  <c r="I110" i="2"/>
  <c r="J109" i="2"/>
  <c r="I123" i="2"/>
  <c r="J122" i="2"/>
  <c r="R317" i="2"/>
  <c r="AK317" i="2"/>
  <c r="AG317" i="2" s="1"/>
  <c r="T317" i="2"/>
  <c r="U317" i="2" s="1"/>
  <c r="AP317" i="2"/>
  <c r="AS317" i="2"/>
  <c r="P317" i="2"/>
  <c r="R96" i="2"/>
  <c r="AK96" i="2"/>
  <c r="T96" i="2"/>
  <c r="AS96" i="2"/>
  <c r="AP96" i="2"/>
  <c r="P96" i="2"/>
  <c r="U361" i="2"/>
  <c r="V359" i="2" s="1"/>
  <c r="X359" i="2" s="1"/>
  <c r="Z359" i="2" s="1"/>
  <c r="AM359" i="2" s="1"/>
  <c r="AV359" i="2" s="1"/>
  <c r="J40" i="2"/>
  <c r="I47" i="2"/>
  <c r="I41" i="2"/>
  <c r="C227" i="2"/>
  <c r="A226" i="2"/>
  <c r="B226" i="2"/>
  <c r="R260" i="2"/>
  <c r="AK260" i="2"/>
  <c r="P260" i="2"/>
  <c r="T260" i="2"/>
  <c r="AS260" i="2"/>
  <c r="AP260" i="2"/>
  <c r="R285" i="2"/>
  <c r="AK285" i="2"/>
  <c r="T285" i="2"/>
  <c r="P285" i="2"/>
  <c r="AP285" i="2"/>
  <c r="AS285" i="2"/>
  <c r="U107" i="2"/>
  <c r="X151" i="2"/>
  <c r="Y151" i="2"/>
  <c r="AL151" i="2" s="1"/>
  <c r="AU151" i="2" s="1"/>
  <c r="Z151" i="2"/>
  <c r="AM151" i="2" s="1"/>
  <c r="AV151" i="2" s="1"/>
  <c r="AJ151" i="2"/>
  <c r="R82" i="2"/>
  <c r="AK82" i="2"/>
  <c r="AG82" i="2" s="1"/>
  <c r="AS82" i="2"/>
  <c r="P82" i="2"/>
  <c r="AP82" i="2"/>
  <c r="T82" i="2"/>
  <c r="U82" i="2" s="1"/>
  <c r="X61" i="2"/>
  <c r="Y61" i="2"/>
  <c r="AL61" i="2" s="1"/>
  <c r="AU61" i="2" s="1"/>
  <c r="Z61" i="2"/>
  <c r="AJ61" i="2"/>
  <c r="R273" i="2"/>
  <c r="AK273" i="2"/>
  <c r="T273" i="2"/>
  <c r="P273" i="2"/>
  <c r="AS273" i="2"/>
  <c r="AP273" i="2"/>
  <c r="X210" i="2"/>
  <c r="Z210" i="2" s="1"/>
  <c r="AM210" i="2" s="1"/>
  <c r="AV210" i="2" s="1"/>
  <c r="Y210" i="2"/>
  <c r="AL210" i="2" s="1"/>
  <c r="AU210" i="2" s="1"/>
  <c r="AJ210" i="2"/>
  <c r="U169" i="2"/>
  <c r="AK62" i="2"/>
  <c r="P62" i="2"/>
  <c r="T62" i="2"/>
  <c r="U62" i="2" s="1"/>
  <c r="AP62" i="2"/>
  <c r="AS62" i="2"/>
  <c r="U316" i="2"/>
  <c r="V314" i="2" s="1"/>
  <c r="X314" i="2" s="1"/>
  <c r="Z314" i="2" s="1"/>
  <c r="AM314" i="2" s="1"/>
  <c r="AV314" i="2" s="1"/>
  <c r="V299" i="2"/>
  <c r="X299" i="2" s="1"/>
  <c r="Z299" i="2" s="1"/>
  <c r="AM299" i="2" s="1"/>
  <c r="AV299" i="2" s="1"/>
  <c r="R380" i="2"/>
  <c r="AK380" i="2"/>
  <c r="AG380" i="2" s="1"/>
  <c r="P380" i="2"/>
  <c r="T380" i="2"/>
  <c r="AS380" i="2"/>
  <c r="AP380" i="2"/>
  <c r="AM60" i="2"/>
  <c r="AV60" i="2" s="1"/>
  <c r="AG183" i="2"/>
  <c r="AH182" i="2" s="1"/>
  <c r="U331" i="2"/>
  <c r="V329" i="2" s="1"/>
  <c r="X329" i="2" s="1"/>
  <c r="Z329" i="2" s="1"/>
  <c r="AM329" i="2" s="1"/>
  <c r="AV329" i="2" s="1"/>
  <c r="AH359" i="2"/>
  <c r="AJ359" i="2" s="1"/>
  <c r="AJ120" i="2"/>
  <c r="X120" i="2"/>
  <c r="Z120" i="2" s="1"/>
  <c r="AM120" i="2" s="1"/>
  <c r="AV120" i="2" s="1"/>
  <c r="Y120" i="2"/>
  <c r="AL120" i="2" s="1"/>
  <c r="AU120" i="2" s="1"/>
  <c r="R97" i="2"/>
  <c r="AK97" i="2"/>
  <c r="AG97" i="2" s="1"/>
  <c r="U240" i="2"/>
  <c r="U390" i="2"/>
  <c r="AJ107" i="2"/>
  <c r="X107" i="2"/>
  <c r="Y107" i="2"/>
  <c r="AL107" i="2" s="1"/>
  <c r="AU107" i="2" s="1"/>
  <c r="Z107" i="2"/>
  <c r="AM107" i="2" s="1"/>
  <c r="AV107" i="2" s="1"/>
  <c r="U210" i="2"/>
  <c r="X225" i="2"/>
  <c r="Y225" i="2"/>
  <c r="AL225" i="2" s="1"/>
  <c r="AU225" i="2" s="1"/>
  <c r="Z225" i="2"/>
  <c r="AJ225" i="2"/>
  <c r="AK140" i="2"/>
  <c r="R140" i="2"/>
  <c r="T140" i="2"/>
  <c r="AP140" i="2"/>
  <c r="P140" i="2"/>
  <c r="AS140" i="2"/>
  <c r="AJ97" i="2"/>
  <c r="Y97" i="2"/>
  <c r="AL97" i="2" s="1"/>
  <c r="X97" i="2"/>
  <c r="Z97" i="2" s="1"/>
  <c r="AM97" i="2" s="1"/>
  <c r="AV97" i="2" s="1"/>
  <c r="I200" i="2"/>
  <c r="J199" i="2"/>
  <c r="AC38" i="705"/>
  <c r="AG259" i="2"/>
  <c r="AH257" i="2" s="1"/>
  <c r="A40" i="2"/>
  <c r="B40" i="2"/>
  <c r="C44" i="2"/>
  <c r="C41" i="2"/>
  <c r="C47" i="2"/>
  <c r="R362" i="2"/>
  <c r="AK362" i="2"/>
  <c r="AG362" i="2" s="1"/>
  <c r="P362" i="2"/>
  <c r="T362" i="2"/>
  <c r="U362" i="2" s="1"/>
  <c r="AS362" i="2"/>
  <c r="AP362" i="2"/>
  <c r="J185" i="2"/>
  <c r="I186" i="2"/>
  <c r="Y407" i="2"/>
  <c r="AL407" i="2" s="1"/>
  <c r="AU407" i="2" s="1"/>
  <c r="A123" i="2"/>
  <c r="B123" i="2"/>
  <c r="C124" i="2"/>
  <c r="C347" i="2"/>
  <c r="A346" i="2"/>
  <c r="B346" i="2"/>
  <c r="V137" i="2"/>
  <c r="AG240" i="2"/>
  <c r="X361" i="2"/>
  <c r="Y361" i="2"/>
  <c r="AL361" i="2" s="1"/>
  <c r="AU361" i="2" s="1"/>
  <c r="Z361" i="2"/>
  <c r="AM361" i="2" s="1"/>
  <c r="AV361" i="2" s="1"/>
  <c r="AJ361" i="2"/>
  <c r="C242" i="2"/>
  <c r="A241" i="2"/>
  <c r="B241" i="2"/>
  <c r="I172" i="2"/>
  <c r="J172" i="2" s="1"/>
  <c r="J171" i="2"/>
  <c r="J141" i="2"/>
  <c r="I142" i="2"/>
  <c r="J142" i="2" s="1"/>
  <c r="Z316" i="2"/>
  <c r="X316" i="2"/>
  <c r="Y316" i="2"/>
  <c r="AL316" i="2" s="1"/>
  <c r="AU316" i="2" s="1"/>
  <c r="AJ316" i="2"/>
  <c r="A331" i="2"/>
  <c r="B331" i="2"/>
  <c r="C332" i="2"/>
  <c r="R226" i="2"/>
  <c r="T226" i="2"/>
  <c r="AS226" i="2"/>
  <c r="AT224" i="2" s="1"/>
  <c r="P226" i="2"/>
  <c r="AK226" i="2"/>
  <c r="AG226" i="2" s="1"/>
  <c r="AH224" i="2" s="1"/>
  <c r="AJ224" i="2" s="1"/>
  <c r="AM224" i="2" s="1"/>
  <c r="AV224" i="2" s="1"/>
  <c r="AP226" i="2"/>
  <c r="AQ224" i="2" s="1"/>
  <c r="AM378" i="2"/>
  <c r="AV378" i="2" s="1"/>
  <c r="C197" i="2"/>
  <c r="A196" i="2"/>
  <c r="B196" i="2"/>
  <c r="X331" i="2"/>
  <c r="AJ331" i="2"/>
  <c r="Y331" i="2"/>
  <c r="AL331" i="2" s="1"/>
  <c r="AU331" i="2" s="1"/>
  <c r="Z331" i="2"/>
  <c r="AM331" i="2" s="1"/>
  <c r="AV331" i="2" s="1"/>
  <c r="J392" i="2"/>
  <c r="I393" i="2"/>
  <c r="AG407" i="2"/>
  <c r="AJ301" i="2"/>
  <c r="X301" i="2"/>
  <c r="Z301" i="2" s="1"/>
  <c r="AM301" i="2" s="1"/>
  <c r="AV301" i="2" s="1"/>
  <c r="Y301" i="2"/>
  <c r="AL301" i="2" s="1"/>
  <c r="AU301" i="2" s="1"/>
  <c r="Y272" i="2"/>
  <c r="AL272" i="2" s="1"/>
  <c r="AU272" i="2" s="1"/>
  <c r="R408" i="2"/>
  <c r="AK408" i="2"/>
  <c r="AG408" i="2" s="1"/>
  <c r="AS408" i="2"/>
  <c r="AP408" i="2"/>
  <c r="P408" i="2"/>
  <c r="T408" i="2"/>
  <c r="U408" i="2" s="1"/>
  <c r="AM283" i="2"/>
  <c r="AV283" i="2" s="1"/>
  <c r="AK170" i="2"/>
  <c r="AG170" i="2" s="1"/>
  <c r="AP170" i="2"/>
  <c r="AS170" i="2"/>
  <c r="T170" i="2"/>
  <c r="P170" i="2"/>
  <c r="X139" i="2"/>
  <c r="Y139" i="2"/>
  <c r="AL139" i="2" s="1"/>
  <c r="AU139" i="2" s="1"/>
  <c r="Z139" i="2"/>
  <c r="AJ139" i="2"/>
  <c r="X183" i="2"/>
  <c r="Y183" i="2"/>
  <c r="AL183" i="2" s="1"/>
  <c r="AU183" i="2" s="1"/>
  <c r="Z183" i="2"/>
  <c r="AJ183" i="2"/>
  <c r="B151" i="2"/>
  <c r="C152" i="2"/>
  <c r="A151" i="2"/>
  <c r="AG316" i="2"/>
  <c r="AH314" i="2" s="1"/>
  <c r="AJ314" i="2" s="1"/>
  <c r="AG38" i="2"/>
  <c r="AM106" i="2"/>
  <c r="AV106" i="2" s="1"/>
  <c r="A361" i="2"/>
  <c r="B361" i="2"/>
  <c r="C362" i="2"/>
  <c r="AM269" i="2"/>
  <c r="AV269" i="2" s="1"/>
  <c r="AG361" i="2"/>
  <c r="C318" i="2"/>
  <c r="B317" i="2"/>
  <c r="A317" i="2"/>
  <c r="AK211" i="2"/>
  <c r="AG211" i="2" s="1"/>
  <c r="AH209" i="2" s="1"/>
  <c r="T211" i="2"/>
  <c r="U211" i="2" s="1"/>
  <c r="V209" i="2" s="1"/>
  <c r="AP211" i="2"/>
  <c r="AQ209" i="2" s="1"/>
  <c r="P211" i="2"/>
  <c r="AS211" i="2"/>
  <c r="AT209" i="2" s="1"/>
  <c r="U346" i="2"/>
  <c r="V344" i="2" s="1"/>
  <c r="X344" i="2" s="1"/>
  <c r="Z344" i="2" s="1"/>
  <c r="AM344" i="2" s="1"/>
  <c r="AV344" i="2" s="1"/>
  <c r="AM79" i="2"/>
  <c r="AV79" i="2" s="1"/>
  <c r="I228" i="2"/>
  <c r="J227" i="2"/>
  <c r="I243" i="2"/>
  <c r="J242" i="2"/>
  <c r="AK198" i="2"/>
  <c r="P198" i="2"/>
  <c r="AP198" i="2"/>
  <c r="T198" i="2"/>
  <c r="U198" i="2" s="1"/>
  <c r="AS198" i="2"/>
  <c r="C77" i="2"/>
  <c r="A76" i="2"/>
  <c r="B76" i="2"/>
  <c r="B92" i="2"/>
  <c r="C93" i="2"/>
  <c r="A92" i="2"/>
  <c r="AG139" i="2"/>
  <c r="AH137" i="2" s="1"/>
  <c r="AM345" i="2"/>
  <c r="AV345" i="2" s="1"/>
  <c r="I154" i="2"/>
  <c r="J153" i="2"/>
  <c r="X240" i="2"/>
  <c r="Y240" i="2"/>
  <c r="AL240" i="2" s="1"/>
  <c r="AU240" i="2" s="1"/>
  <c r="Z240" i="2"/>
  <c r="AM240" i="2" s="1"/>
  <c r="AV240" i="2" s="1"/>
  <c r="AJ240" i="2"/>
  <c r="AK332" i="2"/>
  <c r="AG332" i="2" s="1"/>
  <c r="R332" i="2"/>
  <c r="AS332" i="2"/>
  <c r="T332" i="2"/>
  <c r="AP332" i="2"/>
  <c r="P332" i="2"/>
  <c r="U301" i="2"/>
  <c r="C213" i="2"/>
  <c r="A212" i="2"/>
  <c r="B212" i="2"/>
  <c r="Y390" i="2"/>
  <c r="AL390" i="2" s="1"/>
  <c r="AU390" i="2" s="1"/>
  <c r="X390" i="2"/>
  <c r="Z390" i="2"/>
  <c r="AJ390" i="2"/>
  <c r="I410" i="2"/>
  <c r="J409" i="2"/>
  <c r="J333" i="2"/>
  <c r="I334" i="2"/>
  <c r="B181" i="2"/>
  <c r="C182" i="2"/>
  <c r="A181" i="2"/>
  <c r="U95" i="2"/>
  <c r="Y95" i="2"/>
  <c r="AL95" i="2" s="1"/>
  <c r="AU95" i="2" s="1"/>
  <c r="AP97" i="2"/>
  <c r="AQ95" i="2" s="1"/>
  <c r="A271" i="2"/>
  <c r="B271" i="2"/>
  <c r="C272" i="2"/>
  <c r="AG390" i="2"/>
  <c r="Z38" i="705"/>
  <c r="Z39" i="702"/>
  <c r="U284" i="2"/>
  <c r="C379" i="2"/>
  <c r="A378" i="2"/>
  <c r="B378" i="2"/>
  <c r="J212" i="2"/>
  <c r="I213" i="2"/>
  <c r="AT95" i="2"/>
  <c r="B106" i="2"/>
  <c r="A106" i="2"/>
  <c r="C107" i="2"/>
  <c r="C408" i="2"/>
  <c r="B407" i="2"/>
  <c r="A407" i="2"/>
  <c r="U80" i="2"/>
  <c r="Y80" i="2"/>
  <c r="AL80" i="2" s="1"/>
  <c r="AU80" i="2" s="1"/>
  <c r="U183" i="2"/>
  <c r="J381" i="2"/>
  <c r="I382" i="2"/>
  <c r="J382" i="2" s="1"/>
  <c r="A391" i="2"/>
  <c r="B391" i="2"/>
  <c r="C392" i="2"/>
  <c r="R108" i="2"/>
  <c r="AK108" i="2"/>
  <c r="AG108" i="2" s="1"/>
  <c r="AP108" i="2"/>
  <c r="T108" i="2"/>
  <c r="P108" i="2"/>
  <c r="AS108" i="2"/>
  <c r="A166" i="2"/>
  <c r="B166" i="2"/>
  <c r="C167" i="2"/>
  <c r="C137" i="2"/>
  <c r="B136" i="2"/>
  <c r="A136" i="2"/>
  <c r="AV95" i="2"/>
  <c r="U97" i="2"/>
  <c r="V167" i="2"/>
  <c r="AG301" i="2"/>
  <c r="AH299" i="2" s="1"/>
  <c r="AJ299" i="2" s="1"/>
  <c r="V257" i="2"/>
  <c r="A301" i="2"/>
  <c r="C302" i="2"/>
  <c r="B301" i="2"/>
  <c r="Y284" i="2"/>
  <c r="AL284" i="2" s="1"/>
  <c r="AU284" i="2" s="1"/>
  <c r="Y346" i="2"/>
  <c r="AL346" i="2" s="1"/>
  <c r="AU346" i="2" s="1"/>
  <c r="AJ346" i="2"/>
  <c r="X346" i="2"/>
  <c r="Z346" i="2" s="1"/>
  <c r="AM346" i="2" s="1"/>
  <c r="AV346" i="2" s="1"/>
  <c r="D41" i="2"/>
  <c r="D408" i="2"/>
  <c r="D197" i="2"/>
  <c r="D124" i="2"/>
  <c r="D213" i="2"/>
  <c r="D62" i="2"/>
  <c r="D347" i="2"/>
  <c r="D47" i="2"/>
  <c r="D302" i="2"/>
  <c r="D392" i="2"/>
  <c r="G32" i="881" a="1"/>
  <c r="E18" i="730" a="1"/>
  <c r="D18" i="730" a="1"/>
  <c r="D332" i="2"/>
  <c r="D107" i="2"/>
  <c r="D93" i="2"/>
  <c r="D137" i="2"/>
  <c r="D272" i="2"/>
  <c r="D227" i="2"/>
  <c r="D77" i="2"/>
  <c r="D242" i="2"/>
  <c r="D167" i="2"/>
  <c r="D289" i="2"/>
  <c r="D182" i="2"/>
  <c r="D362" i="2"/>
  <c r="D379" i="2"/>
  <c r="D318" i="2"/>
  <c r="D152" i="2"/>
  <c r="D258" i="2"/>
  <c r="D44" i="2"/>
  <c r="H8" i="739" a="1"/>
  <c r="H8" i="739" l="1"/>
  <c r="D18" i="730"/>
  <c r="E18" i="730"/>
  <c r="G32" i="881"/>
  <c r="AT272" i="2"/>
  <c r="AT38" i="2"/>
  <c r="AT284" i="2"/>
  <c r="AQ284" i="2"/>
  <c r="V38" i="2"/>
  <c r="AK171" i="2"/>
  <c r="AP171" i="2"/>
  <c r="P171" i="2"/>
  <c r="AS171" i="2"/>
  <c r="T171" i="2"/>
  <c r="U171" i="2" s="1"/>
  <c r="A44" i="2"/>
  <c r="C45" i="2"/>
  <c r="B44" i="2"/>
  <c r="AM390" i="2"/>
  <c r="AV390" i="2" s="1"/>
  <c r="U273" i="2"/>
  <c r="V119" i="2"/>
  <c r="AG81" i="2"/>
  <c r="AH80" i="2" s="1"/>
  <c r="AJ80" i="2" s="1"/>
  <c r="AM80" i="2" s="1"/>
  <c r="AV80" i="2" s="1"/>
  <c r="Y285" i="2"/>
  <c r="AL285" i="2" s="1"/>
  <c r="AU285" i="2" s="1"/>
  <c r="X285" i="2"/>
  <c r="Z285" i="2" s="1"/>
  <c r="AM285" i="2" s="1"/>
  <c r="AV285" i="2" s="1"/>
  <c r="AJ285" i="2"/>
  <c r="AJ96" i="2"/>
  <c r="Y96" i="2"/>
  <c r="AL96" i="2" s="1"/>
  <c r="AU96" i="2" s="1"/>
  <c r="X96" i="2"/>
  <c r="Z96" i="2" s="1"/>
  <c r="AM96" i="2" s="1"/>
  <c r="AV96" i="2" s="1"/>
  <c r="R286" i="2"/>
  <c r="AK286" i="2"/>
  <c r="AG286" i="2" s="1"/>
  <c r="AP286" i="2"/>
  <c r="AS286" i="2"/>
  <c r="T286" i="2"/>
  <c r="U286" i="2" s="1"/>
  <c r="P286" i="2"/>
  <c r="Y332" i="2"/>
  <c r="AL332" i="2" s="1"/>
  <c r="AU332" i="2" s="1"/>
  <c r="R348" i="2"/>
  <c r="AK348" i="2"/>
  <c r="P348" i="2"/>
  <c r="T348" i="2"/>
  <c r="U348" i="2" s="1"/>
  <c r="AS348" i="2"/>
  <c r="AP348" i="2"/>
  <c r="AM379" i="2"/>
  <c r="AV379" i="2" s="1"/>
  <c r="I305" i="2"/>
  <c r="J304" i="2"/>
  <c r="J64" i="2"/>
  <c r="I65" i="2"/>
  <c r="A258" i="2"/>
  <c r="B258" i="2"/>
  <c r="C259" i="2"/>
  <c r="B152" i="2"/>
  <c r="A152" i="2"/>
  <c r="C153" i="2"/>
  <c r="X226" i="2"/>
  <c r="Y226" i="2"/>
  <c r="AL226" i="2" s="1"/>
  <c r="AU226" i="2" s="1"/>
  <c r="Z226" i="2"/>
  <c r="AM226" i="2" s="1"/>
  <c r="AV226" i="2" s="1"/>
  <c r="AJ226" i="2"/>
  <c r="R153" i="2"/>
  <c r="AK153" i="2"/>
  <c r="AG153" i="2" s="1"/>
  <c r="T153" i="2"/>
  <c r="U153" i="2" s="1"/>
  <c r="P153" i="2"/>
  <c r="AP153" i="2"/>
  <c r="AS153" i="2"/>
  <c r="J41" i="2"/>
  <c r="I42" i="2"/>
  <c r="X241" i="2"/>
  <c r="Y241" i="2"/>
  <c r="AL241" i="2" s="1"/>
  <c r="AU241" i="2" s="1"/>
  <c r="Z241" i="2"/>
  <c r="AJ241" i="2"/>
  <c r="C319" i="2"/>
  <c r="A318" i="2"/>
  <c r="B318" i="2"/>
  <c r="R122" i="2"/>
  <c r="AK122" i="2"/>
  <c r="AP122" i="2"/>
  <c r="AS122" i="2"/>
  <c r="P122" i="2"/>
  <c r="T122" i="2"/>
  <c r="U122" i="2" s="1"/>
  <c r="X62" i="2"/>
  <c r="Y62" i="2"/>
  <c r="AL62" i="2" s="1"/>
  <c r="AU62" i="2" s="1"/>
  <c r="Z62" i="2"/>
  <c r="AK199" i="2"/>
  <c r="AS199" i="2"/>
  <c r="AT197" i="2" s="1"/>
  <c r="P199" i="2"/>
  <c r="T199" i="2"/>
  <c r="AP199" i="2"/>
  <c r="AQ197" i="2" s="1"/>
  <c r="U285" i="2"/>
  <c r="I288" i="2"/>
  <c r="J287" i="2"/>
  <c r="A379" i="2"/>
  <c r="B379" i="2"/>
  <c r="C380" i="2"/>
  <c r="J243" i="2"/>
  <c r="I244" i="2"/>
  <c r="AG241" i="2"/>
  <c r="AH239" i="2" s="1"/>
  <c r="AJ239" i="2" s="1"/>
  <c r="AM239" i="2" s="1"/>
  <c r="AV239" i="2" s="1"/>
  <c r="R227" i="2"/>
  <c r="AK227" i="2"/>
  <c r="P227" i="2"/>
  <c r="AP227" i="2"/>
  <c r="T227" i="2"/>
  <c r="U227" i="2" s="1"/>
  <c r="AS227" i="2"/>
  <c r="A362" i="2"/>
  <c r="B362" i="2"/>
  <c r="C363" i="2"/>
  <c r="AM139" i="2"/>
  <c r="AV139" i="2" s="1"/>
  <c r="C183" i="2"/>
  <c r="B182" i="2"/>
  <c r="A182" i="2"/>
  <c r="J228" i="2"/>
  <c r="I229" i="2"/>
  <c r="R392" i="2"/>
  <c r="AK392" i="2"/>
  <c r="T392" i="2"/>
  <c r="AP392" i="2"/>
  <c r="AS392" i="2"/>
  <c r="P392" i="2"/>
  <c r="U96" i="2"/>
  <c r="J349" i="2"/>
  <c r="I350" i="2"/>
  <c r="A289" i="2"/>
  <c r="C290" i="2"/>
  <c r="B289" i="2"/>
  <c r="Y347" i="2"/>
  <c r="AL347" i="2" s="1"/>
  <c r="AU347" i="2" s="1"/>
  <c r="AK303" i="2"/>
  <c r="R303" i="2"/>
  <c r="AS303" i="2"/>
  <c r="P303" i="2"/>
  <c r="AP303" i="2"/>
  <c r="T303" i="2"/>
  <c r="Y273" i="2"/>
  <c r="AL273" i="2" s="1"/>
  <c r="AU273" i="2" s="1"/>
  <c r="Z273" i="2"/>
  <c r="AM273" i="2" s="1"/>
  <c r="AV273" i="2" s="1"/>
  <c r="AJ273" i="2"/>
  <c r="X273" i="2"/>
  <c r="U140" i="2"/>
  <c r="I155" i="2"/>
  <c r="J154" i="2"/>
  <c r="AG302" i="2"/>
  <c r="R382" i="2"/>
  <c r="AK382" i="2"/>
  <c r="AP382" i="2"/>
  <c r="AS382" i="2"/>
  <c r="T382" i="2"/>
  <c r="P382" i="2"/>
  <c r="AK381" i="2"/>
  <c r="AG381" i="2" s="1"/>
  <c r="R381" i="2"/>
  <c r="P381" i="2"/>
  <c r="T381" i="2"/>
  <c r="U381" i="2" s="1"/>
  <c r="AS381" i="2"/>
  <c r="AT380" i="2" s="1"/>
  <c r="AP381" i="2"/>
  <c r="AQ380" i="2" s="1"/>
  <c r="AM225" i="2"/>
  <c r="AV225" i="2" s="1"/>
  <c r="AK109" i="2"/>
  <c r="R109" i="2"/>
  <c r="P109" i="2"/>
  <c r="T109" i="2"/>
  <c r="U109" i="2" s="1"/>
  <c r="AP109" i="2"/>
  <c r="AQ107" i="2" s="1"/>
  <c r="AS109" i="2"/>
  <c r="AT107" i="2" s="1"/>
  <c r="A167" i="2"/>
  <c r="B167" i="2"/>
  <c r="C168" i="2"/>
  <c r="U332" i="2"/>
  <c r="AJ408" i="2"/>
  <c r="X408" i="2"/>
  <c r="Z408" i="2" s="1"/>
  <c r="AM408" i="2" s="1"/>
  <c r="AV408" i="2" s="1"/>
  <c r="Y408" i="2"/>
  <c r="AL408" i="2" s="1"/>
  <c r="AU408" i="2" s="1"/>
  <c r="A242" i="2"/>
  <c r="B242" i="2"/>
  <c r="C243" i="2"/>
  <c r="Y362" i="2"/>
  <c r="AL362" i="2" s="1"/>
  <c r="AU362" i="2" s="1"/>
  <c r="U380" i="2"/>
  <c r="Y82" i="2"/>
  <c r="AL82" i="2" s="1"/>
  <c r="AU82" i="2" s="1"/>
  <c r="Z82" i="2"/>
  <c r="AJ82" i="2"/>
  <c r="X82" i="2"/>
  <c r="AG96" i="2"/>
  <c r="AH95" i="2" s="1"/>
  <c r="I365" i="2"/>
  <c r="J364" i="2"/>
  <c r="X184" i="2"/>
  <c r="AJ184" i="2"/>
  <c r="Y184" i="2"/>
  <c r="AL184" i="2" s="1"/>
  <c r="AU184" i="2" s="1"/>
  <c r="Z184" i="2"/>
  <c r="AM184" i="2" s="1"/>
  <c r="AV184" i="2" s="1"/>
  <c r="U347" i="2"/>
  <c r="A77" i="2"/>
  <c r="B77" i="2"/>
  <c r="C78" i="2"/>
  <c r="X140" i="2"/>
  <c r="Y140" i="2"/>
  <c r="AL140" i="2" s="1"/>
  <c r="AU140" i="2" s="1"/>
  <c r="AJ140" i="2"/>
  <c r="Z140" i="2"/>
  <c r="AM140" i="2" s="1"/>
  <c r="AV140" i="2" s="1"/>
  <c r="C228" i="2"/>
  <c r="A227" i="2"/>
  <c r="B227" i="2"/>
  <c r="A272" i="2"/>
  <c r="B272" i="2"/>
  <c r="C273" i="2"/>
  <c r="I214" i="2"/>
  <c r="J213" i="2"/>
  <c r="J319" i="2"/>
  <c r="I320" i="2"/>
  <c r="J123" i="2"/>
  <c r="I124" i="2"/>
  <c r="R242" i="2"/>
  <c r="AK242" i="2"/>
  <c r="AP242" i="2"/>
  <c r="AS242" i="2"/>
  <c r="T242" i="2"/>
  <c r="P242" i="2"/>
  <c r="R185" i="2"/>
  <c r="AK185" i="2"/>
  <c r="AG185" i="2" s="1"/>
  <c r="AS185" i="2"/>
  <c r="T185" i="2"/>
  <c r="AP185" i="2"/>
  <c r="AG62" i="2"/>
  <c r="AG285" i="2"/>
  <c r="J110" i="2"/>
  <c r="I111" i="2"/>
  <c r="C138" i="2"/>
  <c r="A137" i="2"/>
  <c r="B137" i="2"/>
  <c r="J393" i="2"/>
  <c r="I394" i="2"/>
  <c r="V80" i="2"/>
  <c r="J334" i="2"/>
  <c r="I335" i="2"/>
  <c r="B93" i="2"/>
  <c r="C94" i="2"/>
  <c r="A93" i="2"/>
  <c r="AM316" i="2"/>
  <c r="AV316" i="2" s="1"/>
  <c r="Y380" i="2"/>
  <c r="AL380" i="2" s="1"/>
  <c r="AU380" i="2" s="1"/>
  <c r="U260" i="2"/>
  <c r="AK363" i="2"/>
  <c r="AG363" i="2" s="1"/>
  <c r="R363" i="2"/>
  <c r="AP363" i="2"/>
  <c r="T363" i="2"/>
  <c r="U363" i="2" s="1"/>
  <c r="P363" i="2"/>
  <c r="AS363" i="2"/>
  <c r="R261" i="2"/>
  <c r="AK261" i="2"/>
  <c r="AP261" i="2"/>
  <c r="AQ260" i="2" s="1"/>
  <c r="AS261" i="2"/>
  <c r="AT260" i="2" s="1"/>
  <c r="P261" i="2"/>
  <c r="T261" i="2"/>
  <c r="AG347" i="2"/>
  <c r="C108" i="2"/>
  <c r="A107" i="2"/>
  <c r="B107" i="2"/>
  <c r="AK63" i="2"/>
  <c r="AG63" i="2" s="1"/>
  <c r="R63" i="2"/>
  <c r="AP63" i="2"/>
  <c r="P63" i="2"/>
  <c r="AS63" i="2"/>
  <c r="T63" i="2"/>
  <c r="U63" i="2" s="1"/>
  <c r="AK172" i="2"/>
  <c r="T172" i="2"/>
  <c r="U172" i="2" s="1"/>
  <c r="AS172" i="2"/>
  <c r="AT170" i="2" s="1"/>
  <c r="P172" i="2"/>
  <c r="AP172" i="2"/>
  <c r="AQ170" i="2" s="1"/>
  <c r="AG273" i="2"/>
  <c r="X81" i="2"/>
  <c r="Y81" i="2"/>
  <c r="AL81" i="2" s="1"/>
  <c r="AU81" i="2" s="1"/>
  <c r="Z81" i="2"/>
  <c r="AJ81" i="2"/>
  <c r="R318" i="2"/>
  <c r="AK318" i="2"/>
  <c r="AG318" i="2" s="1"/>
  <c r="AS318" i="2"/>
  <c r="T318" i="2"/>
  <c r="U318" i="2" s="1"/>
  <c r="P318" i="2"/>
  <c r="AP318" i="2"/>
  <c r="AK40" i="2"/>
  <c r="AG40" i="2" s="1"/>
  <c r="T40" i="2"/>
  <c r="U40" i="2" s="1"/>
  <c r="P40" i="2"/>
  <c r="AS40" i="2"/>
  <c r="AP40" i="2"/>
  <c r="AQ38" i="2" s="1"/>
  <c r="AG198" i="2"/>
  <c r="A332" i="2"/>
  <c r="B332" i="2"/>
  <c r="C333" i="2"/>
  <c r="AU97" i="2"/>
  <c r="X260" i="2"/>
  <c r="Z260" i="2" s="1"/>
  <c r="AM260" i="2" s="1"/>
  <c r="AV260" i="2" s="1"/>
  <c r="Y260" i="2"/>
  <c r="AL260" i="2" s="1"/>
  <c r="AU260" i="2" s="1"/>
  <c r="AJ260" i="2"/>
  <c r="AD38" i="705"/>
  <c r="R262" i="2"/>
  <c r="AK262" i="2"/>
  <c r="AP262" i="2"/>
  <c r="AS262" i="2"/>
  <c r="P262" i="2"/>
  <c r="T262" i="2"/>
  <c r="U262" i="2" s="1"/>
  <c r="X391" i="2"/>
  <c r="Z391" i="2" s="1"/>
  <c r="AM391" i="2" s="1"/>
  <c r="AV391" i="2" s="1"/>
  <c r="AJ391" i="2"/>
  <c r="Y391" i="2"/>
  <c r="AL391" i="2" s="1"/>
  <c r="AU391" i="2" s="1"/>
  <c r="A392" i="2"/>
  <c r="C393" i="2"/>
  <c r="B392" i="2"/>
  <c r="H13" i="739"/>
  <c r="J47" i="2"/>
  <c r="I48" i="2"/>
  <c r="AM183" i="2"/>
  <c r="AV183" i="2" s="1"/>
  <c r="J186" i="2"/>
  <c r="I187" i="2"/>
  <c r="J187" i="2" s="1"/>
  <c r="AM61" i="2"/>
  <c r="AV61" i="2" s="1"/>
  <c r="AG121" i="2"/>
  <c r="AH119" i="2" s="1"/>
  <c r="J200" i="2"/>
  <c r="I201" i="2"/>
  <c r="A302" i="2"/>
  <c r="B302" i="2"/>
  <c r="C303" i="2"/>
  <c r="V284" i="2"/>
  <c r="X284" i="2" s="1"/>
  <c r="Z284" i="2" s="1"/>
  <c r="R409" i="2"/>
  <c r="AK409" i="2"/>
  <c r="T409" i="2"/>
  <c r="P409" i="2"/>
  <c r="AS409" i="2"/>
  <c r="AT407" i="2" s="1"/>
  <c r="AP409" i="2"/>
  <c r="AQ407" i="2" s="1"/>
  <c r="X170" i="2"/>
  <c r="Z170" i="2" s="1"/>
  <c r="AM170" i="2" s="1"/>
  <c r="AV170" i="2" s="1"/>
  <c r="Y170" i="2"/>
  <c r="AL170" i="2" s="1"/>
  <c r="AU170" i="2" s="1"/>
  <c r="AJ170" i="2"/>
  <c r="C48" i="2"/>
  <c r="B47" i="2"/>
  <c r="A47" i="2"/>
  <c r="AG260" i="2"/>
  <c r="AD39" i="702"/>
  <c r="F8" i="902"/>
  <c r="G8" i="902" s="1"/>
  <c r="I8" i="902"/>
  <c r="J8" i="902" s="1"/>
  <c r="N8" i="902" s="1"/>
  <c r="K8" i="902" s="1"/>
  <c r="I276" i="2"/>
  <c r="J275" i="2"/>
  <c r="X152" i="2"/>
  <c r="Z152" i="2" s="1"/>
  <c r="Y152" i="2"/>
  <c r="AL152" i="2" s="1"/>
  <c r="AU152" i="2" s="1"/>
  <c r="U391" i="2"/>
  <c r="V389" i="2" s="1"/>
  <c r="X389" i="2" s="1"/>
  <c r="Z389" i="2" s="1"/>
  <c r="AM389" i="2" s="1"/>
  <c r="AV389" i="2" s="1"/>
  <c r="Y302" i="2"/>
  <c r="AL302" i="2" s="1"/>
  <c r="AU302" i="2" s="1"/>
  <c r="U302" i="2"/>
  <c r="U226" i="2"/>
  <c r="V224" i="2" s="1"/>
  <c r="AK212" i="2"/>
  <c r="P212" i="2"/>
  <c r="T212" i="2"/>
  <c r="U212" i="2" s="1"/>
  <c r="AS212" i="2"/>
  <c r="AP212" i="2"/>
  <c r="X198" i="2"/>
  <c r="Y198" i="2"/>
  <c r="AL198" i="2" s="1"/>
  <c r="AU198" i="2" s="1"/>
  <c r="Z198" i="2"/>
  <c r="AM198" i="2" s="1"/>
  <c r="AV198" i="2" s="1"/>
  <c r="AJ198" i="2"/>
  <c r="C348" i="2"/>
  <c r="A347" i="2"/>
  <c r="B347" i="2"/>
  <c r="AG140" i="2"/>
  <c r="X121" i="2"/>
  <c r="Y121" i="2"/>
  <c r="AL121" i="2" s="1"/>
  <c r="AU121" i="2" s="1"/>
  <c r="Z121" i="2"/>
  <c r="AJ121" i="2"/>
  <c r="U241" i="2"/>
  <c r="V239" i="2" s="1"/>
  <c r="C63" i="2"/>
  <c r="A62" i="2"/>
  <c r="B62" i="2"/>
  <c r="C214" i="2"/>
  <c r="A213" i="2"/>
  <c r="B213" i="2"/>
  <c r="B124" i="2"/>
  <c r="A124" i="2"/>
  <c r="C125" i="2"/>
  <c r="V95" i="2"/>
  <c r="AK333" i="2"/>
  <c r="R333" i="2"/>
  <c r="T333" i="2"/>
  <c r="AS333" i="2"/>
  <c r="AP333" i="2"/>
  <c r="P333" i="2"/>
  <c r="X108" i="2"/>
  <c r="Y108" i="2"/>
  <c r="AL108" i="2" s="1"/>
  <c r="AU108" i="2" s="1"/>
  <c r="Z108" i="2"/>
  <c r="AM108" i="2" s="1"/>
  <c r="AV108" i="2" s="1"/>
  <c r="AJ108" i="2"/>
  <c r="AH38" i="2"/>
  <c r="B197" i="2"/>
  <c r="C198" i="2"/>
  <c r="A197" i="2"/>
  <c r="R142" i="2"/>
  <c r="AK142" i="2"/>
  <c r="T142" i="2"/>
  <c r="AP142" i="2"/>
  <c r="P142" i="2"/>
  <c r="AS142" i="2"/>
  <c r="U108" i="2"/>
  <c r="V107" i="2" s="1"/>
  <c r="A408" i="2"/>
  <c r="B408" i="2"/>
  <c r="C409" i="2"/>
  <c r="I411" i="2"/>
  <c r="J410" i="2"/>
  <c r="X211" i="2"/>
  <c r="Y211" i="2"/>
  <c r="AL211" i="2" s="1"/>
  <c r="AU211" i="2" s="1"/>
  <c r="Z211" i="2"/>
  <c r="AM211" i="2" s="1"/>
  <c r="AV211" i="2" s="1"/>
  <c r="AJ211" i="2"/>
  <c r="U170" i="2"/>
  <c r="V170" i="2" s="1"/>
  <c r="R141" i="2"/>
  <c r="AK141" i="2"/>
  <c r="T141" i="2"/>
  <c r="P141" i="2"/>
  <c r="AP141" i="2"/>
  <c r="AQ140" i="2" s="1"/>
  <c r="AS141" i="2"/>
  <c r="AT140" i="2" s="1"/>
  <c r="A41" i="2"/>
  <c r="B41" i="2"/>
  <c r="C42" i="2"/>
  <c r="Y317" i="2"/>
  <c r="AL317" i="2" s="1"/>
  <c r="AU317" i="2" s="1"/>
  <c r="AA39" i="702"/>
  <c r="AA38" i="705"/>
  <c r="R274" i="2"/>
  <c r="AK274" i="2"/>
  <c r="AP274" i="2"/>
  <c r="AQ272" i="2" s="1"/>
  <c r="AS274" i="2"/>
  <c r="T274" i="2"/>
  <c r="P274" i="2"/>
  <c r="X39" i="2"/>
  <c r="Z39" i="2"/>
  <c r="AJ39" i="2"/>
  <c r="Y39" i="2"/>
  <c r="AL39" i="2" s="1"/>
  <c r="AU39" i="2" s="1"/>
  <c r="AG391" i="2"/>
  <c r="AH389" i="2" s="1"/>
  <c r="AJ389" i="2" s="1"/>
  <c r="D319" i="2"/>
  <c r="D214" i="2"/>
  <c r="D42" i="2"/>
  <c r="D228" i="2"/>
  <c r="D333" i="2"/>
  <c r="D273" i="2"/>
  <c r="D259" i="2"/>
  <c r="D48" i="2"/>
  <c r="D108" i="2"/>
  <c r="D153" i="2"/>
  <c r="D363" i="2"/>
  <c r="D348" i="2"/>
  <c r="I8" i="739" a="1"/>
  <c r="D78" i="2"/>
  <c r="D198" i="2"/>
  <c r="H32" i="881" a="1"/>
  <c r="D125" i="2"/>
  <c r="D183" i="2"/>
  <c r="D94" i="2"/>
  <c r="D45" i="2"/>
  <c r="D168" i="2"/>
  <c r="D393" i="2"/>
  <c r="D303" i="2"/>
  <c r="D63" i="2"/>
  <c r="D243" i="2"/>
  <c r="D409" i="2"/>
  <c r="D380" i="2"/>
  <c r="D290" i="2"/>
  <c r="D138" i="2"/>
  <c r="D7" i="900" a="1"/>
  <c r="H32" i="881" l="1"/>
  <c r="I8" i="739"/>
  <c r="K8" i="739" s="1"/>
  <c r="AT362" i="2"/>
  <c r="AQ347" i="2"/>
  <c r="AT347" i="2"/>
  <c r="V362" i="2"/>
  <c r="X362" i="2" s="1"/>
  <c r="Z362" i="2" s="1"/>
  <c r="X199" i="2"/>
  <c r="Y199" i="2"/>
  <c r="AL199" i="2" s="1"/>
  <c r="AU199" i="2" s="1"/>
  <c r="Z199" i="2"/>
  <c r="AJ199" i="2"/>
  <c r="R186" i="2"/>
  <c r="AK186" i="2"/>
  <c r="P186" i="2"/>
  <c r="AP186" i="2"/>
  <c r="AQ185" i="2" s="1"/>
  <c r="T186" i="2"/>
  <c r="U186" i="2" s="1"/>
  <c r="AS186" i="2"/>
  <c r="U242" i="2"/>
  <c r="C139" i="2"/>
  <c r="A138" i="2"/>
  <c r="B138" i="2"/>
  <c r="AG262" i="2"/>
  <c r="AG409" i="2"/>
  <c r="AH407" i="2" s="1"/>
  <c r="AJ407" i="2" s="1"/>
  <c r="U142" i="2"/>
  <c r="R123" i="2"/>
  <c r="AK123" i="2"/>
  <c r="AP123" i="2"/>
  <c r="P123" i="2"/>
  <c r="AS123" i="2"/>
  <c r="AG333" i="2"/>
  <c r="U261" i="2"/>
  <c r="AH284" i="2"/>
  <c r="AJ284" i="2" s="1"/>
  <c r="AM284" i="2" s="1"/>
  <c r="AV284" i="2" s="1"/>
  <c r="I321" i="2"/>
  <c r="J320" i="2"/>
  <c r="X381" i="2"/>
  <c r="Y381" i="2"/>
  <c r="AL381" i="2" s="1"/>
  <c r="AU381" i="2" s="1"/>
  <c r="Z381" i="2"/>
  <c r="AJ381" i="2"/>
  <c r="A290" i="2"/>
  <c r="B290" i="2"/>
  <c r="C291" i="2"/>
  <c r="A380" i="2"/>
  <c r="B380" i="2"/>
  <c r="C381" i="2"/>
  <c r="A409" i="2"/>
  <c r="B409" i="2"/>
  <c r="C410" i="2"/>
  <c r="B243" i="2"/>
  <c r="C244" i="2"/>
  <c r="A243" i="2"/>
  <c r="Y303" i="2"/>
  <c r="AL303" i="2" s="1"/>
  <c r="AU303" i="2" s="1"/>
  <c r="AJ303" i="2"/>
  <c r="X303" i="2"/>
  <c r="Z303" i="2"/>
  <c r="AM303" i="2" s="1"/>
  <c r="AV303" i="2" s="1"/>
  <c r="C64" i="2"/>
  <c r="A63" i="2"/>
  <c r="B63" i="2"/>
  <c r="Y262" i="2"/>
  <c r="AL262" i="2" s="1"/>
  <c r="AU262" i="2" s="1"/>
  <c r="Z262" i="2"/>
  <c r="AJ262" i="2"/>
  <c r="X262" i="2"/>
  <c r="X212" i="2"/>
  <c r="Y212" i="2"/>
  <c r="AL212" i="2" s="1"/>
  <c r="AU212" i="2" s="1"/>
  <c r="Z212" i="2"/>
  <c r="AM212" i="2" s="1"/>
  <c r="AV212" i="2" s="1"/>
  <c r="AJ212" i="2"/>
  <c r="AM121" i="2"/>
  <c r="AV121" i="2" s="1"/>
  <c r="R110" i="2"/>
  <c r="AK110" i="2"/>
  <c r="T110" i="2"/>
  <c r="AP110" i="2"/>
  <c r="AS110" i="2"/>
  <c r="P110" i="2"/>
  <c r="R243" i="2"/>
  <c r="AK243" i="2"/>
  <c r="AG243" i="2" s="1"/>
  <c r="P243" i="2"/>
  <c r="AS243" i="2"/>
  <c r="T243" i="2"/>
  <c r="AP243" i="2"/>
  <c r="AG142" i="2"/>
  <c r="AG274" i="2"/>
  <c r="C304" i="2"/>
  <c r="A303" i="2"/>
  <c r="B303" i="2"/>
  <c r="A393" i="2"/>
  <c r="B393" i="2"/>
  <c r="C394" i="2"/>
  <c r="X40" i="2"/>
  <c r="Y40" i="2"/>
  <c r="AL40" i="2" s="1"/>
  <c r="AU40" i="2" s="1"/>
  <c r="Z40" i="2"/>
  <c r="AM40" i="2" s="1"/>
  <c r="AV40" i="2" s="1"/>
  <c r="AJ40" i="2"/>
  <c r="X172" i="2"/>
  <c r="Y172" i="2"/>
  <c r="AL172" i="2" s="1"/>
  <c r="AU172" i="2" s="1"/>
  <c r="Z172" i="2"/>
  <c r="AJ172" i="2"/>
  <c r="X261" i="2"/>
  <c r="Z261" i="2" s="1"/>
  <c r="AM261" i="2" s="1"/>
  <c r="AV261" i="2" s="1"/>
  <c r="Y261" i="2"/>
  <c r="AL261" i="2" s="1"/>
  <c r="AU261" i="2" s="1"/>
  <c r="AJ261" i="2"/>
  <c r="R319" i="2"/>
  <c r="AK319" i="2"/>
  <c r="T319" i="2"/>
  <c r="P319" i="2"/>
  <c r="AS319" i="2"/>
  <c r="AT317" i="2" s="1"/>
  <c r="AP319" i="2"/>
  <c r="AQ317" i="2" s="1"/>
  <c r="B168" i="2"/>
  <c r="C169" i="2"/>
  <c r="A168" i="2"/>
  <c r="X153" i="2"/>
  <c r="Y153" i="2"/>
  <c r="AL153" i="2" s="1"/>
  <c r="AU153" i="2" s="1"/>
  <c r="Z153" i="2"/>
  <c r="AM153" i="2" s="1"/>
  <c r="AV153" i="2" s="1"/>
  <c r="AJ153" i="2"/>
  <c r="A45" i="2"/>
  <c r="B45" i="2"/>
  <c r="C46" i="2"/>
  <c r="R393" i="2"/>
  <c r="AK393" i="2"/>
  <c r="AP393" i="2"/>
  <c r="T393" i="2"/>
  <c r="P393" i="2"/>
  <c r="AS393" i="2"/>
  <c r="AM241" i="2"/>
  <c r="AV241" i="2" s="1"/>
  <c r="X333" i="2"/>
  <c r="Y333" i="2"/>
  <c r="AL333" i="2" s="1"/>
  <c r="AU333" i="2" s="1"/>
  <c r="Z333" i="2"/>
  <c r="AM333" i="2" s="1"/>
  <c r="AV333" i="2" s="1"/>
  <c r="AJ333" i="2"/>
  <c r="AK47" i="2"/>
  <c r="AG47" i="2" s="1"/>
  <c r="P47" i="2"/>
  <c r="T47" i="2"/>
  <c r="U47" i="2" s="1"/>
  <c r="AP47" i="2"/>
  <c r="AS47" i="2"/>
  <c r="V260" i="2"/>
  <c r="U141" i="2"/>
  <c r="V140" i="2" s="1"/>
  <c r="AK41" i="2"/>
  <c r="AS41" i="2"/>
  <c r="P41" i="2"/>
  <c r="AP41" i="2"/>
  <c r="T41" i="2"/>
  <c r="I13" i="739"/>
  <c r="A94" i="2"/>
  <c r="B94" i="2"/>
  <c r="C95" i="2"/>
  <c r="I351" i="2"/>
  <c r="J350" i="2"/>
  <c r="B183" i="2"/>
  <c r="C184" i="2"/>
  <c r="A183" i="2"/>
  <c r="AG122" i="2"/>
  <c r="I66" i="2"/>
  <c r="J65" i="2"/>
  <c r="X109" i="2"/>
  <c r="Y109" i="2"/>
  <c r="AL109" i="2" s="1"/>
  <c r="AU109" i="2" s="1"/>
  <c r="Z109" i="2"/>
  <c r="AM109" i="2" s="1"/>
  <c r="AV109" i="2" s="1"/>
  <c r="AJ109" i="2"/>
  <c r="U392" i="2"/>
  <c r="AG227" i="2"/>
  <c r="J155" i="2"/>
  <c r="I156" i="2"/>
  <c r="X348" i="2"/>
  <c r="Y348" i="2"/>
  <c r="AL348" i="2" s="1"/>
  <c r="AU348" i="2" s="1"/>
  <c r="Z348" i="2"/>
  <c r="AJ348" i="2"/>
  <c r="K13" i="739"/>
  <c r="R228" i="2"/>
  <c r="AK228" i="2"/>
  <c r="AG228" i="2" s="1"/>
  <c r="T228" i="2"/>
  <c r="U228" i="2" s="1"/>
  <c r="AP228" i="2"/>
  <c r="AS228" i="2"/>
  <c r="P228" i="2"/>
  <c r="B125" i="2"/>
  <c r="C126" i="2"/>
  <c r="A125" i="2"/>
  <c r="AB38" i="705"/>
  <c r="B198" i="2"/>
  <c r="C199" i="2"/>
  <c r="A198" i="2"/>
  <c r="AV185" i="2"/>
  <c r="AK213" i="2"/>
  <c r="T213" i="2"/>
  <c r="AS213" i="2"/>
  <c r="P213" i="2"/>
  <c r="AP213" i="2"/>
  <c r="B78" i="2"/>
  <c r="C79" i="2"/>
  <c r="A78" i="2"/>
  <c r="AM82" i="2"/>
  <c r="AV82" i="2" s="1"/>
  <c r="Y382" i="2"/>
  <c r="AL382" i="2" s="1"/>
  <c r="AU382" i="2" s="1"/>
  <c r="AJ382" i="2"/>
  <c r="X382" i="2"/>
  <c r="Z382" i="2" s="1"/>
  <c r="AM382" i="2" s="1"/>
  <c r="AV382" i="2" s="1"/>
  <c r="R349" i="2"/>
  <c r="AK349" i="2"/>
  <c r="AS349" i="2"/>
  <c r="T349" i="2"/>
  <c r="P349" i="2"/>
  <c r="AP349" i="2"/>
  <c r="R287" i="2"/>
  <c r="AK287" i="2"/>
  <c r="T287" i="2"/>
  <c r="AS287" i="2"/>
  <c r="P287" i="2"/>
  <c r="AP287" i="2"/>
  <c r="R64" i="2"/>
  <c r="AK64" i="2"/>
  <c r="AP64" i="2"/>
  <c r="AQ62" i="2" s="1"/>
  <c r="P64" i="2"/>
  <c r="AS64" i="2"/>
  <c r="AT62" i="2" s="1"/>
  <c r="T64" i="2"/>
  <c r="Y392" i="2"/>
  <c r="AL392" i="2" s="1"/>
  <c r="AU392" i="2" s="1"/>
  <c r="AG199" i="2"/>
  <c r="AM39" i="2"/>
  <c r="AV39" i="2" s="1"/>
  <c r="I277" i="2"/>
  <c r="J277" i="2" s="1"/>
  <c r="J276" i="2"/>
  <c r="AM81" i="2"/>
  <c r="AV81" i="2" s="1"/>
  <c r="AG109" i="2"/>
  <c r="AH107" i="2" s="1"/>
  <c r="R154" i="2"/>
  <c r="AK154" i="2"/>
  <c r="AP154" i="2"/>
  <c r="AQ152" i="2" s="1"/>
  <c r="AS154" i="2"/>
  <c r="AT152" i="2" s="1"/>
  <c r="T154" i="2"/>
  <c r="P154" i="2"/>
  <c r="X141" i="2"/>
  <c r="Y141" i="2"/>
  <c r="AL141" i="2" s="1"/>
  <c r="AU141" i="2" s="1"/>
  <c r="Z141" i="2"/>
  <c r="AJ141" i="2"/>
  <c r="AG212" i="2"/>
  <c r="AG392" i="2"/>
  <c r="AJ274" i="2"/>
  <c r="X274" i="2"/>
  <c r="Z274" i="2" s="1"/>
  <c r="AM274" i="2" s="1"/>
  <c r="AV274" i="2" s="1"/>
  <c r="Y274" i="2"/>
  <c r="AL274" i="2" s="1"/>
  <c r="AU274" i="2" s="1"/>
  <c r="U409" i="2"/>
  <c r="V407" i="2" s="1"/>
  <c r="X407" i="2" s="1"/>
  <c r="Z407" i="2" s="1"/>
  <c r="AM407" i="2" s="1"/>
  <c r="AV407" i="2" s="1"/>
  <c r="AH197" i="2"/>
  <c r="J111" i="2"/>
  <c r="I112" i="2"/>
  <c r="J112" i="2" s="1"/>
  <c r="J365" i="2"/>
  <c r="I366" i="2"/>
  <c r="I230" i="2"/>
  <c r="J229" i="2"/>
  <c r="C349" i="2"/>
  <c r="A348" i="2"/>
  <c r="B348" i="2"/>
  <c r="Y43" i="702"/>
  <c r="I202" i="2"/>
  <c r="J202" i="2" s="1"/>
  <c r="J201" i="2"/>
  <c r="AG172" i="2"/>
  <c r="AG261" i="2"/>
  <c r="AH260" i="2" s="1"/>
  <c r="U185" i="2"/>
  <c r="Y185" i="2"/>
  <c r="AL185" i="2" s="1"/>
  <c r="AU185" i="2" s="1"/>
  <c r="J214" i="2"/>
  <c r="I215" i="2"/>
  <c r="U382" i="2"/>
  <c r="A363" i="2"/>
  <c r="B363" i="2"/>
  <c r="C364" i="2"/>
  <c r="I289" i="2"/>
  <c r="J288" i="2"/>
  <c r="AJ286" i="2"/>
  <c r="Y286" i="2"/>
  <c r="AL286" i="2" s="1"/>
  <c r="AU286" i="2" s="1"/>
  <c r="X286" i="2"/>
  <c r="Z286" i="2" s="1"/>
  <c r="AM286" i="2" s="1"/>
  <c r="AV286" i="2" s="1"/>
  <c r="G41" i="881"/>
  <c r="R187" i="2"/>
  <c r="AK187" i="2"/>
  <c r="AG187" i="2" s="1"/>
  <c r="AS187" i="2"/>
  <c r="T187" i="2"/>
  <c r="U187" i="2" s="1"/>
  <c r="P187" i="2"/>
  <c r="AP187" i="2"/>
  <c r="X242" i="2"/>
  <c r="Z242" i="2" s="1"/>
  <c r="Y242" i="2"/>
  <c r="AL242" i="2" s="1"/>
  <c r="AU242" i="2" s="1"/>
  <c r="I49" i="2"/>
  <c r="J49" i="2" s="1"/>
  <c r="J48" i="2"/>
  <c r="A153" i="2"/>
  <c r="B153" i="2"/>
  <c r="C154" i="2"/>
  <c r="X409" i="2"/>
  <c r="Y409" i="2"/>
  <c r="AL409" i="2" s="1"/>
  <c r="AU409" i="2" s="1"/>
  <c r="Z409" i="2"/>
  <c r="AJ409" i="2"/>
  <c r="A108" i="2"/>
  <c r="B108" i="2"/>
  <c r="C109" i="2"/>
  <c r="R364" i="2"/>
  <c r="AK364" i="2"/>
  <c r="AG364" i="2" s="1"/>
  <c r="AH362" i="2" s="1"/>
  <c r="AJ362" i="2" s="1"/>
  <c r="AP364" i="2"/>
  <c r="AQ362" i="2" s="1"/>
  <c r="AS364" i="2"/>
  <c r="P364" i="2"/>
  <c r="T364" i="2"/>
  <c r="U364" i="2" s="1"/>
  <c r="AG348" i="2"/>
  <c r="U333" i="2"/>
  <c r="I125" i="2"/>
  <c r="J124" i="2"/>
  <c r="I245" i="2"/>
  <c r="J244" i="2"/>
  <c r="C49" i="2"/>
  <c r="A48" i="2"/>
  <c r="B48" i="2"/>
  <c r="AK200" i="2"/>
  <c r="P200" i="2"/>
  <c r="T200" i="2"/>
  <c r="AS200" i="2"/>
  <c r="AP200" i="2"/>
  <c r="Y318" i="2"/>
  <c r="AL318" i="2" s="1"/>
  <c r="AU318" i="2" s="1"/>
  <c r="AJ318" i="2"/>
  <c r="X318" i="2"/>
  <c r="Z318" i="2" s="1"/>
  <c r="AM318" i="2" s="1"/>
  <c r="AV318" i="2" s="1"/>
  <c r="J335" i="2"/>
  <c r="I336" i="2"/>
  <c r="AT185" i="2"/>
  <c r="V380" i="2"/>
  <c r="X380" i="2" s="1"/>
  <c r="Z380" i="2" s="1"/>
  <c r="AK304" i="2"/>
  <c r="R304" i="2"/>
  <c r="AS304" i="2"/>
  <c r="AT302" i="2" s="1"/>
  <c r="T304" i="2"/>
  <c r="P304" i="2"/>
  <c r="AP304" i="2"/>
  <c r="AQ302" i="2" s="1"/>
  <c r="X171" i="2"/>
  <c r="Y171" i="2"/>
  <c r="AL171" i="2" s="1"/>
  <c r="AU171" i="2" s="1"/>
  <c r="AJ171" i="2"/>
  <c r="Z171" i="2"/>
  <c r="AM171" i="2" s="1"/>
  <c r="AV171" i="2" s="1"/>
  <c r="E25" i="730"/>
  <c r="AG242" i="2"/>
  <c r="AG141" i="2"/>
  <c r="AH140" i="2" s="1"/>
  <c r="AH272" i="2"/>
  <c r="AJ272" i="2" s="1"/>
  <c r="C260" i="2"/>
  <c r="A259" i="2"/>
  <c r="B259" i="2"/>
  <c r="AJ122" i="2"/>
  <c r="X122" i="2"/>
  <c r="Y122" i="2"/>
  <c r="AL122" i="2" s="1"/>
  <c r="AU122" i="2" s="1"/>
  <c r="Z122" i="2"/>
  <c r="AM122" i="2" s="1"/>
  <c r="AV122" i="2" s="1"/>
  <c r="AK334" i="2"/>
  <c r="R334" i="2"/>
  <c r="AP334" i="2"/>
  <c r="AQ332" i="2" s="1"/>
  <c r="AS334" i="2"/>
  <c r="AT332" i="2" s="1"/>
  <c r="T334" i="2"/>
  <c r="P334" i="2"/>
  <c r="A273" i="2"/>
  <c r="C274" i="2"/>
  <c r="B273" i="2"/>
  <c r="I306" i="2"/>
  <c r="J305" i="2"/>
  <c r="V272" i="2"/>
  <c r="X272" i="2" s="1"/>
  <c r="Z272" i="2" s="1"/>
  <c r="D25" i="730"/>
  <c r="F18" i="730"/>
  <c r="J394" i="2"/>
  <c r="I395" i="2"/>
  <c r="R275" i="2"/>
  <c r="AK275" i="2"/>
  <c r="T275" i="2"/>
  <c r="AP275" i="2"/>
  <c r="P275" i="2"/>
  <c r="AS275" i="2"/>
  <c r="X227" i="2"/>
  <c r="Z227" i="2" s="1"/>
  <c r="Y227" i="2"/>
  <c r="AL227" i="2" s="1"/>
  <c r="AU227" i="2" s="1"/>
  <c r="C334" i="2"/>
  <c r="A333" i="2"/>
  <c r="B333" i="2"/>
  <c r="C229" i="2"/>
  <c r="A228" i="2"/>
  <c r="B228" i="2"/>
  <c r="AG303" i="2"/>
  <c r="X142" i="2"/>
  <c r="Y142" i="2"/>
  <c r="AL142" i="2" s="1"/>
  <c r="AU142" i="2" s="1"/>
  <c r="Z142" i="2"/>
  <c r="AJ142" i="2"/>
  <c r="J42" i="2"/>
  <c r="I43" i="2"/>
  <c r="U274" i="2"/>
  <c r="R410" i="2"/>
  <c r="AK410" i="2"/>
  <c r="P410" i="2"/>
  <c r="T410" i="2"/>
  <c r="U410" i="2" s="1"/>
  <c r="AP410" i="2"/>
  <c r="AS410" i="2"/>
  <c r="J411" i="2"/>
  <c r="I412" i="2"/>
  <c r="J412" i="2" s="1"/>
  <c r="C43" i="2"/>
  <c r="A42" i="2"/>
  <c r="B42" i="2"/>
  <c r="C215" i="2"/>
  <c r="A214" i="2"/>
  <c r="B214" i="2"/>
  <c r="AJ63" i="2"/>
  <c r="X63" i="2"/>
  <c r="Z63" i="2" s="1"/>
  <c r="AM63" i="2" s="1"/>
  <c r="AV63" i="2" s="1"/>
  <c r="Y63" i="2"/>
  <c r="AL63" i="2" s="1"/>
  <c r="AU63" i="2" s="1"/>
  <c r="X363" i="2"/>
  <c r="Z363" i="2" s="1"/>
  <c r="AM363" i="2" s="1"/>
  <c r="AV363" i="2" s="1"/>
  <c r="Y363" i="2"/>
  <c r="AL363" i="2" s="1"/>
  <c r="AU363" i="2" s="1"/>
  <c r="AJ363" i="2"/>
  <c r="AG382" i="2"/>
  <c r="AH380" i="2" s="1"/>
  <c r="AJ380" i="2" s="1"/>
  <c r="U303" i="2"/>
  <c r="U199" i="2"/>
  <c r="V197" i="2" s="1"/>
  <c r="A319" i="2"/>
  <c r="B319" i="2"/>
  <c r="C320" i="2"/>
  <c r="AG171" i="2"/>
  <c r="D7" i="900"/>
  <c r="D169" i="2"/>
  <c r="D49" i="2"/>
  <c r="D199" i="2"/>
  <c r="D274" i="2"/>
  <c r="D381" i="2"/>
  <c r="D109" i="2"/>
  <c r="D334" i="2"/>
  <c r="D46" i="2"/>
  <c r="D291" i="2"/>
  <c r="D410" i="2"/>
  <c r="D139" i="2"/>
  <c r="D79" i="2"/>
  <c r="D64" i="2"/>
  <c r="D184" i="2"/>
  <c r="D320" i="2"/>
  <c r="D244" i="2"/>
  <c r="D349" i="2"/>
  <c r="D364" i="2"/>
  <c r="D154" i="2"/>
  <c r="D43" i="2"/>
  <c r="D215" i="2"/>
  <c r="D229" i="2"/>
  <c r="D394" i="2"/>
  <c r="D260" i="2"/>
  <c r="D304" i="2"/>
  <c r="D95" i="2"/>
  <c r="D126" i="2"/>
  <c r="V332" i="2" l="1"/>
  <c r="X332" i="2" s="1"/>
  <c r="Z332" i="2" s="1"/>
  <c r="AQ392" i="2"/>
  <c r="V302" i="2"/>
  <c r="X302" i="2" s="1"/>
  <c r="Z302" i="2" s="1"/>
  <c r="AH302" i="2"/>
  <c r="AJ302" i="2" s="1"/>
  <c r="AM362" i="2"/>
  <c r="AV362" i="2" s="1"/>
  <c r="AK42" i="2"/>
  <c r="P42" i="2"/>
  <c r="AP42" i="2"/>
  <c r="T42" i="2"/>
  <c r="AS42" i="2"/>
  <c r="V185" i="2"/>
  <c r="AG41" i="2"/>
  <c r="X123" i="2"/>
  <c r="Z123" i="2" s="1"/>
  <c r="AM123" i="2" s="1"/>
  <c r="AV123" i="2" s="1"/>
  <c r="Y123" i="2"/>
  <c r="AL123" i="2" s="1"/>
  <c r="AU123" i="2" s="1"/>
  <c r="U123" i="2"/>
  <c r="AJ123" i="2"/>
  <c r="R124" i="2"/>
  <c r="AK124" i="2"/>
  <c r="P124" i="2"/>
  <c r="AP124" i="2"/>
  <c r="AQ122" i="2" s="1"/>
  <c r="AS124" i="2"/>
  <c r="AT122" i="2" s="1"/>
  <c r="T124" i="2"/>
  <c r="U124" i="2" s="1"/>
  <c r="AT110" i="2"/>
  <c r="J125" i="2"/>
  <c r="I126" i="2"/>
  <c r="AG154" i="2"/>
  <c r="AH152" i="2" s="1"/>
  <c r="AJ152" i="2" s="1"/>
  <c r="AM152" i="2" s="1"/>
  <c r="AV152" i="2" s="1"/>
  <c r="AG123" i="2"/>
  <c r="AT47" i="2"/>
  <c r="B126" i="2"/>
  <c r="C127" i="2"/>
  <c r="A126" i="2"/>
  <c r="J395" i="2"/>
  <c r="I396" i="2"/>
  <c r="AQ200" i="2"/>
  <c r="Y364" i="2"/>
  <c r="AL364" i="2" s="1"/>
  <c r="AU364" i="2" s="1"/>
  <c r="AJ364" i="2"/>
  <c r="X364" i="2"/>
  <c r="Z364" i="2" s="1"/>
  <c r="AM364" i="2" s="1"/>
  <c r="AV364" i="2" s="1"/>
  <c r="AK49" i="2"/>
  <c r="AG49" i="2" s="1"/>
  <c r="P49" i="2"/>
  <c r="AS49" i="2"/>
  <c r="T49" i="2"/>
  <c r="U49" i="2" s="1"/>
  <c r="AP49" i="2"/>
  <c r="AK288" i="2"/>
  <c r="R288" i="2"/>
  <c r="AS288" i="2"/>
  <c r="AP288" i="2"/>
  <c r="T288" i="2"/>
  <c r="P288" i="2"/>
  <c r="R276" i="2"/>
  <c r="AK276" i="2"/>
  <c r="T276" i="2"/>
  <c r="P276" i="2"/>
  <c r="AP276" i="2"/>
  <c r="AQ275" i="2" s="1"/>
  <c r="AS276" i="2"/>
  <c r="U287" i="2"/>
  <c r="X228" i="2"/>
  <c r="Y228" i="2"/>
  <c r="AL228" i="2" s="1"/>
  <c r="AU228" i="2" s="1"/>
  <c r="Z228" i="2"/>
  <c r="AJ228" i="2"/>
  <c r="C96" i="2"/>
  <c r="A95" i="2"/>
  <c r="B95" i="2"/>
  <c r="AJ47" i="2"/>
  <c r="X47" i="2"/>
  <c r="Y47" i="2"/>
  <c r="AL47" i="2" s="1"/>
  <c r="AU47" i="2" s="1"/>
  <c r="Z47" i="2"/>
  <c r="AM47" i="2" s="1"/>
  <c r="AV47" i="2" s="1"/>
  <c r="D12" i="902"/>
  <c r="C305" i="2"/>
  <c r="A304" i="2"/>
  <c r="B304" i="2"/>
  <c r="A260" i="2"/>
  <c r="B260" i="2"/>
  <c r="C261" i="2"/>
  <c r="Y275" i="2"/>
  <c r="AL275" i="2" s="1"/>
  <c r="AU275" i="2" s="1"/>
  <c r="R335" i="2"/>
  <c r="AK335" i="2"/>
  <c r="AS335" i="2"/>
  <c r="P335" i="2"/>
  <c r="T335" i="2"/>
  <c r="U335" i="2" s="1"/>
  <c r="AP335" i="2"/>
  <c r="AG64" i="2"/>
  <c r="AH62" i="2" s="1"/>
  <c r="AJ62" i="2" s="1"/>
  <c r="AM62" i="2" s="1"/>
  <c r="AV62" i="2" s="1"/>
  <c r="A394" i="2"/>
  <c r="B394" i="2"/>
  <c r="C395" i="2"/>
  <c r="U275" i="2"/>
  <c r="U334" i="2"/>
  <c r="AG110" i="2"/>
  <c r="AK48" i="2"/>
  <c r="AG48" i="2" s="1"/>
  <c r="P48" i="2"/>
  <c r="AS48" i="2"/>
  <c r="T48" i="2"/>
  <c r="U48" i="2" s="1"/>
  <c r="AP48" i="2"/>
  <c r="AQ47" i="2" s="1"/>
  <c r="V47" i="2"/>
  <c r="AM381" i="2"/>
  <c r="AV381" i="2" s="1"/>
  <c r="AQ410" i="2"/>
  <c r="C230" i="2"/>
  <c r="A229" i="2"/>
  <c r="B229" i="2"/>
  <c r="R394" i="2"/>
  <c r="AK394" i="2"/>
  <c r="AS394" i="2"/>
  <c r="AT392" i="2" s="1"/>
  <c r="T394" i="2"/>
  <c r="P394" i="2"/>
  <c r="AP394" i="2"/>
  <c r="AG334" i="2"/>
  <c r="AT200" i="2"/>
  <c r="J289" i="2"/>
  <c r="I290" i="2"/>
  <c r="R277" i="2"/>
  <c r="AK277" i="2"/>
  <c r="T277" i="2"/>
  <c r="P277" i="2"/>
  <c r="AP277" i="2"/>
  <c r="AS277" i="2"/>
  <c r="AG287" i="2"/>
  <c r="AH47" i="2"/>
  <c r="J43" i="2"/>
  <c r="I50" i="2"/>
  <c r="AH332" i="2"/>
  <c r="AJ332" i="2" s="1"/>
  <c r="C216" i="2"/>
  <c r="A215" i="2"/>
  <c r="B215" i="2"/>
  <c r="AM409" i="2"/>
  <c r="AV409" i="2" s="1"/>
  <c r="X64" i="2"/>
  <c r="Y64" i="2"/>
  <c r="AL64" i="2" s="1"/>
  <c r="AU64" i="2" s="1"/>
  <c r="Z64" i="2"/>
  <c r="AJ64" i="2"/>
  <c r="I337" i="2"/>
  <c r="J337" i="2" s="1"/>
  <c r="J336" i="2"/>
  <c r="X186" i="2"/>
  <c r="Z186" i="2" s="1"/>
  <c r="AM186" i="2" s="1"/>
  <c r="AV186" i="2" s="1"/>
  <c r="Y186" i="2"/>
  <c r="AL186" i="2" s="1"/>
  <c r="AU186" i="2" s="1"/>
  <c r="AJ186" i="2"/>
  <c r="X319" i="2"/>
  <c r="AJ319" i="2"/>
  <c r="Z319" i="2"/>
  <c r="AM319" i="2" s="1"/>
  <c r="AV319" i="2" s="1"/>
  <c r="Y319" i="2"/>
  <c r="AL319" i="2" s="1"/>
  <c r="AU319" i="2" s="1"/>
  <c r="AG186" i="2"/>
  <c r="AH185" i="2" s="1"/>
  <c r="C50" i="2"/>
  <c r="B43" i="2"/>
  <c r="A43" i="2"/>
  <c r="B154" i="2"/>
  <c r="A154" i="2"/>
  <c r="C155" i="2"/>
  <c r="U200" i="2"/>
  <c r="C365" i="2"/>
  <c r="A364" i="2"/>
  <c r="B364" i="2"/>
  <c r="A349" i="2"/>
  <c r="B349" i="2"/>
  <c r="C350" i="2"/>
  <c r="X213" i="2"/>
  <c r="Y213" i="2"/>
  <c r="AL213" i="2" s="1"/>
  <c r="AU213" i="2" s="1"/>
  <c r="Z213" i="2"/>
  <c r="AJ213" i="2"/>
  <c r="A244" i="2"/>
  <c r="B244" i="2"/>
  <c r="C245" i="2"/>
  <c r="AK320" i="2"/>
  <c r="R320" i="2"/>
  <c r="T320" i="2"/>
  <c r="P320" i="2"/>
  <c r="AP320" i="2"/>
  <c r="AS320" i="2"/>
  <c r="A320" i="2"/>
  <c r="B320" i="2"/>
  <c r="C321" i="2"/>
  <c r="I307" i="2"/>
  <c r="J307" i="2" s="1"/>
  <c r="J306" i="2"/>
  <c r="R112" i="2"/>
  <c r="AK112" i="2"/>
  <c r="AS112" i="2"/>
  <c r="P112" i="2"/>
  <c r="AP112" i="2"/>
  <c r="AQ110" i="2" s="1"/>
  <c r="T112" i="2"/>
  <c r="AT275" i="2"/>
  <c r="AJ110" i="2"/>
  <c r="X110" i="2"/>
  <c r="Z110" i="2" s="1"/>
  <c r="AM110" i="2" s="1"/>
  <c r="AV110" i="2" s="1"/>
  <c r="Y110" i="2"/>
  <c r="AL110" i="2" s="1"/>
  <c r="AU110" i="2" s="1"/>
  <c r="AM142" i="2"/>
  <c r="AV142" i="2" s="1"/>
  <c r="C185" i="2"/>
  <c r="A184" i="2"/>
  <c r="B184" i="2"/>
  <c r="C65" i="2"/>
  <c r="A64" i="2"/>
  <c r="B64" i="2"/>
  <c r="Y334" i="2"/>
  <c r="AL334" i="2" s="1"/>
  <c r="AU334" i="2" s="1"/>
  <c r="Z334" i="2"/>
  <c r="AJ334" i="2"/>
  <c r="X334" i="2"/>
  <c r="AK202" i="2"/>
  <c r="T202" i="2"/>
  <c r="P202" i="2"/>
  <c r="AP202" i="2"/>
  <c r="AS202" i="2"/>
  <c r="AK350" i="2"/>
  <c r="R350" i="2"/>
  <c r="AS350" i="2"/>
  <c r="P350" i="2"/>
  <c r="T350" i="2"/>
  <c r="U350" i="2" s="1"/>
  <c r="AP350" i="2"/>
  <c r="Y287" i="2"/>
  <c r="AL287" i="2" s="1"/>
  <c r="AU287" i="2" s="1"/>
  <c r="A79" i="2"/>
  <c r="B79" i="2"/>
  <c r="C80" i="2"/>
  <c r="AJ200" i="2"/>
  <c r="Y200" i="2"/>
  <c r="AL200" i="2" s="1"/>
  <c r="AU200" i="2" s="1"/>
  <c r="X200" i="2"/>
  <c r="Z200" i="2" s="1"/>
  <c r="AM200" i="2" s="1"/>
  <c r="AV200" i="2" s="1"/>
  <c r="J321" i="2"/>
  <c r="I322" i="2"/>
  <c r="J322" i="2" s="1"/>
  <c r="C140" i="2"/>
  <c r="A139" i="2"/>
  <c r="B139" i="2"/>
  <c r="J66" i="2"/>
  <c r="I67" i="2"/>
  <c r="J67" i="2" s="1"/>
  <c r="AJ41" i="2"/>
  <c r="Y41" i="2"/>
  <c r="AL41" i="2" s="1"/>
  <c r="AU41" i="2" s="1"/>
  <c r="X41" i="2"/>
  <c r="Z41" i="2" s="1"/>
  <c r="AM41" i="2" s="1"/>
  <c r="AV41" i="2" s="1"/>
  <c r="D10" i="902"/>
  <c r="R111" i="2"/>
  <c r="AK111" i="2"/>
  <c r="T111" i="2"/>
  <c r="P111" i="2"/>
  <c r="AP111" i="2"/>
  <c r="AS111" i="2"/>
  <c r="J245" i="2"/>
  <c r="I246" i="2"/>
  <c r="I157" i="2"/>
  <c r="J157" i="2" s="1"/>
  <c r="J156" i="2"/>
  <c r="U110" i="2"/>
  <c r="R412" i="2"/>
  <c r="AK412" i="2"/>
  <c r="AG412" i="2" s="1"/>
  <c r="AS412" i="2"/>
  <c r="AT410" i="2" s="1"/>
  <c r="T412" i="2"/>
  <c r="U412" i="2" s="1"/>
  <c r="AP412" i="2"/>
  <c r="P412" i="2"/>
  <c r="J351" i="2"/>
  <c r="I352" i="2"/>
  <c r="J352" i="2" s="1"/>
  <c r="AG410" i="2"/>
  <c r="U304" i="2"/>
  <c r="AM141" i="2"/>
  <c r="AV141" i="2" s="1"/>
  <c r="X349" i="2"/>
  <c r="Y349" i="2"/>
  <c r="AL349" i="2" s="1"/>
  <c r="AU349" i="2" s="1"/>
  <c r="AJ349" i="2"/>
  <c r="Z349" i="2"/>
  <c r="AM349" i="2" s="1"/>
  <c r="AV349" i="2" s="1"/>
  <c r="U213" i="2"/>
  <c r="AM172" i="2"/>
  <c r="AV172" i="2" s="1"/>
  <c r="A410" i="2"/>
  <c r="C411" i="2"/>
  <c r="B410" i="2"/>
  <c r="AM380" i="2"/>
  <c r="AV380" i="2" s="1"/>
  <c r="AM348" i="2"/>
  <c r="AV348" i="2" s="1"/>
  <c r="AG393" i="2"/>
  <c r="C292" i="2"/>
  <c r="A291" i="2"/>
  <c r="B291" i="2"/>
  <c r="AG275" i="2"/>
  <c r="R155" i="2"/>
  <c r="AK155" i="2"/>
  <c r="AG155" i="2" s="1"/>
  <c r="AS155" i="2"/>
  <c r="T155" i="2"/>
  <c r="U155" i="2" s="1"/>
  <c r="AP155" i="2"/>
  <c r="P155" i="2"/>
  <c r="A46" i="2"/>
  <c r="B46" i="2"/>
  <c r="R411" i="2"/>
  <c r="AK411" i="2"/>
  <c r="AG411" i="2" s="1"/>
  <c r="AS411" i="2"/>
  <c r="P411" i="2"/>
  <c r="T411" i="2"/>
  <c r="U411" i="2" s="1"/>
  <c r="V410" i="2" s="1"/>
  <c r="X410" i="2" s="1"/>
  <c r="Z410" i="2" s="1"/>
  <c r="AP411" i="2"/>
  <c r="Y410" i="2"/>
  <c r="AL410" i="2" s="1"/>
  <c r="AU410" i="2" s="1"/>
  <c r="X304" i="2"/>
  <c r="Z304" i="2" s="1"/>
  <c r="AM304" i="2" s="1"/>
  <c r="AV304" i="2" s="1"/>
  <c r="Y304" i="2"/>
  <c r="AL304" i="2" s="1"/>
  <c r="AU304" i="2" s="1"/>
  <c r="AJ304" i="2"/>
  <c r="C335" i="2"/>
  <c r="A334" i="2"/>
  <c r="B334" i="2"/>
  <c r="AG200" i="2"/>
  <c r="R229" i="2"/>
  <c r="AK229" i="2"/>
  <c r="AG229" i="2" s="1"/>
  <c r="AH227" i="2" s="1"/>
  <c r="AJ227" i="2" s="1"/>
  <c r="AM227" i="2" s="1"/>
  <c r="AV227" i="2" s="1"/>
  <c r="AS229" i="2"/>
  <c r="AT227" i="2" s="1"/>
  <c r="P229" i="2"/>
  <c r="AP229" i="2"/>
  <c r="AQ227" i="2" s="1"/>
  <c r="T229" i="2"/>
  <c r="U229" i="2" s="1"/>
  <c r="V227" i="2" s="1"/>
  <c r="B109" i="2"/>
  <c r="A109" i="2"/>
  <c r="C110" i="2"/>
  <c r="AJ187" i="2"/>
  <c r="X187" i="2"/>
  <c r="Z187" i="2" s="1"/>
  <c r="AM187" i="2" s="1"/>
  <c r="AV187" i="2" s="1"/>
  <c r="Y187" i="2"/>
  <c r="AL187" i="2" s="1"/>
  <c r="AU187" i="2" s="1"/>
  <c r="I231" i="2"/>
  <c r="J230" i="2"/>
  <c r="U349" i="2"/>
  <c r="V347" i="2" s="1"/>
  <c r="X347" i="2" s="1"/>
  <c r="Z347" i="2" s="1"/>
  <c r="AG213" i="2"/>
  <c r="U243" i="2"/>
  <c r="Y393" i="2"/>
  <c r="AL393" i="2" s="1"/>
  <c r="AU393" i="2" s="1"/>
  <c r="AJ393" i="2"/>
  <c r="X393" i="2"/>
  <c r="Z393" i="2" s="1"/>
  <c r="AM393" i="2" s="1"/>
  <c r="AV393" i="2" s="1"/>
  <c r="A381" i="2"/>
  <c r="B381" i="2"/>
  <c r="C382" i="2"/>
  <c r="U393" i="2"/>
  <c r="C275" i="2"/>
  <c r="B274" i="2"/>
  <c r="A274" i="2"/>
  <c r="AK201" i="2"/>
  <c r="P201" i="2"/>
  <c r="AS201" i="2"/>
  <c r="T201" i="2"/>
  <c r="U201" i="2" s="1"/>
  <c r="AP201" i="2"/>
  <c r="U319" i="2"/>
  <c r="V317" i="2" s="1"/>
  <c r="X317" i="2" s="1"/>
  <c r="Z317" i="2" s="1"/>
  <c r="AG319" i="2"/>
  <c r="AH317" i="2" s="1"/>
  <c r="AJ317" i="2" s="1"/>
  <c r="AM199" i="2"/>
  <c r="AV199" i="2" s="1"/>
  <c r="AM272" i="2"/>
  <c r="AV272" i="2" s="1"/>
  <c r="I216" i="2"/>
  <c r="J215" i="2"/>
  <c r="I367" i="2"/>
  <c r="J367" i="2" s="1"/>
  <c r="J366" i="2"/>
  <c r="U41" i="2"/>
  <c r="X154" i="2"/>
  <c r="Y154" i="2"/>
  <c r="AL154" i="2" s="1"/>
  <c r="AU154" i="2" s="1"/>
  <c r="Z154" i="2"/>
  <c r="AJ154" i="2"/>
  <c r="R244" i="2"/>
  <c r="AK244" i="2"/>
  <c r="T244" i="2"/>
  <c r="AP244" i="2"/>
  <c r="AQ242" i="2" s="1"/>
  <c r="P244" i="2"/>
  <c r="AS244" i="2"/>
  <c r="AT242" i="2" s="1"/>
  <c r="U154" i="2"/>
  <c r="V152" i="2" s="1"/>
  <c r="A199" i="2"/>
  <c r="B199" i="2"/>
  <c r="C200" i="2"/>
  <c r="AH170" i="2"/>
  <c r="R305" i="2"/>
  <c r="AK305" i="2"/>
  <c r="AS305" i="2"/>
  <c r="AP305" i="2"/>
  <c r="T305" i="2"/>
  <c r="P305" i="2"/>
  <c r="AG304" i="2"/>
  <c r="A49" i="2"/>
  <c r="B49" i="2"/>
  <c r="AK214" i="2"/>
  <c r="P214" i="2"/>
  <c r="AS214" i="2"/>
  <c r="AT212" i="2" s="1"/>
  <c r="T214" i="2"/>
  <c r="U214" i="2" s="1"/>
  <c r="AP214" i="2"/>
  <c r="AQ212" i="2" s="1"/>
  <c r="R365" i="2"/>
  <c r="AK365" i="2"/>
  <c r="AG365" i="2" s="1"/>
  <c r="P365" i="2"/>
  <c r="AP365" i="2"/>
  <c r="T365" i="2"/>
  <c r="U365" i="2" s="1"/>
  <c r="AS365" i="2"/>
  <c r="U64" i="2"/>
  <c r="V62" i="2" s="1"/>
  <c r="AG349" i="2"/>
  <c r="AH347" i="2" s="1"/>
  <c r="AJ347" i="2" s="1"/>
  <c r="AK65" i="2"/>
  <c r="AS65" i="2"/>
  <c r="P65" i="2"/>
  <c r="AP65" i="2"/>
  <c r="T65" i="2"/>
  <c r="U65" i="2" s="1"/>
  <c r="C170" i="2"/>
  <c r="A169" i="2"/>
  <c r="B169" i="2"/>
  <c r="X243" i="2"/>
  <c r="Y243" i="2"/>
  <c r="AL243" i="2" s="1"/>
  <c r="AU243" i="2" s="1"/>
  <c r="AJ243" i="2"/>
  <c r="Z243" i="2"/>
  <c r="AM243" i="2" s="1"/>
  <c r="AV243" i="2" s="1"/>
  <c r="AM262" i="2"/>
  <c r="AV262" i="2" s="1"/>
  <c r="H41" i="881"/>
  <c r="H59" i="881"/>
  <c r="D395" i="2"/>
  <c r="D155" i="2"/>
  <c r="D80" i="2"/>
  <c r="D411" i="2"/>
  <c r="D335" i="2"/>
  <c r="D365" i="2"/>
  <c r="D110" i="2"/>
  <c r="D261" i="2"/>
  <c r="D50" i="2"/>
  <c r="D382" i="2"/>
  <c r="D230" i="2"/>
  <c r="D65" i="2"/>
  <c r="D292" i="2"/>
  <c r="D127" i="2"/>
  <c r="D96" i="2"/>
  <c r="D305" i="2"/>
  <c r="D275" i="2"/>
  <c r="D200" i="2"/>
  <c r="D245" i="2"/>
  <c r="D216" i="2"/>
  <c r="D350" i="2"/>
  <c r="D185" i="2"/>
  <c r="D140" i="2"/>
  <c r="D321" i="2"/>
  <c r="D170" i="2"/>
  <c r="V242" i="2" l="1"/>
  <c r="A170" i="2"/>
  <c r="B170" i="2"/>
  <c r="C171" i="2"/>
  <c r="R367" i="2"/>
  <c r="AK367" i="2"/>
  <c r="P367" i="2"/>
  <c r="T367" i="2"/>
  <c r="U367" i="2" s="1"/>
  <c r="AP367" i="2"/>
  <c r="AS367" i="2"/>
  <c r="AQ335" i="2"/>
  <c r="Y214" i="2"/>
  <c r="AL214" i="2" s="1"/>
  <c r="AU214" i="2" s="1"/>
  <c r="AJ214" i="2"/>
  <c r="X214" i="2"/>
  <c r="Z214" i="2" s="1"/>
  <c r="AM214" i="2" s="1"/>
  <c r="AV214" i="2" s="1"/>
  <c r="AM213" i="2"/>
  <c r="AV213" i="2" s="1"/>
  <c r="X244" i="2"/>
  <c r="Z244" i="2" s="1"/>
  <c r="AM244" i="2" s="1"/>
  <c r="AV244" i="2" s="1"/>
  <c r="Y244" i="2"/>
  <c r="AL244" i="2" s="1"/>
  <c r="AU244" i="2" s="1"/>
  <c r="AJ244" i="2"/>
  <c r="Y350" i="2"/>
  <c r="AL350" i="2" s="1"/>
  <c r="AU350" i="2" s="1"/>
  <c r="U288" i="2"/>
  <c r="C322" i="2"/>
  <c r="A321" i="2"/>
  <c r="B321" i="2"/>
  <c r="AG65" i="2"/>
  <c r="U244" i="2"/>
  <c r="AM317" i="2"/>
  <c r="AV317" i="2" s="1"/>
  <c r="X229" i="2"/>
  <c r="Z229" i="2" s="1"/>
  <c r="AM229" i="2" s="1"/>
  <c r="AV229" i="2" s="1"/>
  <c r="Y229" i="2"/>
  <c r="AL229" i="2" s="1"/>
  <c r="AU229" i="2" s="1"/>
  <c r="AJ229" i="2"/>
  <c r="Y411" i="2"/>
  <c r="AL411" i="2" s="1"/>
  <c r="AU411" i="2" s="1"/>
  <c r="AJ411" i="2"/>
  <c r="X411" i="2"/>
  <c r="Z411" i="2"/>
  <c r="AM411" i="2" s="1"/>
  <c r="AV411" i="2" s="1"/>
  <c r="A140" i="2"/>
  <c r="B140" i="2"/>
  <c r="C141" i="2"/>
  <c r="A185" i="2"/>
  <c r="B185" i="2"/>
  <c r="C186" i="2"/>
  <c r="A350" i="2"/>
  <c r="B350" i="2"/>
  <c r="C351" i="2"/>
  <c r="C217" i="2"/>
  <c r="A216" i="2"/>
  <c r="B216" i="2"/>
  <c r="C246" i="2"/>
  <c r="A245" i="2"/>
  <c r="B245" i="2"/>
  <c r="C201" i="2"/>
  <c r="B200" i="2"/>
  <c r="A200" i="2"/>
  <c r="C276" i="2"/>
  <c r="A275" i="2"/>
  <c r="B275" i="2"/>
  <c r="AM334" i="2"/>
  <c r="AV334" i="2" s="1"/>
  <c r="X112" i="2"/>
  <c r="Y112" i="2"/>
  <c r="AL112" i="2" s="1"/>
  <c r="AU112" i="2" s="1"/>
  <c r="Z112" i="2"/>
  <c r="AJ112" i="2"/>
  <c r="C306" i="2"/>
  <c r="A305" i="2"/>
  <c r="B305" i="2"/>
  <c r="R66" i="2"/>
  <c r="AK66" i="2"/>
  <c r="P66" i="2"/>
  <c r="AS66" i="2"/>
  <c r="AT65" i="2" s="1"/>
  <c r="AP66" i="2"/>
  <c r="AQ65" i="2" s="1"/>
  <c r="AG124" i="2"/>
  <c r="AH122" i="2" s="1"/>
  <c r="I247" i="2"/>
  <c r="J247" i="2" s="1"/>
  <c r="J246" i="2"/>
  <c r="R245" i="2"/>
  <c r="AK245" i="2"/>
  <c r="AG245" i="2" s="1"/>
  <c r="AP245" i="2"/>
  <c r="P245" i="2"/>
  <c r="AS245" i="2"/>
  <c r="T245" i="2"/>
  <c r="AH410" i="2"/>
  <c r="AJ410" i="2" s="1"/>
  <c r="AM410" i="2" s="1"/>
  <c r="AV410" i="2" s="1"/>
  <c r="AK322" i="2"/>
  <c r="R322" i="2"/>
  <c r="T322" i="2"/>
  <c r="P322" i="2"/>
  <c r="AP322" i="2"/>
  <c r="AS322" i="2"/>
  <c r="AG350" i="2"/>
  <c r="AJ48" i="2"/>
  <c r="X48" i="2"/>
  <c r="Y48" i="2"/>
  <c r="AL48" i="2" s="1"/>
  <c r="AU48" i="2" s="1"/>
  <c r="Z48" i="2"/>
  <c r="A96" i="2"/>
  <c r="C97" i="2"/>
  <c r="B96" i="2"/>
  <c r="A127" i="2"/>
  <c r="B127" i="2"/>
  <c r="V122" i="2"/>
  <c r="X277" i="2"/>
  <c r="AJ277" i="2"/>
  <c r="Z277" i="2"/>
  <c r="AM277" i="2" s="1"/>
  <c r="AV277" i="2" s="1"/>
  <c r="Y277" i="2"/>
  <c r="AL277" i="2" s="1"/>
  <c r="AU277" i="2" s="1"/>
  <c r="AK215" i="2"/>
  <c r="AG215" i="2" s="1"/>
  <c r="AS215" i="2"/>
  <c r="T215" i="2"/>
  <c r="U215" i="2" s="1"/>
  <c r="P215" i="2"/>
  <c r="AP215" i="2"/>
  <c r="U305" i="2"/>
  <c r="A292" i="2"/>
  <c r="B292" i="2"/>
  <c r="AK321" i="2"/>
  <c r="R321" i="2"/>
  <c r="AP321" i="2"/>
  <c r="AQ320" i="2" s="1"/>
  <c r="T321" i="2"/>
  <c r="P321" i="2"/>
  <c r="AS321" i="2"/>
  <c r="AT320" i="2"/>
  <c r="I51" i="2"/>
  <c r="J50" i="2"/>
  <c r="X394" i="2"/>
  <c r="Z394" i="2" s="1"/>
  <c r="AM394" i="2" s="1"/>
  <c r="AV394" i="2" s="1"/>
  <c r="Y394" i="2"/>
  <c r="AL394" i="2" s="1"/>
  <c r="AU394" i="2" s="1"/>
  <c r="AJ394" i="2"/>
  <c r="AG288" i="2"/>
  <c r="AH287" i="2" s="1"/>
  <c r="AJ287" i="2" s="1"/>
  <c r="U277" i="2"/>
  <c r="U276" i="2"/>
  <c r="V275" i="2" s="1"/>
  <c r="X275" i="2" s="1"/>
  <c r="Z275" i="2" s="1"/>
  <c r="AG112" i="2"/>
  <c r="X124" i="2"/>
  <c r="Y124" i="2"/>
  <c r="AL124" i="2" s="1"/>
  <c r="AU124" i="2" s="1"/>
  <c r="Z124" i="2"/>
  <c r="AJ124" i="2"/>
  <c r="A65" i="2"/>
  <c r="C66" i="2"/>
  <c r="B65" i="2"/>
  <c r="AJ288" i="2"/>
  <c r="Y288" i="2"/>
  <c r="AL288" i="2" s="1"/>
  <c r="AU288" i="2" s="1"/>
  <c r="Z288" i="2"/>
  <c r="AM288" i="2" s="1"/>
  <c r="AV288" i="2" s="1"/>
  <c r="X288" i="2"/>
  <c r="R352" i="2"/>
  <c r="AK352" i="2"/>
  <c r="T352" i="2"/>
  <c r="AP352" i="2"/>
  <c r="AS352" i="2"/>
  <c r="P352" i="2"/>
  <c r="X111" i="2"/>
  <c r="Y111" i="2"/>
  <c r="AL111" i="2" s="1"/>
  <c r="AU111" i="2" s="1"/>
  <c r="Z111" i="2"/>
  <c r="AM111" i="2" s="1"/>
  <c r="AV111" i="2" s="1"/>
  <c r="AJ111" i="2"/>
  <c r="AK43" i="2"/>
  <c r="P43" i="2"/>
  <c r="T43" i="2"/>
  <c r="U43" i="2" s="1"/>
  <c r="AP43" i="2"/>
  <c r="AQ41" i="2" s="1"/>
  <c r="AS43" i="2"/>
  <c r="AT41" i="2" s="1"/>
  <c r="U394" i="2"/>
  <c r="V392" i="2" s="1"/>
  <c r="X392" i="2" s="1"/>
  <c r="Z392" i="2" s="1"/>
  <c r="AM392" i="2" s="1"/>
  <c r="AV392" i="2" s="1"/>
  <c r="AM228" i="2"/>
  <c r="AV228" i="2" s="1"/>
  <c r="A230" i="2"/>
  <c r="B230" i="2"/>
  <c r="C231" i="2"/>
  <c r="AG42" i="2"/>
  <c r="B382" i="2"/>
  <c r="A382" i="2"/>
  <c r="AS67" i="2"/>
  <c r="AP67" i="2"/>
  <c r="A50" i="2"/>
  <c r="B50" i="2"/>
  <c r="C51" i="2"/>
  <c r="I397" i="2"/>
  <c r="J397" i="2" s="1"/>
  <c r="J396" i="2"/>
  <c r="AM347" i="2"/>
  <c r="AV347" i="2" s="1"/>
  <c r="AK351" i="2"/>
  <c r="R351" i="2"/>
  <c r="AS351" i="2"/>
  <c r="AT350" i="2" s="1"/>
  <c r="T351" i="2"/>
  <c r="AP351" i="2"/>
  <c r="AQ350" i="2" s="1"/>
  <c r="P351" i="2"/>
  <c r="U111" i="2"/>
  <c r="V110" i="2" s="1"/>
  <c r="X202" i="2"/>
  <c r="Y202" i="2"/>
  <c r="AL202" i="2" s="1"/>
  <c r="AU202" i="2" s="1"/>
  <c r="Z202" i="2"/>
  <c r="AJ202" i="2"/>
  <c r="Y320" i="2"/>
  <c r="AL320" i="2" s="1"/>
  <c r="AU320" i="2" s="1"/>
  <c r="C262" i="2"/>
  <c r="A261" i="2"/>
  <c r="B261" i="2"/>
  <c r="AM332" i="2"/>
  <c r="AV332" i="2" s="1"/>
  <c r="V41" i="2"/>
  <c r="X276" i="2"/>
  <c r="Y276" i="2"/>
  <c r="AL276" i="2" s="1"/>
  <c r="AU276" i="2" s="1"/>
  <c r="Z276" i="2"/>
  <c r="AJ276" i="2"/>
  <c r="B110" i="2"/>
  <c r="C111" i="2"/>
  <c r="A110" i="2"/>
  <c r="AG276" i="2"/>
  <c r="AH275" i="2" s="1"/>
  <c r="AJ275" i="2" s="1"/>
  <c r="R157" i="2"/>
  <c r="AK157" i="2"/>
  <c r="T157" i="2"/>
  <c r="AP157" i="2"/>
  <c r="P157" i="2"/>
  <c r="AS157" i="2"/>
  <c r="AK306" i="2"/>
  <c r="R306" i="2"/>
  <c r="P306" i="2"/>
  <c r="AP306" i="2"/>
  <c r="AQ305" i="2" s="1"/>
  <c r="T306" i="2"/>
  <c r="AS306" i="2"/>
  <c r="I291" i="2"/>
  <c r="J290" i="2"/>
  <c r="X65" i="2"/>
  <c r="Z65" i="2" s="1"/>
  <c r="Y65" i="2"/>
  <c r="AL65" i="2" s="1"/>
  <c r="AU65" i="2" s="1"/>
  <c r="AM302" i="2"/>
  <c r="AV302" i="2" s="1"/>
  <c r="X201" i="2"/>
  <c r="Y201" i="2"/>
  <c r="AL201" i="2" s="1"/>
  <c r="AU201" i="2" s="1"/>
  <c r="Z201" i="2"/>
  <c r="AJ201" i="2"/>
  <c r="AQ365" i="2"/>
  <c r="AG305" i="2"/>
  <c r="AG201" i="2"/>
  <c r="AH200" i="2" s="1"/>
  <c r="R230" i="2"/>
  <c r="AK230" i="2"/>
  <c r="T230" i="2"/>
  <c r="AS230" i="2"/>
  <c r="P230" i="2"/>
  <c r="AP230" i="2"/>
  <c r="AJ412" i="2"/>
  <c r="X412" i="2"/>
  <c r="Z412" i="2" s="1"/>
  <c r="AM412" i="2" s="1"/>
  <c r="AV412" i="2" s="1"/>
  <c r="Y412" i="2"/>
  <c r="AL412" i="2" s="1"/>
  <c r="AU412" i="2" s="1"/>
  <c r="AG111" i="2"/>
  <c r="AH110" i="2" s="1"/>
  <c r="U202" i="2"/>
  <c r="U320" i="2"/>
  <c r="C366" i="2"/>
  <c r="B365" i="2"/>
  <c r="A365" i="2"/>
  <c r="AG394" i="2"/>
  <c r="AH392" i="2" s="1"/>
  <c r="AJ392" i="2" s="1"/>
  <c r="Y42" i="2"/>
  <c r="AL42" i="2" s="1"/>
  <c r="AU42" i="2" s="1"/>
  <c r="Z42" i="2"/>
  <c r="AJ42" i="2"/>
  <c r="X42" i="2"/>
  <c r="AG277" i="2"/>
  <c r="J216" i="2"/>
  <c r="I217" i="2"/>
  <c r="J217" i="2" s="1"/>
  <c r="Y335" i="2"/>
  <c r="AL335" i="2" s="1"/>
  <c r="AU335" i="2" s="1"/>
  <c r="R395" i="2"/>
  <c r="AK395" i="2"/>
  <c r="AG395" i="2" s="1"/>
  <c r="T395" i="2"/>
  <c r="AP395" i="2"/>
  <c r="P395" i="2"/>
  <c r="AS395" i="2"/>
  <c r="Y305" i="2"/>
  <c r="AL305" i="2" s="1"/>
  <c r="AU305" i="2" s="1"/>
  <c r="Y365" i="2"/>
  <c r="AL365" i="2" s="1"/>
  <c r="AU365" i="2" s="1"/>
  <c r="J231" i="2"/>
  <c r="I232" i="2"/>
  <c r="J232" i="2" s="1"/>
  <c r="AG202" i="2"/>
  <c r="V200" i="2"/>
  <c r="R336" i="2"/>
  <c r="AK336" i="2"/>
  <c r="T336" i="2"/>
  <c r="P336" i="2"/>
  <c r="AS336" i="2"/>
  <c r="AT335" i="2" s="1"/>
  <c r="AP336" i="2"/>
  <c r="X49" i="2"/>
  <c r="Y49" i="2"/>
  <c r="AL49" i="2" s="1"/>
  <c r="AU49" i="2" s="1"/>
  <c r="Z49" i="2"/>
  <c r="AJ49" i="2"/>
  <c r="I127" i="2"/>
  <c r="J127" i="2" s="1"/>
  <c r="J126" i="2"/>
  <c r="R366" i="2"/>
  <c r="AK366" i="2"/>
  <c r="P366" i="2"/>
  <c r="AS366" i="2"/>
  <c r="AT365" i="2" s="1"/>
  <c r="T366" i="2"/>
  <c r="AP366" i="2"/>
  <c r="V212" i="2"/>
  <c r="AM64" i="2"/>
  <c r="AV64" i="2" s="1"/>
  <c r="F12" i="902"/>
  <c r="G12" i="902" s="1"/>
  <c r="I12" i="902"/>
  <c r="R156" i="2"/>
  <c r="AK156" i="2"/>
  <c r="T156" i="2"/>
  <c r="P156" i="2"/>
  <c r="AP156" i="2"/>
  <c r="AQ155" i="2" s="1"/>
  <c r="AS156" i="2"/>
  <c r="AT155" i="2" s="1"/>
  <c r="AG214" i="2"/>
  <c r="AH212" i="2" s="1"/>
  <c r="R307" i="2"/>
  <c r="AK307" i="2"/>
  <c r="AP307" i="2"/>
  <c r="T307" i="2"/>
  <c r="AS307" i="2"/>
  <c r="AT305" i="2" s="1"/>
  <c r="P307" i="2"/>
  <c r="R289" i="2"/>
  <c r="T289" i="2"/>
  <c r="P289" i="2"/>
  <c r="AS289" i="2"/>
  <c r="AT287" i="2" s="1"/>
  <c r="AK289" i="2"/>
  <c r="AG289" i="2" s="1"/>
  <c r="AP289" i="2"/>
  <c r="AQ287" i="2" s="1"/>
  <c r="AG335" i="2"/>
  <c r="AG244" i="2"/>
  <c r="AH242" i="2" s="1"/>
  <c r="AJ242" i="2" s="1"/>
  <c r="AM242" i="2" s="1"/>
  <c r="AV242" i="2" s="1"/>
  <c r="AM154" i="2"/>
  <c r="AV154" i="2" s="1"/>
  <c r="C336" i="2"/>
  <c r="B335" i="2"/>
  <c r="A335" i="2"/>
  <c r="X155" i="2"/>
  <c r="Z155" i="2" s="1"/>
  <c r="Y155" i="2"/>
  <c r="AL155" i="2" s="1"/>
  <c r="AU155" i="2" s="1"/>
  <c r="A411" i="2"/>
  <c r="B411" i="2"/>
  <c r="C412" i="2"/>
  <c r="F10" i="902"/>
  <c r="G10" i="902" s="1"/>
  <c r="I10" i="902"/>
  <c r="J10" i="902" s="1"/>
  <c r="N10" i="902" s="1"/>
  <c r="K10" i="902" s="1"/>
  <c r="A80" i="2"/>
  <c r="B80" i="2"/>
  <c r="C81" i="2"/>
  <c r="U112" i="2"/>
  <c r="AG320" i="2"/>
  <c r="B155" i="2"/>
  <c r="C156" i="2"/>
  <c r="A155" i="2"/>
  <c r="R337" i="2"/>
  <c r="AK337" i="2"/>
  <c r="AG337" i="2" s="1"/>
  <c r="P337" i="2"/>
  <c r="T337" i="2"/>
  <c r="AP337" i="2"/>
  <c r="AS337" i="2"/>
  <c r="C396" i="2"/>
  <c r="A395" i="2"/>
  <c r="B395" i="2"/>
  <c r="AK125" i="2"/>
  <c r="AG125" i="2" s="1"/>
  <c r="R125" i="2"/>
  <c r="AP125" i="2"/>
  <c r="AS125" i="2"/>
  <c r="P125" i="2"/>
  <c r="T125" i="2"/>
  <c r="U125" i="2" s="1"/>
  <c r="U42" i="2"/>
  <c r="D66" i="2"/>
  <c r="D336" i="2"/>
  <c r="D81" i="2"/>
  <c r="D156" i="2"/>
  <c r="D111" i="2"/>
  <c r="D201" i="2"/>
  <c r="D351" i="2"/>
  <c r="D217" i="2"/>
  <c r="D186" i="2"/>
  <c r="D306" i="2"/>
  <c r="D97" i="2"/>
  <c r="D412" i="2"/>
  <c r="D322" i="2"/>
  <c r="D51" i="2"/>
  <c r="D231" i="2"/>
  <c r="D246" i="2"/>
  <c r="D262" i="2"/>
  <c r="D141" i="2"/>
  <c r="D366" i="2"/>
  <c r="D171" i="2"/>
  <c r="D396" i="2"/>
  <c r="D276" i="2"/>
  <c r="X38" i="705" l="1"/>
  <c r="Y38" i="705"/>
  <c r="Q39" i="701"/>
  <c r="K39" i="701"/>
  <c r="S39" i="701"/>
  <c r="Z39" i="701"/>
  <c r="M39" i="701"/>
  <c r="AM275" i="2"/>
  <c r="AV275" i="2" s="1"/>
  <c r="X321" i="2"/>
  <c r="Y321" i="2"/>
  <c r="AL321" i="2" s="1"/>
  <c r="AU321" i="2" s="1"/>
  <c r="Z321" i="2"/>
  <c r="AJ321" i="2"/>
  <c r="A276" i="2"/>
  <c r="B276" i="2"/>
  <c r="C277" i="2"/>
  <c r="R127" i="2"/>
  <c r="AK127" i="2"/>
  <c r="AG127" i="2" s="1"/>
  <c r="T127" i="2"/>
  <c r="U127" i="2" s="1"/>
  <c r="AP127" i="2"/>
  <c r="P127" i="2"/>
  <c r="AS127" i="2"/>
  <c r="Y322" i="2"/>
  <c r="AL322" i="2" s="1"/>
  <c r="AU322" i="2" s="1"/>
  <c r="AJ322" i="2"/>
  <c r="X322" i="2"/>
  <c r="Z322" i="2" s="1"/>
  <c r="AM322" i="2" s="1"/>
  <c r="AV322" i="2" s="1"/>
  <c r="C397" i="2"/>
  <c r="B396" i="2"/>
  <c r="A396" i="2"/>
  <c r="AG351" i="2"/>
  <c r="AH350" i="2" s="1"/>
  <c r="AJ350" i="2" s="1"/>
  <c r="AG66" i="2"/>
  <c r="U157" i="2"/>
  <c r="AG321" i="2"/>
  <c r="AK216" i="2"/>
  <c r="AS216" i="2"/>
  <c r="AT215" i="2" s="1"/>
  <c r="P216" i="2"/>
  <c r="T216" i="2"/>
  <c r="AP216" i="2"/>
  <c r="B171" i="2"/>
  <c r="A171" i="2"/>
  <c r="C172" i="2"/>
  <c r="AH65" i="2"/>
  <c r="AJ65" i="2" s="1"/>
  <c r="AM65" i="2" s="1"/>
  <c r="AV65" i="2" s="1"/>
  <c r="X351" i="2"/>
  <c r="Z351" i="2" s="1"/>
  <c r="AM351" i="2" s="1"/>
  <c r="AV351" i="2" s="1"/>
  <c r="Y351" i="2"/>
  <c r="AL351" i="2" s="1"/>
  <c r="AU351" i="2" s="1"/>
  <c r="AJ351" i="2"/>
  <c r="C367" i="2"/>
  <c r="A366" i="2"/>
  <c r="B366" i="2"/>
  <c r="Y352" i="2"/>
  <c r="AL352" i="2" s="1"/>
  <c r="AU352" i="2" s="1"/>
  <c r="AJ352" i="2"/>
  <c r="X352" i="2"/>
  <c r="Z352" i="2" s="1"/>
  <c r="AM352" i="2" s="1"/>
  <c r="AV352" i="2" s="1"/>
  <c r="B141" i="2"/>
  <c r="C142" i="2"/>
  <c r="A141" i="2"/>
  <c r="X367" i="2"/>
  <c r="Z367" i="2" s="1"/>
  <c r="AM367" i="2" s="1"/>
  <c r="AV367" i="2" s="1"/>
  <c r="Y367" i="2"/>
  <c r="AL367" i="2" s="1"/>
  <c r="AU367" i="2" s="1"/>
  <c r="AJ367" i="2"/>
  <c r="AG156" i="2"/>
  <c r="AH155" i="2" s="1"/>
  <c r="AJ155" i="2" s="1"/>
  <c r="AM155" i="2" s="1"/>
  <c r="AV155" i="2" s="1"/>
  <c r="AG322" i="2"/>
  <c r="R396" i="2"/>
  <c r="AK396" i="2"/>
  <c r="AG396" i="2" s="1"/>
  <c r="AP396" i="2"/>
  <c r="P396" i="2"/>
  <c r="AS396" i="2"/>
  <c r="T396" i="2"/>
  <c r="U396" i="2" s="1"/>
  <c r="U337" i="2"/>
  <c r="U289" i="2"/>
  <c r="V287" i="2" s="1"/>
  <c r="X287" i="2" s="1"/>
  <c r="Z287" i="2" s="1"/>
  <c r="AM287" i="2" s="1"/>
  <c r="AV287" i="2" s="1"/>
  <c r="J12" i="902"/>
  <c r="N12" i="902" s="1"/>
  <c r="K12" i="902" s="1"/>
  <c r="A262" i="2"/>
  <c r="B262" i="2"/>
  <c r="R397" i="2"/>
  <c r="AK397" i="2"/>
  <c r="AP397" i="2"/>
  <c r="T397" i="2"/>
  <c r="P397" i="2"/>
  <c r="AS397" i="2"/>
  <c r="U245" i="2"/>
  <c r="C247" i="2"/>
  <c r="A246" i="2"/>
  <c r="B246" i="2"/>
  <c r="AG366" i="2"/>
  <c r="AM276" i="2"/>
  <c r="AV276" i="2" s="1"/>
  <c r="B231" i="2"/>
  <c r="A231" i="2"/>
  <c r="C232" i="2"/>
  <c r="R232" i="2"/>
  <c r="AK232" i="2"/>
  <c r="AG232" i="2" s="1"/>
  <c r="P232" i="2"/>
  <c r="AP232" i="2"/>
  <c r="T232" i="2"/>
  <c r="U232" i="2" s="1"/>
  <c r="AS232" i="2"/>
  <c r="U351" i="2"/>
  <c r="AJ66" i="2"/>
  <c r="U66" i="2"/>
  <c r="V65" i="2" s="1"/>
  <c r="X66" i="2"/>
  <c r="Y66" i="2"/>
  <c r="AL66" i="2" s="1"/>
  <c r="Z66" i="2"/>
  <c r="AM66" i="2" s="1"/>
  <c r="AK217" i="2"/>
  <c r="T217" i="2"/>
  <c r="P217" i="2"/>
  <c r="AS217" i="2"/>
  <c r="AP217" i="2"/>
  <c r="AG352" i="2"/>
  <c r="X289" i="2"/>
  <c r="Z289" i="2" s="1"/>
  <c r="AM289" i="2" s="1"/>
  <c r="AV289" i="2" s="1"/>
  <c r="Y289" i="2"/>
  <c r="AL289" i="2" s="1"/>
  <c r="AU289" i="2" s="1"/>
  <c r="AJ289" i="2"/>
  <c r="AG157" i="2"/>
  <c r="X337" i="2"/>
  <c r="AJ337" i="2"/>
  <c r="Y337" i="2"/>
  <c r="AL337" i="2" s="1"/>
  <c r="AU337" i="2" s="1"/>
  <c r="Z337" i="2"/>
  <c r="AM337" i="2" s="1"/>
  <c r="AV337" i="2" s="1"/>
  <c r="AQ230" i="2"/>
  <c r="A51" i="2"/>
  <c r="B51" i="2"/>
  <c r="C52" i="2"/>
  <c r="Y306" i="2"/>
  <c r="AL306" i="2" s="1"/>
  <c r="AU306" i="2" s="1"/>
  <c r="Z306" i="2"/>
  <c r="AM306" i="2" s="1"/>
  <c r="AV306" i="2" s="1"/>
  <c r="AJ306" i="2"/>
  <c r="X306" i="2"/>
  <c r="AM124" i="2"/>
  <c r="AV124" i="2" s="1"/>
  <c r="R126" i="2"/>
  <c r="AK126" i="2"/>
  <c r="T126" i="2"/>
  <c r="P126" i="2"/>
  <c r="AP126" i="2"/>
  <c r="AQ125" i="2" s="1"/>
  <c r="AS126" i="2"/>
  <c r="AT125" i="2" s="1"/>
  <c r="A322" i="2"/>
  <c r="B322" i="2"/>
  <c r="AM201" i="2"/>
  <c r="AV201" i="2" s="1"/>
  <c r="U321" i="2"/>
  <c r="V320" i="2" s="1"/>
  <c r="X320" i="2" s="1"/>
  <c r="Z320" i="2" s="1"/>
  <c r="AM320" i="2" s="1"/>
  <c r="AV320" i="2" s="1"/>
  <c r="A412" i="2"/>
  <c r="B412" i="2"/>
  <c r="AJ307" i="2"/>
  <c r="Y307" i="2"/>
  <c r="AL307" i="2" s="1"/>
  <c r="AU307" i="2" s="1"/>
  <c r="X307" i="2"/>
  <c r="Z307" i="2"/>
  <c r="AM307" i="2" s="1"/>
  <c r="AV307" i="2" s="1"/>
  <c r="X230" i="2"/>
  <c r="Y230" i="2"/>
  <c r="AL230" i="2" s="1"/>
  <c r="AU230" i="2" s="1"/>
  <c r="Z230" i="2"/>
  <c r="A97" i="2"/>
  <c r="B97" i="2"/>
  <c r="X245" i="2"/>
  <c r="Z245" i="2" s="1"/>
  <c r="AM245" i="2" s="1"/>
  <c r="AV245" i="2" s="1"/>
  <c r="Y245" i="2"/>
  <c r="AL245" i="2" s="1"/>
  <c r="AU245" i="2" s="1"/>
  <c r="C307" i="2"/>
  <c r="A306" i="2"/>
  <c r="B306" i="2"/>
  <c r="B186" i="2"/>
  <c r="A186" i="2"/>
  <c r="C187" i="2"/>
  <c r="AG306" i="2"/>
  <c r="U352" i="2"/>
  <c r="AK290" i="2"/>
  <c r="R290" i="2"/>
  <c r="AS290" i="2"/>
  <c r="AP290" i="2"/>
  <c r="P290" i="2"/>
  <c r="T290" i="2"/>
  <c r="U290" i="2" s="1"/>
  <c r="Z43" i="2"/>
  <c r="AM43" i="2" s="1"/>
  <c r="AV43" i="2" s="1"/>
  <c r="AJ43" i="2"/>
  <c r="X43" i="2"/>
  <c r="Y43" i="2"/>
  <c r="AL43" i="2" s="1"/>
  <c r="AU43" i="2" s="1"/>
  <c r="AQ245" i="2"/>
  <c r="A217" i="2"/>
  <c r="B217" i="2"/>
  <c r="X366" i="2"/>
  <c r="Y366" i="2"/>
  <c r="AL366" i="2" s="1"/>
  <c r="AU366" i="2" s="1"/>
  <c r="Z366" i="2"/>
  <c r="AJ366" i="2"/>
  <c r="J51" i="2"/>
  <c r="I52" i="2"/>
  <c r="J52" i="2" s="1"/>
  <c r="R247" i="2"/>
  <c r="AK247" i="2"/>
  <c r="AG247" i="2" s="1"/>
  <c r="AS247" i="2"/>
  <c r="T247" i="2"/>
  <c r="U247" i="2" s="1"/>
  <c r="P247" i="2"/>
  <c r="AP247" i="2"/>
  <c r="R231" i="2"/>
  <c r="AK231" i="2"/>
  <c r="AG231" i="2" s="1"/>
  <c r="P231" i="2"/>
  <c r="AP231" i="2"/>
  <c r="AS231" i="2"/>
  <c r="T231" i="2"/>
  <c r="U231" i="2" s="1"/>
  <c r="X157" i="2"/>
  <c r="Y157" i="2"/>
  <c r="AL157" i="2" s="1"/>
  <c r="AU157" i="2" s="1"/>
  <c r="Z157" i="2"/>
  <c r="AJ157" i="2"/>
  <c r="U322" i="2"/>
  <c r="AG367" i="2"/>
  <c r="AT395" i="2"/>
  <c r="U307" i="2"/>
  <c r="AG43" i="2"/>
  <c r="AH41" i="2" s="1"/>
  <c r="AM48" i="2"/>
  <c r="AV48" i="2" s="1"/>
  <c r="AM112" i="2"/>
  <c r="AV112" i="2" s="1"/>
  <c r="A351" i="2"/>
  <c r="B351" i="2"/>
  <c r="C352" i="2"/>
  <c r="AM49" i="2"/>
  <c r="AV49" i="2" s="1"/>
  <c r="A201" i="2"/>
  <c r="C202" i="2"/>
  <c r="B201" i="2"/>
  <c r="AM42" i="2"/>
  <c r="AV42" i="2" s="1"/>
  <c r="AJ336" i="2"/>
  <c r="X336" i="2"/>
  <c r="Z336" i="2" s="1"/>
  <c r="AM336" i="2" s="1"/>
  <c r="AV336" i="2" s="1"/>
  <c r="Y336" i="2"/>
  <c r="AL336" i="2" s="1"/>
  <c r="AU336" i="2" s="1"/>
  <c r="Y395" i="2"/>
  <c r="AL395" i="2" s="1"/>
  <c r="AU395" i="2" s="1"/>
  <c r="U230" i="2"/>
  <c r="B111" i="2"/>
  <c r="C112" i="2"/>
  <c r="A111" i="2"/>
  <c r="B156" i="2"/>
  <c r="A156" i="2"/>
  <c r="C157" i="2"/>
  <c r="U336" i="2"/>
  <c r="AQ395" i="2"/>
  <c r="AG230" i="2"/>
  <c r="AH230" i="2" s="1"/>
  <c r="AJ230" i="2" s="1"/>
  <c r="AQ215" i="2"/>
  <c r="AH320" i="2"/>
  <c r="AJ320" i="2" s="1"/>
  <c r="R246" i="2"/>
  <c r="AK246" i="2"/>
  <c r="AG246" i="2" s="1"/>
  <c r="AH245" i="2" s="1"/>
  <c r="AJ245" i="2" s="1"/>
  <c r="AP246" i="2"/>
  <c r="P246" i="2"/>
  <c r="T246" i="2"/>
  <c r="U246" i="2" s="1"/>
  <c r="AS246" i="2"/>
  <c r="AT245" i="2" s="1"/>
  <c r="A81" i="2"/>
  <c r="B81" i="2"/>
  <c r="C82" i="2"/>
  <c r="X156" i="2"/>
  <c r="Y156" i="2"/>
  <c r="AL156" i="2" s="1"/>
  <c r="AU156" i="2" s="1"/>
  <c r="Z156" i="2"/>
  <c r="AJ156" i="2"/>
  <c r="U156" i="2"/>
  <c r="V155" i="2" s="1"/>
  <c r="AT230" i="2"/>
  <c r="J291" i="2"/>
  <c r="I292" i="2"/>
  <c r="J292" i="2" s="1"/>
  <c r="AM202" i="2"/>
  <c r="AV202" i="2" s="1"/>
  <c r="U366" i="2"/>
  <c r="V365" i="2" s="1"/>
  <c r="X365" i="2" s="1"/>
  <c r="Z365" i="2" s="1"/>
  <c r="AJ125" i="2"/>
  <c r="X125" i="2"/>
  <c r="Y125" i="2"/>
  <c r="AL125" i="2" s="1"/>
  <c r="AU125" i="2" s="1"/>
  <c r="Z125" i="2"/>
  <c r="AM125" i="2" s="1"/>
  <c r="AV125" i="2" s="1"/>
  <c r="C337" i="2"/>
  <c r="A336" i="2"/>
  <c r="B336" i="2"/>
  <c r="AG307" i="2"/>
  <c r="AH305" i="2" s="1"/>
  <c r="AJ305" i="2" s="1"/>
  <c r="AG336" i="2"/>
  <c r="AH335" i="2" s="1"/>
  <c r="AJ335" i="2" s="1"/>
  <c r="U395" i="2"/>
  <c r="U306" i="2"/>
  <c r="V305" i="2" s="1"/>
  <c r="X305" i="2" s="1"/>
  <c r="Z305" i="2" s="1"/>
  <c r="C67" i="2"/>
  <c r="A66" i="2"/>
  <c r="B66" i="2"/>
  <c r="AK50" i="2"/>
  <c r="AG50" i="2" s="1"/>
  <c r="AP50" i="2"/>
  <c r="AS50" i="2"/>
  <c r="T50" i="2"/>
  <c r="U50" i="2" s="1"/>
  <c r="P50" i="2"/>
  <c r="X215" i="2"/>
  <c r="Y215" i="2"/>
  <c r="AL215" i="2" s="1"/>
  <c r="AU215" i="2" s="1"/>
  <c r="AJ215" i="2"/>
  <c r="Z215" i="2"/>
  <c r="AM215" i="2" s="1"/>
  <c r="AV215" i="2" s="1"/>
  <c r="D67" i="2"/>
  <c r="D52" i="2"/>
  <c r="D307" i="2"/>
  <c r="D367" i="2"/>
  <c r="D277" i="2"/>
  <c r="D157" i="2"/>
  <c r="E7" i="900" a="1"/>
  <c r="H7" i="900" a="1"/>
  <c r="D112" i="2"/>
  <c r="D172" i="2"/>
  <c r="D142" i="2"/>
  <c r="D187" i="2"/>
  <c r="D337" i="2"/>
  <c r="D247" i="2"/>
  <c r="D352" i="2"/>
  <c r="D82" i="2"/>
  <c r="D202" i="2"/>
  <c r="D397" i="2"/>
  <c r="D232" i="2"/>
  <c r="H7" i="900" l="1"/>
  <c r="E7" i="900"/>
  <c r="AM305" i="2"/>
  <c r="AV305" i="2" s="1"/>
  <c r="B232" i="2"/>
  <c r="A232" i="2"/>
  <c r="A397" i="2"/>
  <c r="B397" i="2"/>
  <c r="AM156" i="2"/>
  <c r="AV156" i="2" s="1"/>
  <c r="X126" i="2"/>
  <c r="Y126" i="2"/>
  <c r="AL126" i="2" s="1"/>
  <c r="AU126" i="2" s="1"/>
  <c r="Z126" i="2"/>
  <c r="AJ126" i="2"/>
  <c r="U126" i="2"/>
  <c r="V125" i="2" s="1"/>
  <c r="A202" i="2"/>
  <c r="B202" i="2"/>
  <c r="B82" i="2"/>
  <c r="A82" i="2"/>
  <c r="AM366" i="2"/>
  <c r="AV366" i="2" s="1"/>
  <c r="X396" i="2"/>
  <c r="Z396" i="2" s="1"/>
  <c r="AM396" i="2" s="1"/>
  <c r="AV396" i="2" s="1"/>
  <c r="Y396" i="2"/>
  <c r="AL396" i="2" s="1"/>
  <c r="AU396" i="2" s="1"/>
  <c r="AJ396" i="2"/>
  <c r="X50" i="2"/>
  <c r="M43" i="704" s="1"/>
  <c r="Y50" i="2"/>
  <c r="AL50" i="2" s="1"/>
  <c r="AU50" i="2" s="1"/>
  <c r="Z50" i="2"/>
  <c r="P43" i="704" s="1"/>
  <c r="AJ50" i="2"/>
  <c r="T43" i="704" s="1"/>
  <c r="D13" i="902"/>
  <c r="B352" i="2"/>
  <c r="A352" i="2"/>
  <c r="A247" i="2"/>
  <c r="B247" i="2"/>
  <c r="U216" i="2"/>
  <c r="X127" i="2"/>
  <c r="Y127" i="2"/>
  <c r="AL127" i="2" s="1"/>
  <c r="AU127" i="2" s="1"/>
  <c r="Z127" i="2"/>
  <c r="AM127" i="2" s="1"/>
  <c r="AV127" i="2" s="1"/>
  <c r="AJ127" i="2"/>
  <c r="X217" i="2"/>
  <c r="Y217" i="2"/>
  <c r="AL217" i="2" s="1"/>
  <c r="AU217" i="2" s="1"/>
  <c r="Z217" i="2"/>
  <c r="AJ217" i="2"/>
  <c r="Y290" i="2"/>
  <c r="AL290" i="2" s="1"/>
  <c r="AU290" i="2" s="1"/>
  <c r="AH365" i="2"/>
  <c r="AJ365" i="2" s="1"/>
  <c r="AM365" i="2" s="1"/>
  <c r="AV365" i="2" s="1"/>
  <c r="V335" i="2"/>
  <c r="X335" i="2" s="1"/>
  <c r="Z335" i="2" s="1"/>
  <c r="AM335" i="2" s="1"/>
  <c r="AV335" i="2" s="1"/>
  <c r="AK51" i="2"/>
  <c r="AG51" i="2" s="1"/>
  <c r="AS51" i="2"/>
  <c r="AP51" i="2"/>
  <c r="T51" i="2"/>
  <c r="P51" i="2"/>
  <c r="A337" i="2"/>
  <c r="B337" i="2"/>
  <c r="A187" i="2"/>
  <c r="B187" i="2"/>
  <c r="V245" i="2"/>
  <c r="AM321" i="2"/>
  <c r="AV321" i="2" s="1"/>
  <c r="B142" i="2"/>
  <c r="A142" i="2"/>
  <c r="A172" i="2"/>
  <c r="B172" i="2"/>
  <c r="V350" i="2"/>
  <c r="X350" i="2" s="1"/>
  <c r="Z350" i="2" s="1"/>
  <c r="AM350" i="2" s="1"/>
  <c r="AV350" i="2" s="1"/>
  <c r="AJ216" i="2"/>
  <c r="X216" i="2"/>
  <c r="Y216" i="2"/>
  <c r="AL216" i="2" s="1"/>
  <c r="AU216" i="2" s="1"/>
  <c r="Z216" i="2"/>
  <c r="AM216" i="2" s="1"/>
  <c r="AV216" i="2" s="1"/>
  <c r="AT50" i="2"/>
  <c r="B112" i="2"/>
  <c r="A112" i="2"/>
  <c r="X231" i="2"/>
  <c r="Y231" i="2"/>
  <c r="AL231" i="2" s="1"/>
  <c r="AU231" i="2" s="1"/>
  <c r="Z231" i="2"/>
  <c r="AJ231" i="2"/>
  <c r="AG216" i="2"/>
  <c r="AH215" i="2" s="1"/>
  <c r="AP52" i="2"/>
  <c r="AS52" i="2"/>
  <c r="T52" i="2"/>
  <c r="P52" i="2"/>
  <c r="B157" i="2"/>
  <c r="A157" i="2"/>
  <c r="Y397" i="2"/>
  <c r="AL397" i="2" s="1"/>
  <c r="AU397" i="2" s="1"/>
  <c r="AJ397" i="2"/>
  <c r="X397" i="2"/>
  <c r="Z397" i="2" s="1"/>
  <c r="AM397" i="2" s="1"/>
  <c r="AV397" i="2" s="1"/>
  <c r="U397" i="2"/>
  <c r="V395" i="2" s="1"/>
  <c r="X395" i="2" s="1"/>
  <c r="Z395" i="2" s="1"/>
  <c r="AM395" i="2" s="1"/>
  <c r="AV395" i="2" s="1"/>
  <c r="X246" i="2"/>
  <c r="Z246" i="2" s="1"/>
  <c r="AM246" i="2" s="1"/>
  <c r="AV246" i="2" s="1"/>
  <c r="Y246" i="2"/>
  <c r="AL246" i="2" s="1"/>
  <c r="AU246" i="2" s="1"/>
  <c r="AJ246" i="2"/>
  <c r="X232" i="2"/>
  <c r="Y232" i="2"/>
  <c r="AL232" i="2" s="1"/>
  <c r="AU232" i="2" s="1"/>
  <c r="Z232" i="2"/>
  <c r="AJ232" i="2"/>
  <c r="A277" i="2"/>
  <c r="B277" i="2"/>
  <c r="AM230" i="2"/>
  <c r="AV230" i="2" s="1"/>
  <c r="AG126" i="2"/>
  <c r="AH125" i="2" s="1"/>
  <c r="AG290" i="2"/>
  <c r="AQ50" i="2"/>
  <c r="H47" i="346"/>
  <c r="I47" i="346" s="1"/>
  <c r="H47" i="703"/>
  <c r="I47" i="703" s="1"/>
  <c r="Y39" i="701"/>
  <c r="H53" i="704"/>
  <c r="I53" i="704" s="1"/>
  <c r="C39" i="703"/>
  <c r="C43" i="704"/>
  <c r="I39" i="703"/>
  <c r="L8" i="703"/>
  <c r="H12" i="474"/>
  <c r="S8" i="703"/>
  <c r="U8" i="703" s="1"/>
  <c r="F43" i="704"/>
  <c r="F39" i="704"/>
  <c r="Y39" i="704"/>
  <c r="F8" i="702"/>
  <c r="AJ8" i="702" s="1"/>
  <c r="AN8" i="702" s="1"/>
  <c r="P39" i="701"/>
  <c r="M41" i="704"/>
  <c r="C41" i="704"/>
  <c r="Q43" i="704"/>
  <c r="Q44" i="704" s="1"/>
  <c r="R8" i="702"/>
  <c r="L39" i="704"/>
  <c r="M39" i="704"/>
  <c r="E14" i="474"/>
  <c r="H39" i="704"/>
  <c r="P8" i="703"/>
  <c r="K39" i="703"/>
  <c r="X8" i="702"/>
  <c r="F8" i="701"/>
  <c r="AJ8" i="701" s="1"/>
  <c r="Z8" i="701"/>
  <c r="J8" i="701"/>
  <c r="J39" i="703"/>
  <c r="X39" i="704"/>
  <c r="K11" i="474"/>
  <c r="R41" i="704"/>
  <c r="R42" i="704" s="1"/>
  <c r="E9" i="474"/>
  <c r="O8" i="704"/>
  <c r="S41" i="704"/>
  <c r="S42" i="704" s="1"/>
  <c r="X39" i="701"/>
  <c r="I8" i="704"/>
  <c r="I8" i="702"/>
  <c r="W41" i="704"/>
  <c r="H13" i="474"/>
  <c r="J8" i="346"/>
  <c r="U43" i="704"/>
  <c r="Q41" i="704"/>
  <c r="Q42" i="704" s="1"/>
  <c r="P41" i="704"/>
  <c r="L8" i="702"/>
  <c r="K9" i="474"/>
  <c r="F41" i="704"/>
  <c r="U39" i="704"/>
  <c r="G8" i="702"/>
  <c r="R39" i="701"/>
  <c r="R8" i="703"/>
  <c r="C8" i="702"/>
  <c r="AI8" i="702" s="1"/>
  <c r="Z39" i="704"/>
  <c r="I43" i="704"/>
  <c r="AA8" i="702"/>
  <c r="F39" i="703"/>
  <c r="L8" i="701"/>
  <c r="J41" i="704"/>
  <c r="J42" i="704" s="1"/>
  <c r="R43" i="704"/>
  <c r="R44" i="704" s="1"/>
  <c r="L39" i="701"/>
  <c r="Z8" i="346"/>
  <c r="AA39" i="701"/>
  <c r="Q39" i="704"/>
  <c r="W8" i="702"/>
  <c r="I8" i="701"/>
  <c r="K8" i="346"/>
  <c r="G39" i="701"/>
  <c r="K8" i="704"/>
  <c r="I39" i="701"/>
  <c r="H6" i="474"/>
  <c r="T39" i="703"/>
  <c r="C39" i="704"/>
  <c r="H9" i="474"/>
  <c r="H43" i="704"/>
  <c r="G39" i="704"/>
  <c r="AA39" i="704"/>
  <c r="E8" i="474"/>
  <c r="H8" i="703"/>
  <c r="K8" i="474"/>
  <c r="Q8" i="702"/>
  <c r="AA39" i="703"/>
  <c r="I39" i="704"/>
  <c r="K10" i="474"/>
  <c r="X8" i="703"/>
  <c r="J39" i="701"/>
  <c r="J9" i="474"/>
  <c r="S39" i="704"/>
  <c r="Y8" i="703"/>
  <c r="J6" i="474"/>
  <c r="U41" i="704"/>
  <c r="N39" i="703"/>
  <c r="H8" i="704"/>
  <c r="G8" i="704"/>
  <c r="G41" i="704"/>
  <c r="Q8" i="701"/>
  <c r="I6" i="474"/>
  <c r="K41" i="704"/>
  <c r="K42" i="704" s="1"/>
  <c r="I12" i="474"/>
  <c r="M8" i="704"/>
  <c r="Y8" i="704"/>
  <c r="J39" i="704"/>
  <c r="H8" i="474"/>
  <c r="T39" i="704"/>
  <c r="R39" i="704"/>
  <c r="O8" i="702"/>
  <c r="I9" i="474"/>
  <c r="W39" i="701"/>
  <c r="AA8" i="703"/>
  <c r="J43" i="704"/>
  <c r="J44" i="704" s="1"/>
  <c r="W8" i="701"/>
  <c r="T39" i="701"/>
  <c r="N41" i="704"/>
  <c r="H39" i="703"/>
  <c r="N43" i="704"/>
  <c r="L41" i="704"/>
  <c r="L42" i="704" s="1"/>
  <c r="G39" i="703"/>
  <c r="J14" i="474"/>
  <c r="F8" i="346"/>
  <c r="AJ8" i="346" s="1"/>
  <c r="I8" i="474"/>
  <c r="P39" i="704"/>
  <c r="C8" i="701"/>
  <c r="AI8" i="701" s="1"/>
  <c r="H8" i="346"/>
  <c r="K39" i="704"/>
  <c r="W39" i="704"/>
  <c r="J8" i="474"/>
  <c r="P8" i="702"/>
  <c r="Z8" i="704"/>
  <c r="I41" i="704"/>
  <c r="V8" i="702"/>
  <c r="I11" i="474"/>
  <c r="Y39" i="703"/>
  <c r="K43" i="704"/>
  <c r="K44" i="704" s="1"/>
  <c r="Z39" i="703"/>
  <c r="G8" i="701"/>
  <c r="H41" i="704"/>
  <c r="J8" i="703"/>
  <c r="I10" i="474"/>
  <c r="N8" i="702"/>
  <c r="G43" i="704"/>
  <c r="B33" i="881" s="1"/>
  <c r="B49" i="881" s="1"/>
  <c r="N39" i="704"/>
  <c r="T41" i="704"/>
  <c r="X39" i="703"/>
  <c r="P39" i="703"/>
  <c r="P8" i="704"/>
  <c r="W39" i="703"/>
  <c r="Q39" i="703"/>
  <c r="S39" i="703"/>
  <c r="F8" i="704"/>
  <c r="AJ8" i="704" s="1"/>
  <c r="P8" i="346"/>
  <c r="M39" i="703"/>
  <c r="L39" i="703"/>
  <c r="Q8" i="704"/>
  <c r="M8" i="346"/>
  <c r="R39" i="703"/>
  <c r="U39" i="703"/>
  <c r="N8" i="704"/>
  <c r="V230" i="2"/>
  <c r="S27" i="706"/>
  <c r="C38" i="705"/>
  <c r="H17" i="707"/>
  <c r="W11" i="707"/>
  <c r="Y38" i="707"/>
  <c r="I11" i="707"/>
  <c r="W25" i="708"/>
  <c r="L38" i="707"/>
  <c r="X8" i="705"/>
  <c r="I10" i="705"/>
  <c r="C14" i="705"/>
  <c r="AI14" i="705" s="1"/>
  <c r="M8" i="707"/>
  <c r="N11" i="705"/>
  <c r="F25" i="708"/>
  <c r="M38" i="707"/>
  <c r="Z21" i="707"/>
  <c r="Z28" i="708"/>
  <c r="H10" i="707"/>
  <c r="G28" i="708"/>
  <c r="Y14" i="705"/>
  <c r="V8" i="705"/>
  <c r="K8" i="705"/>
  <c r="O13" i="708"/>
  <c r="F28" i="708"/>
  <c r="Y26" i="705"/>
  <c r="U25" i="708"/>
  <c r="Q8" i="707"/>
  <c r="X17" i="707"/>
  <c r="N25" i="708"/>
  <c r="Z38" i="707"/>
  <c r="H9" i="705"/>
  <c r="N28" i="708"/>
  <c r="O8" i="705"/>
  <c r="L20" i="705"/>
  <c r="N38" i="707"/>
  <c r="AA38" i="707"/>
  <c r="P23" i="707"/>
  <c r="W26" i="705"/>
  <c r="Q28" i="708"/>
  <c r="Z8" i="707"/>
  <c r="G25" i="705"/>
  <c r="W11" i="708"/>
  <c r="T25" i="708"/>
  <c r="H25" i="708"/>
  <c r="K10" i="707"/>
  <c r="N8" i="705"/>
  <c r="J26" i="707"/>
  <c r="AA20" i="707"/>
  <c r="L13" i="706"/>
  <c r="K38" i="707"/>
  <c r="P15" i="705"/>
  <c r="C27" i="706"/>
  <c r="V23" i="705"/>
  <c r="U8" i="707"/>
  <c r="C17" i="705"/>
  <c r="AI17" i="705" s="1"/>
  <c r="Q38" i="707"/>
  <c r="Y25" i="708"/>
  <c r="C25" i="708"/>
  <c r="I38" i="707"/>
  <c r="X25" i="708"/>
  <c r="J25" i="708"/>
  <c r="F10" i="708"/>
  <c r="AJ10" i="708" s="1"/>
  <c r="AN10" i="708" s="1"/>
  <c r="S25" i="708"/>
  <c r="P14" i="707"/>
  <c r="H46" i="707"/>
  <c r="I46" i="707" s="1"/>
  <c r="G27" i="706"/>
  <c r="F17" i="705"/>
  <c r="AJ17" i="705" s="1"/>
  <c r="AN17" i="705" s="1"/>
  <c r="G38" i="707"/>
  <c r="U11" i="705"/>
  <c r="X28" i="708"/>
  <c r="J8" i="707"/>
  <c r="G13" i="706"/>
  <c r="W27" i="706"/>
  <c r="M12" i="707"/>
  <c r="W8" i="707"/>
  <c r="X13" i="706"/>
  <c r="S12" i="705"/>
  <c r="S38" i="707"/>
  <c r="J28" i="708"/>
  <c r="C28" i="708"/>
  <c r="X27" i="706"/>
  <c r="AA13" i="705"/>
  <c r="P10" i="708"/>
  <c r="P38" i="707"/>
  <c r="I15" i="705"/>
  <c r="Q25" i="708"/>
  <c r="R38" i="707"/>
  <c r="N23" i="705"/>
  <c r="K28" i="708"/>
  <c r="P14" i="706"/>
  <c r="R28" i="708"/>
  <c r="L15" i="707"/>
  <c r="L25" i="708"/>
  <c r="M8" i="705"/>
  <c r="H38" i="707"/>
  <c r="L21" i="707"/>
  <c r="I8" i="707"/>
  <c r="AA25" i="707"/>
  <c r="Z14" i="705"/>
  <c r="K11" i="706"/>
  <c r="W12" i="705"/>
  <c r="J10" i="707"/>
  <c r="X38" i="707"/>
  <c r="R25" i="708"/>
  <c r="Q27" i="706"/>
  <c r="AA25" i="708"/>
  <c r="C8" i="707"/>
  <c r="AI8" i="707" s="1"/>
  <c r="C26" i="707"/>
  <c r="P28" i="708"/>
  <c r="M25" i="707"/>
  <c r="Q8" i="705"/>
  <c r="S21" i="705"/>
  <c r="W38" i="707"/>
  <c r="I25" i="708"/>
  <c r="I10" i="707"/>
  <c r="Y28" i="708"/>
  <c r="S8" i="705"/>
  <c r="P25" i="708"/>
  <c r="Q9" i="707"/>
  <c r="Z25" i="708"/>
  <c r="AA11" i="707"/>
  <c r="H28" i="708"/>
  <c r="K25" i="708"/>
  <c r="W8" i="705"/>
  <c r="K8" i="707"/>
  <c r="G24" i="707"/>
  <c r="AA22" i="707"/>
  <c r="S8" i="707"/>
  <c r="L10" i="707"/>
  <c r="G13" i="707"/>
  <c r="P12" i="707"/>
  <c r="J38" i="707"/>
  <c r="P19" i="705"/>
  <c r="Z9" i="707"/>
  <c r="J10" i="708"/>
  <c r="F13" i="708"/>
  <c r="AJ13" i="708" s="1"/>
  <c r="AN13" i="708" s="1"/>
  <c r="Y27" i="706"/>
  <c r="S14" i="706"/>
  <c r="G25" i="708"/>
  <c r="U12" i="707"/>
  <c r="P27" i="706"/>
  <c r="C10" i="708"/>
  <c r="AI10" i="708" s="1"/>
  <c r="J10" i="706"/>
  <c r="G10" i="705"/>
  <c r="I28" i="708"/>
  <c r="K27" i="706"/>
  <c r="L8" i="705"/>
  <c r="Z9" i="705"/>
  <c r="C38" i="707"/>
  <c r="J9" i="705"/>
  <c r="Y8" i="707"/>
  <c r="S23" i="705"/>
  <c r="U28" i="708"/>
  <c r="U38" i="707"/>
  <c r="Y23" i="705"/>
  <c r="F20" i="707"/>
  <c r="AJ20" i="707" s="1"/>
  <c r="X20" i="707"/>
  <c r="M25" i="708"/>
  <c r="F38" i="707"/>
  <c r="T27" i="706"/>
  <c r="T38" i="707"/>
  <c r="O8" i="707"/>
  <c r="H27" i="706"/>
  <c r="H23" i="705"/>
  <c r="H9" i="706"/>
  <c r="N27" i="706"/>
  <c r="M27" i="706"/>
  <c r="L27" i="706"/>
  <c r="F19" i="707"/>
  <c r="AJ19" i="707" s="1"/>
  <c r="AN19" i="707" s="1"/>
  <c r="U27" i="706"/>
  <c r="K9" i="706"/>
  <c r="J27" i="706"/>
  <c r="I27" i="706"/>
  <c r="Z27" i="706"/>
  <c r="F27" i="706"/>
  <c r="G12" i="707"/>
  <c r="AA27" i="706"/>
  <c r="R27" i="706"/>
  <c r="A367" i="2"/>
  <c r="B367" i="2"/>
  <c r="AK292" i="2"/>
  <c r="R292" i="2"/>
  <c r="P292" i="2"/>
  <c r="T292" i="2"/>
  <c r="U292" i="2" s="1"/>
  <c r="AP292" i="2"/>
  <c r="AQ290" i="2" s="1"/>
  <c r="AS292" i="2"/>
  <c r="X247" i="2"/>
  <c r="Y247" i="2"/>
  <c r="AL247" i="2" s="1"/>
  <c r="AU247" i="2" s="1"/>
  <c r="Z247" i="2"/>
  <c r="AM247" i="2" s="1"/>
  <c r="AV247" i="2" s="1"/>
  <c r="AJ247" i="2"/>
  <c r="A307" i="2"/>
  <c r="B307" i="2"/>
  <c r="AG397" i="2"/>
  <c r="AH395" i="2" s="1"/>
  <c r="AJ395" i="2" s="1"/>
  <c r="B52" i="2"/>
  <c r="H55" i="702" s="1"/>
  <c r="I55" i="702" s="1"/>
  <c r="A52" i="2"/>
  <c r="H36" i="708" s="1"/>
  <c r="I36" i="708" s="1"/>
  <c r="U217" i="2"/>
  <c r="AG217" i="2"/>
  <c r="AM157" i="2"/>
  <c r="AV157" i="2" s="1"/>
  <c r="A67" i="2"/>
  <c r="S22" i="705" s="1"/>
  <c r="B67" i="2"/>
  <c r="C18" i="52" s="1"/>
  <c r="AK291" i="2"/>
  <c r="AG291" i="2" s="1"/>
  <c r="R291" i="2"/>
  <c r="AP291" i="2"/>
  <c r="T291" i="2"/>
  <c r="U291" i="2" s="1"/>
  <c r="V290" i="2" s="1"/>
  <c r="X290" i="2" s="1"/>
  <c r="Z290" i="2" s="1"/>
  <c r="AS291" i="2"/>
  <c r="AT290" i="2" s="1"/>
  <c r="P291" i="2"/>
  <c r="D10" i="739" a="1"/>
  <c r="H6" i="900" a="1"/>
  <c r="E7" i="739" a="1"/>
  <c r="E10" i="739" a="1"/>
  <c r="J32" i="881" a="1"/>
  <c r="N32" i="881" a="1"/>
  <c r="F32" i="881" a="1"/>
  <c r="M33" i="881" a="1"/>
  <c r="D9" i="739" a="1"/>
  <c r="E32" i="881" a="1"/>
  <c r="E18" i="729" a="1"/>
  <c r="D18" i="729" a="1"/>
  <c r="E9" i="739" a="1"/>
  <c r="K32" i="881" a="1"/>
  <c r="H18" i="731" a="1"/>
  <c r="G18" i="731" a="1"/>
  <c r="E11" i="739" a="1"/>
  <c r="M32" i="881" a="1"/>
  <c r="E18" i="840" a="1"/>
  <c r="D18" i="840" a="1"/>
  <c r="E18" i="732" a="1"/>
  <c r="D18" i="732" a="1"/>
  <c r="L32" i="881" a="1"/>
  <c r="E6" i="900" a="1"/>
  <c r="D11" i="739" a="1"/>
  <c r="I32" i="881" a="1"/>
  <c r="E18" i="731" a="1"/>
  <c r="D18" i="731" a="1"/>
  <c r="D8" i="900" a="1"/>
  <c r="D18" i="731" l="1"/>
  <c r="E18" i="731"/>
  <c r="I32" i="881"/>
  <c r="D11" i="739"/>
  <c r="E6" i="900"/>
  <c r="L32" i="881"/>
  <c r="D18" i="732"/>
  <c r="E18" i="732"/>
  <c r="D18" i="840"/>
  <c r="E18" i="840"/>
  <c r="M32" i="881"/>
  <c r="E11" i="739"/>
  <c r="G18" i="731"/>
  <c r="H18" i="731"/>
  <c r="K32" i="881"/>
  <c r="E9" i="739"/>
  <c r="D18" i="729"/>
  <c r="E18" i="729"/>
  <c r="E32" i="881"/>
  <c r="D9" i="739"/>
  <c r="M33" i="881"/>
  <c r="F32" i="881"/>
  <c r="N32" i="881"/>
  <c r="J32" i="881"/>
  <c r="E10" i="739"/>
  <c r="E7" i="739"/>
  <c r="H6" i="900"/>
  <c r="D10" i="739"/>
  <c r="G14" i="702"/>
  <c r="C7" i="52"/>
  <c r="F10" i="346"/>
  <c r="J22" i="346"/>
  <c r="Q27" i="4"/>
  <c r="I27" i="704"/>
  <c r="G9" i="701"/>
  <c r="I14" i="52"/>
  <c r="I19" i="703"/>
  <c r="Y24" i="701"/>
  <c r="AA17" i="346"/>
  <c r="J99" i="474"/>
  <c r="Y24" i="703"/>
  <c r="L17" i="702"/>
  <c r="M14" i="346"/>
  <c r="M11" i="703"/>
  <c r="U12" i="701"/>
  <c r="U18" i="346"/>
  <c r="R22" i="704"/>
  <c r="Z16" i="703"/>
  <c r="X27" i="704"/>
  <c r="K22" i="702"/>
  <c r="H54" i="704"/>
  <c r="I54" i="704" s="1"/>
  <c r="H50" i="474"/>
  <c r="R16" i="705"/>
  <c r="Q15" i="705"/>
  <c r="G12" i="706"/>
  <c r="W13" i="705"/>
  <c r="W10" i="706"/>
  <c r="X10" i="705"/>
  <c r="I26" i="707"/>
  <c r="R19" i="707"/>
  <c r="M14" i="706"/>
  <c r="I14" i="707"/>
  <c r="S13" i="4"/>
  <c r="X26" i="702"/>
  <c r="P10" i="704"/>
  <c r="F14" i="346"/>
  <c r="AJ14" i="346" s="1"/>
  <c r="T16" i="4"/>
  <c r="V12" i="4"/>
  <c r="X23" i="701"/>
  <c r="T17" i="702"/>
  <c r="S22" i="701"/>
  <c r="H21" i="702"/>
  <c r="Z20" i="702"/>
  <c r="K16" i="346"/>
  <c r="N12" i="704"/>
  <c r="AA22" i="702"/>
  <c r="K13" i="704"/>
  <c r="L21" i="346"/>
  <c r="R24" i="703"/>
  <c r="I42" i="474"/>
  <c r="Y23" i="703"/>
  <c r="M24" i="703"/>
  <c r="W19" i="707"/>
  <c r="Y11" i="705"/>
  <c r="S15" i="706"/>
  <c r="J12" i="705"/>
  <c r="M21" i="705"/>
  <c r="O8" i="706"/>
  <c r="H24" i="705"/>
  <c r="C24" i="705"/>
  <c r="I13" i="708"/>
  <c r="K10" i="708"/>
  <c r="M25" i="4"/>
  <c r="I12" i="702"/>
  <c r="I29" i="702" s="1"/>
  <c r="R11" i="4"/>
  <c r="S16" i="346"/>
  <c r="J94" i="474"/>
  <c r="O26" i="702"/>
  <c r="L25" i="701"/>
  <c r="R19" i="703"/>
  <c r="E89" i="474"/>
  <c r="C18" i="704"/>
  <c r="AI18" i="704" s="1"/>
  <c r="X21" i="701"/>
  <c r="T22" i="703"/>
  <c r="I16" i="701"/>
  <c r="K26" i="703"/>
  <c r="P18" i="701"/>
  <c r="AC18" i="701" s="1"/>
  <c r="I38" i="474"/>
  <c r="Z19" i="704"/>
  <c r="V15" i="701"/>
  <c r="I29" i="52"/>
  <c r="M27" i="346"/>
  <c r="H51" i="346"/>
  <c r="I51" i="346" s="1"/>
  <c r="C19" i="705"/>
  <c r="AI19" i="705" s="1"/>
  <c r="V15" i="705"/>
  <c r="K19" i="705"/>
  <c r="R26" i="705"/>
  <c r="S11" i="705"/>
  <c r="N17" i="705"/>
  <c r="H17" i="705"/>
  <c r="T23" i="705"/>
  <c r="X22" i="705"/>
  <c r="K51" i="474"/>
  <c r="S20" i="4"/>
  <c r="G18" i="701"/>
  <c r="J37" i="474"/>
  <c r="U17" i="4"/>
  <c r="AD41" i="704"/>
  <c r="H61" i="474"/>
  <c r="G10" i="704"/>
  <c r="K17" i="703"/>
  <c r="S26" i="346"/>
  <c r="V19" i="704"/>
  <c r="M9" i="702"/>
  <c r="W24" i="704"/>
  <c r="Z23" i="703"/>
  <c r="Q16" i="703"/>
  <c r="Y20" i="701"/>
  <c r="C25" i="346"/>
  <c r="AR25" i="346" s="1"/>
  <c r="I35" i="474"/>
  <c r="H22" i="703"/>
  <c r="AA21" i="701"/>
  <c r="I32" i="474"/>
  <c r="L24" i="703"/>
  <c r="T26" i="704"/>
  <c r="Y12" i="703"/>
  <c r="H52" i="346"/>
  <c r="I52" i="346" s="1"/>
  <c r="H58" i="704"/>
  <c r="I58" i="704" s="1"/>
  <c r="H21" i="707"/>
  <c r="R20" i="707"/>
  <c r="S19" i="707"/>
  <c r="X14" i="706"/>
  <c r="AH31" i="706"/>
  <c r="V26" i="705"/>
  <c r="C20" i="707"/>
  <c r="AI20" i="707" s="1"/>
  <c r="Z23" i="705"/>
  <c r="X14" i="705"/>
  <c r="Q21" i="346"/>
  <c r="H16" i="704"/>
  <c r="AA25" i="702"/>
  <c r="K85" i="474"/>
  <c r="G13" i="4"/>
  <c r="C15" i="346"/>
  <c r="I58" i="474"/>
  <c r="W25" i="702"/>
  <c r="T10" i="701"/>
  <c r="M27" i="703"/>
  <c r="P25" i="704"/>
  <c r="Y10" i="701"/>
  <c r="H70" i="474"/>
  <c r="K25" i="702"/>
  <c r="N15" i="346"/>
  <c r="M20" i="346"/>
  <c r="AA19" i="346"/>
  <c r="G21" i="702"/>
  <c r="I27" i="703"/>
  <c r="Z22" i="704"/>
  <c r="C19" i="702"/>
  <c r="AI19" i="702" s="1"/>
  <c r="R23" i="703"/>
  <c r="C17" i="701"/>
  <c r="AI17" i="701" s="1"/>
  <c r="AA15" i="702"/>
  <c r="AA13" i="706"/>
  <c r="U11" i="708"/>
  <c r="Y23" i="707"/>
  <c r="S13" i="705"/>
  <c r="AA24" i="707"/>
  <c r="AA12" i="706"/>
  <c r="J14" i="706"/>
  <c r="O24" i="707"/>
  <c r="N24" i="707"/>
  <c r="W10" i="708"/>
  <c r="AC10" i="708" s="1"/>
  <c r="O25" i="705"/>
  <c r="K16" i="4"/>
  <c r="K50" i="474"/>
  <c r="J26" i="702"/>
  <c r="P14" i="4"/>
  <c r="Y14" i="4" s="1"/>
  <c r="I10" i="346"/>
  <c r="J61" i="474"/>
  <c r="T20" i="4"/>
  <c r="K25" i="701"/>
  <c r="P22" i="701"/>
  <c r="I14" i="704"/>
  <c r="Y17" i="704"/>
  <c r="M21" i="702"/>
  <c r="P12" i="701"/>
  <c r="G18" i="704"/>
  <c r="C10" i="701"/>
  <c r="AI10" i="701" s="1"/>
  <c r="O27" i="703"/>
  <c r="K75" i="474"/>
  <c r="O13" i="346"/>
  <c r="V21" i="704"/>
  <c r="J65" i="474"/>
  <c r="I26" i="703"/>
  <c r="H87" i="474"/>
  <c r="M12" i="701"/>
  <c r="Y17" i="707"/>
  <c r="S18" i="707"/>
  <c r="AA24" i="705"/>
  <c r="K15" i="706"/>
  <c r="O22" i="705"/>
  <c r="S15" i="707"/>
  <c r="H8" i="705"/>
  <c r="V24" i="705"/>
  <c r="M14" i="707"/>
  <c r="C11" i="706"/>
  <c r="AI11" i="706" s="1"/>
  <c r="V11" i="4"/>
  <c r="M14" i="4"/>
  <c r="L8" i="4"/>
  <c r="J26" i="346"/>
  <c r="S14" i="346"/>
  <c r="L18" i="702"/>
  <c r="N10" i="702"/>
  <c r="N32" i="702" s="1"/>
  <c r="J36" i="474"/>
  <c r="W24" i="702"/>
  <c r="W12" i="346"/>
  <c r="AV12" i="346" s="1"/>
  <c r="G20" i="702"/>
  <c r="X27" i="701"/>
  <c r="M25" i="701"/>
  <c r="Q23" i="704"/>
  <c r="C24" i="702"/>
  <c r="L26" i="703"/>
  <c r="F21" i="702"/>
  <c r="AJ21" i="702" s="1"/>
  <c r="AN21" i="702" s="1"/>
  <c r="Y26" i="346"/>
  <c r="R12" i="701"/>
  <c r="I90" i="474"/>
  <c r="R16" i="701"/>
  <c r="W21" i="702"/>
  <c r="J10" i="704"/>
  <c r="H64" i="703"/>
  <c r="I64" i="703" s="1"/>
  <c r="AM217" i="2"/>
  <c r="AV217" i="2" s="1"/>
  <c r="Y10" i="706"/>
  <c r="Z12" i="706"/>
  <c r="AA23" i="705"/>
  <c r="Q9" i="705"/>
  <c r="R13" i="707"/>
  <c r="Y9" i="707"/>
  <c r="H51" i="707"/>
  <c r="I51" i="707" s="1"/>
  <c r="S17" i="4"/>
  <c r="N14" i="4"/>
  <c r="O25" i="4"/>
  <c r="C19" i="4"/>
  <c r="O23" i="704"/>
  <c r="C10" i="4"/>
  <c r="I20" i="702"/>
  <c r="Z11" i="346"/>
  <c r="S25" i="702"/>
  <c r="F21" i="701"/>
  <c r="AJ21" i="701" s="1"/>
  <c r="AN21" i="701" s="1"/>
  <c r="E34" i="474"/>
  <c r="U11" i="704"/>
  <c r="T8" i="702"/>
  <c r="S11" i="701"/>
  <c r="Y15" i="704"/>
  <c r="N12" i="701"/>
  <c r="N18" i="702"/>
  <c r="N17" i="346"/>
  <c r="H27" i="701"/>
  <c r="V17" i="703"/>
  <c r="J20" i="701"/>
  <c r="I16" i="346"/>
  <c r="Y15" i="346"/>
  <c r="I53" i="474"/>
  <c r="K22" i="474"/>
  <c r="T13" i="706"/>
  <c r="G26" i="707"/>
  <c r="C8" i="708"/>
  <c r="AI8" i="708" s="1"/>
  <c r="R12" i="705"/>
  <c r="M25" i="705"/>
  <c r="T12" i="705"/>
  <c r="AD12" i="705" s="1"/>
  <c r="H54" i="707"/>
  <c r="I54" i="707" s="1"/>
  <c r="F16" i="704"/>
  <c r="AJ16" i="704" s="1"/>
  <c r="AN16" i="704" s="1"/>
  <c r="S22" i="4"/>
  <c r="K19" i="703"/>
  <c r="N23" i="4"/>
  <c r="I21" i="52"/>
  <c r="J45" i="474"/>
  <c r="I27" i="4"/>
  <c r="K82" i="474"/>
  <c r="N13" i="704"/>
  <c r="X26" i="704"/>
  <c r="C13" i="703"/>
  <c r="AI13" i="703" s="1"/>
  <c r="H9" i="701"/>
  <c r="I14" i="701"/>
  <c r="E106" i="474"/>
  <c r="T14" i="702"/>
  <c r="E94" i="474"/>
  <c r="Z13" i="701"/>
  <c r="F25" i="346"/>
  <c r="AJ25" i="346" s="1"/>
  <c r="AA12" i="701"/>
  <c r="J16" i="702"/>
  <c r="I11" i="704"/>
  <c r="G25" i="701"/>
  <c r="Q24" i="701"/>
  <c r="C21" i="701"/>
  <c r="AI21" i="701" s="1"/>
  <c r="H88" i="474"/>
  <c r="K66" i="474"/>
  <c r="J12" i="703"/>
  <c r="W22" i="704"/>
  <c r="W8" i="704"/>
  <c r="S23" i="702"/>
  <c r="H15" i="704"/>
  <c r="R27" i="703"/>
  <c r="Z22" i="702"/>
  <c r="L17" i="703"/>
  <c r="G25" i="346"/>
  <c r="H93" i="474"/>
  <c r="F26" i="703"/>
  <c r="AJ26" i="703" s="1"/>
  <c r="G14" i="701"/>
  <c r="C11" i="703"/>
  <c r="AI11" i="703" s="1"/>
  <c r="H96" i="474"/>
  <c r="Q25" i="703"/>
  <c r="N21" i="702"/>
  <c r="R19" i="704"/>
  <c r="V18" i="703"/>
  <c r="Z21" i="346"/>
  <c r="O17" i="704"/>
  <c r="S24" i="703"/>
  <c r="W19" i="704"/>
  <c r="J9" i="702"/>
  <c r="K64" i="474"/>
  <c r="W18" i="346"/>
  <c r="J74" i="474"/>
  <c r="E27" i="474"/>
  <c r="F13" i="703"/>
  <c r="AJ13" i="703" s="1"/>
  <c r="M20" i="704"/>
  <c r="Y8" i="702"/>
  <c r="F23" i="703"/>
  <c r="AJ23" i="703" s="1"/>
  <c r="Y26" i="703"/>
  <c r="C27" i="346"/>
  <c r="AR27" i="346" s="1"/>
  <c r="X13" i="703"/>
  <c r="K15" i="702"/>
  <c r="I94" i="474"/>
  <c r="C20" i="703"/>
  <c r="AI20" i="703" s="1"/>
  <c r="V20" i="703"/>
  <c r="U22" i="701"/>
  <c r="Z22" i="701"/>
  <c r="T13" i="704"/>
  <c r="X10" i="701"/>
  <c r="H25" i="474"/>
  <c r="I89" i="474"/>
  <c r="P11" i="346"/>
  <c r="X25" i="701"/>
  <c r="F14" i="703"/>
  <c r="AJ14" i="703" s="1"/>
  <c r="AN14" i="703" s="1"/>
  <c r="AA22" i="704"/>
  <c r="J109" i="474"/>
  <c r="S26" i="703"/>
  <c r="G25" i="704"/>
  <c r="Q12" i="704"/>
  <c r="M19" i="346"/>
  <c r="K28" i="474"/>
  <c r="H25" i="701"/>
  <c r="K13" i="702"/>
  <c r="D12" i="739"/>
  <c r="N14" i="703"/>
  <c r="P9" i="704"/>
  <c r="AC9" i="704" s="1"/>
  <c r="G20" i="704"/>
  <c r="R15" i="703"/>
  <c r="J12" i="474"/>
  <c r="H18" i="474"/>
  <c r="C15" i="704"/>
  <c r="AI15" i="704" s="1"/>
  <c r="C10" i="346"/>
  <c r="R9" i="702"/>
  <c r="J41" i="474"/>
  <c r="T19" i="346"/>
  <c r="H20" i="704"/>
  <c r="H16" i="474"/>
  <c r="R19" i="701"/>
  <c r="N10" i="704"/>
  <c r="N16" i="701"/>
  <c r="C25" i="704"/>
  <c r="E73" i="474"/>
  <c r="T12" i="703"/>
  <c r="X24" i="701"/>
  <c r="Y19" i="346"/>
  <c r="R17" i="704"/>
  <c r="R13" i="701"/>
  <c r="J13" i="701"/>
  <c r="X11" i="346"/>
  <c r="F22" i="702"/>
  <c r="AJ22" i="702" s="1"/>
  <c r="F12" i="703"/>
  <c r="AJ12" i="703" s="1"/>
  <c r="AN12" i="703" s="1"/>
  <c r="T19" i="704"/>
  <c r="AD19" i="704" s="1"/>
  <c r="S27" i="703"/>
  <c r="U27" i="703" s="1"/>
  <c r="P18" i="703"/>
  <c r="F11" i="346"/>
  <c r="AJ11" i="346" s="1"/>
  <c r="AN11" i="346" s="1"/>
  <c r="P27" i="704"/>
  <c r="R19" i="346"/>
  <c r="N9" i="701"/>
  <c r="H10" i="703"/>
  <c r="J13" i="703"/>
  <c r="O14" i="702"/>
  <c r="K20" i="703"/>
  <c r="I14" i="474"/>
  <c r="H55" i="703"/>
  <c r="I55" i="703" s="1"/>
  <c r="H52" i="701"/>
  <c r="I52" i="701" s="1"/>
  <c r="P23" i="346"/>
  <c r="H63" i="702"/>
  <c r="I63" i="702" s="1"/>
  <c r="H48" i="703"/>
  <c r="I48" i="703" s="1"/>
  <c r="I54" i="474"/>
  <c r="H49" i="701"/>
  <c r="I49" i="701" s="1"/>
  <c r="H56" i="703"/>
  <c r="I56" i="703" s="1"/>
  <c r="H62" i="703"/>
  <c r="I62" i="703" s="1"/>
  <c r="C22" i="346"/>
  <c r="AR22" i="346" s="1"/>
  <c r="J25" i="702"/>
  <c r="T13" i="4"/>
  <c r="M26" i="704"/>
  <c r="R20" i="4"/>
  <c r="I9" i="703"/>
  <c r="V19" i="4"/>
  <c r="Q11" i="4"/>
  <c r="H71" i="474"/>
  <c r="G11" i="703"/>
  <c r="K33" i="474"/>
  <c r="I78" i="474"/>
  <c r="X21" i="346"/>
  <c r="I104" i="474"/>
  <c r="E49" i="474"/>
  <c r="V14" i="701"/>
  <c r="W20" i="702"/>
  <c r="P13" i="701"/>
  <c r="M21" i="346"/>
  <c r="I98" i="474"/>
  <c r="AA27" i="346"/>
  <c r="N21" i="704"/>
  <c r="Q26" i="703"/>
  <c r="H11" i="701"/>
  <c r="H24" i="474"/>
  <c r="X14" i="703"/>
  <c r="I67" i="474"/>
  <c r="E21" i="52"/>
  <c r="K17" i="705"/>
  <c r="R13" i="708"/>
  <c r="AC25" i="708"/>
  <c r="F15" i="707"/>
  <c r="AJ15" i="707" s="1"/>
  <c r="K24" i="705"/>
  <c r="P13" i="706"/>
  <c r="U13" i="705"/>
  <c r="H23" i="4"/>
  <c r="R27" i="4"/>
  <c r="R13" i="4"/>
  <c r="R19" i="4"/>
  <c r="U25" i="4"/>
  <c r="V34" i="4"/>
  <c r="E16" i="474"/>
  <c r="U25" i="701"/>
  <c r="J20" i="703"/>
  <c r="O21" i="704"/>
  <c r="Q14" i="704"/>
  <c r="S10" i="701"/>
  <c r="O20" i="701"/>
  <c r="H23" i="701"/>
  <c r="Q14" i="346"/>
  <c r="O25" i="704"/>
  <c r="H19" i="704"/>
  <c r="P25" i="703"/>
  <c r="V23" i="346"/>
  <c r="S14" i="703"/>
  <c r="I80" i="474"/>
  <c r="L24" i="704"/>
  <c r="P20" i="703"/>
  <c r="AC20" i="703" s="1"/>
  <c r="Q12" i="703"/>
  <c r="K23" i="702"/>
  <c r="I23" i="346"/>
  <c r="G23" i="704"/>
  <c r="H68" i="704"/>
  <c r="I68" i="704" s="1"/>
  <c r="L14" i="706"/>
  <c r="AA13" i="707"/>
  <c r="X23" i="705"/>
  <c r="Z24" i="705"/>
  <c r="U25" i="707"/>
  <c r="J24" i="707"/>
  <c r="P25" i="4"/>
  <c r="G14" i="52"/>
  <c r="O22" i="703"/>
  <c r="H26" i="4"/>
  <c r="T24" i="4"/>
  <c r="C12" i="4"/>
  <c r="K26" i="702"/>
  <c r="F26" i="704"/>
  <c r="AJ26" i="704" s="1"/>
  <c r="U12" i="702"/>
  <c r="T17" i="701"/>
  <c r="T10" i="346"/>
  <c r="AD10" i="346" s="1"/>
  <c r="M11" i="4"/>
  <c r="I60" i="474"/>
  <c r="K34" i="474"/>
  <c r="H109" i="474"/>
  <c r="J92" i="474"/>
  <c r="S12" i="704"/>
  <c r="H21" i="703"/>
  <c r="T20" i="703"/>
  <c r="M18" i="704"/>
  <c r="P10" i="703"/>
  <c r="W27" i="701"/>
  <c r="S18" i="704"/>
  <c r="M11" i="704"/>
  <c r="F25" i="703"/>
  <c r="AJ25" i="703" s="1"/>
  <c r="R15" i="702"/>
  <c r="AA21" i="703"/>
  <c r="X10" i="346"/>
  <c r="W13" i="346"/>
  <c r="AV13" i="346" s="1"/>
  <c r="H61" i="703"/>
  <c r="I61" i="703" s="1"/>
  <c r="H59" i="704"/>
  <c r="I59" i="704" s="1"/>
  <c r="C25" i="705"/>
  <c r="Z14" i="706"/>
  <c r="U18" i="705"/>
  <c r="K13" i="708"/>
  <c r="N14" i="705"/>
  <c r="O12" i="705"/>
  <c r="O21" i="707"/>
  <c r="X16" i="705"/>
  <c r="H65" i="707"/>
  <c r="I65" i="707" s="1"/>
  <c r="L22" i="4"/>
  <c r="H10" i="702"/>
  <c r="J17" i="4"/>
  <c r="I46" i="474"/>
  <c r="W15" i="704"/>
  <c r="G21" i="704"/>
  <c r="F12" i="701"/>
  <c r="AJ12" i="701" s="1"/>
  <c r="K60" i="474"/>
  <c r="G21" i="701"/>
  <c r="O26" i="704"/>
  <c r="V25" i="346"/>
  <c r="K18" i="701"/>
  <c r="F18" i="346"/>
  <c r="Z14" i="703"/>
  <c r="AA25" i="346"/>
  <c r="H94" i="474"/>
  <c r="J15" i="704"/>
  <c r="F20" i="701"/>
  <c r="AJ20" i="701" s="1"/>
  <c r="S16" i="702"/>
  <c r="I96" i="474"/>
  <c r="AG292" i="2"/>
  <c r="F11" i="707"/>
  <c r="AJ11" i="707" s="1"/>
  <c r="AN11" i="707" s="1"/>
  <c r="N18" i="705"/>
  <c r="J16" i="705"/>
  <c r="I11" i="708"/>
  <c r="L13" i="707"/>
  <c r="AA11" i="706"/>
  <c r="Z10" i="705"/>
  <c r="F25" i="705"/>
  <c r="AJ25" i="705" s="1"/>
  <c r="Q21" i="705"/>
  <c r="R10" i="707"/>
  <c r="F21" i="707"/>
  <c r="AJ21" i="707" s="1"/>
  <c r="O15" i="4"/>
  <c r="G25" i="703"/>
  <c r="J20" i="4"/>
  <c r="K30" i="474"/>
  <c r="L34" i="4"/>
  <c r="J22" i="704"/>
  <c r="G10" i="346"/>
  <c r="I95" i="474"/>
  <c r="X22" i="701"/>
  <c r="L20" i="702"/>
  <c r="J10" i="703"/>
  <c r="T16" i="702"/>
  <c r="AD16" i="702" s="1"/>
  <c r="I11" i="701"/>
  <c r="Y22" i="703"/>
  <c r="H10" i="701"/>
  <c r="K9" i="702"/>
  <c r="C22" i="701"/>
  <c r="J105" i="474"/>
  <c r="R16" i="702"/>
  <c r="G23" i="346"/>
  <c r="E66" i="474"/>
  <c r="G22" i="701"/>
  <c r="L16" i="703"/>
  <c r="K61" i="474"/>
  <c r="F26" i="707"/>
  <c r="AJ26" i="707" s="1"/>
  <c r="R13" i="705"/>
  <c r="O20" i="705"/>
  <c r="J13" i="705"/>
  <c r="I12" i="708"/>
  <c r="U19" i="707"/>
  <c r="I20" i="707"/>
  <c r="H52" i="705"/>
  <c r="I52" i="705" s="1"/>
  <c r="H13" i="4"/>
  <c r="AN8" i="704"/>
  <c r="AA18" i="701"/>
  <c r="I26" i="4"/>
  <c r="V14" i="702"/>
  <c r="L27" i="701"/>
  <c r="F19" i="52"/>
  <c r="F12" i="704"/>
  <c r="AJ12" i="704" s="1"/>
  <c r="AN12" i="704" s="1"/>
  <c r="D11" i="52"/>
  <c r="G10" i="702"/>
  <c r="W26" i="703"/>
  <c r="H40" i="474"/>
  <c r="W22" i="701"/>
  <c r="Y10" i="346"/>
  <c r="L13" i="346"/>
  <c r="V18" i="702"/>
  <c r="K24" i="474"/>
  <c r="Z19" i="701"/>
  <c r="O25" i="701"/>
  <c r="T14" i="701"/>
  <c r="AD14" i="701" s="1"/>
  <c r="U15" i="701"/>
  <c r="P17" i="703"/>
  <c r="AC17" i="703" s="1"/>
  <c r="C19" i="704"/>
  <c r="AI19" i="704" s="1"/>
  <c r="X29" i="702"/>
  <c r="X34" i="702" s="1"/>
  <c r="Q9" i="703"/>
  <c r="H71" i="704"/>
  <c r="I71" i="704" s="1"/>
  <c r="E36" i="474"/>
  <c r="W15" i="706"/>
  <c r="L9" i="706"/>
  <c r="F12" i="706"/>
  <c r="AJ12" i="706" s="1"/>
  <c r="T9" i="705"/>
  <c r="AD9" i="705" s="1"/>
  <c r="F18" i="707"/>
  <c r="AJ18" i="707" s="1"/>
  <c r="S10" i="708"/>
  <c r="Z18" i="705"/>
  <c r="F8" i="706"/>
  <c r="AJ8" i="706" s="1"/>
  <c r="AN8" i="706" s="1"/>
  <c r="V11" i="706"/>
  <c r="O15" i="707"/>
  <c r="V12" i="708"/>
  <c r="C12" i="706"/>
  <c r="AI12" i="706" s="1"/>
  <c r="L26" i="702"/>
  <c r="F12" i="346"/>
  <c r="AJ12" i="346" s="1"/>
  <c r="AN12" i="346" s="1"/>
  <c r="J55" i="474"/>
  <c r="M19" i="4"/>
  <c r="S10" i="4"/>
  <c r="J52" i="474"/>
  <c r="V21" i="703"/>
  <c r="O13" i="703"/>
  <c r="K18" i="704"/>
  <c r="I73" i="474"/>
  <c r="M27" i="704"/>
  <c r="S27" i="704"/>
  <c r="U27" i="704" s="1"/>
  <c r="H66" i="474"/>
  <c r="AA26" i="704"/>
  <c r="L22" i="704"/>
  <c r="AA10" i="701"/>
  <c r="Z19" i="703"/>
  <c r="R18" i="346"/>
  <c r="H9" i="703"/>
  <c r="O12" i="701"/>
  <c r="H72" i="474"/>
  <c r="P21" i="704"/>
  <c r="H9" i="346"/>
  <c r="H65" i="703"/>
  <c r="I65" i="703" s="1"/>
  <c r="V10" i="346"/>
  <c r="AU10" i="346" s="1"/>
  <c r="P12" i="706"/>
  <c r="L24" i="707"/>
  <c r="U21" i="705"/>
  <c r="Q13" i="708"/>
  <c r="M23" i="705"/>
  <c r="Q10" i="707"/>
  <c r="H61" i="707"/>
  <c r="I61" i="707" s="1"/>
  <c r="K15" i="707"/>
  <c r="H20" i="705"/>
  <c r="M24" i="707"/>
  <c r="T25" i="705"/>
  <c r="M12" i="4"/>
  <c r="S15" i="4"/>
  <c r="G18" i="702"/>
  <c r="S23" i="4"/>
  <c r="P23" i="704"/>
  <c r="I16" i="52"/>
  <c r="D16" i="52" s="1"/>
  <c r="T22" i="702"/>
  <c r="G11" i="52"/>
  <c r="M12" i="702"/>
  <c r="H107" i="474"/>
  <c r="H86" i="474"/>
  <c r="H17" i="703"/>
  <c r="M11" i="702"/>
  <c r="Q19" i="701"/>
  <c r="W10" i="346"/>
  <c r="P22" i="704"/>
  <c r="AA17" i="702"/>
  <c r="I25" i="702"/>
  <c r="K38" i="474"/>
  <c r="S8" i="346"/>
  <c r="Y13" i="704"/>
  <c r="J69" i="474"/>
  <c r="R24" i="704"/>
  <c r="S10" i="703"/>
  <c r="T11" i="702"/>
  <c r="AD11" i="702" s="1"/>
  <c r="V12" i="702"/>
  <c r="G8" i="346"/>
  <c r="J104" i="474"/>
  <c r="H55" i="701"/>
  <c r="I55" i="701" s="1"/>
  <c r="N13" i="706"/>
  <c r="AA10" i="706"/>
  <c r="M18" i="705"/>
  <c r="N20" i="707"/>
  <c r="N13" i="707"/>
  <c r="C8" i="705"/>
  <c r="AI8" i="705" s="1"/>
  <c r="H38" i="706"/>
  <c r="I38" i="706" s="1"/>
  <c r="H55" i="705"/>
  <c r="I55" i="705" s="1"/>
  <c r="T8" i="4"/>
  <c r="P24" i="4"/>
  <c r="T10" i="4"/>
  <c r="C18" i="701"/>
  <c r="AI18" i="701" s="1"/>
  <c r="X18" i="703"/>
  <c r="R12" i="703"/>
  <c r="L17" i="4"/>
  <c r="S22" i="704"/>
  <c r="V9" i="703"/>
  <c r="Z24" i="704"/>
  <c r="M8" i="703"/>
  <c r="V11" i="701"/>
  <c r="I19" i="474"/>
  <c r="I12" i="346"/>
  <c r="W18" i="704"/>
  <c r="Q15" i="701"/>
  <c r="H9" i="704"/>
  <c r="R24" i="702"/>
  <c r="G20" i="52"/>
  <c r="L20" i="703"/>
  <c r="U13" i="346"/>
  <c r="K72" i="474"/>
  <c r="Y8" i="346"/>
  <c r="S24" i="704"/>
  <c r="H16" i="701"/>
  <c r="Q19" i="346"/>
  <c r="H13" i="704"/>
  <c r="H26" i="703"/>
  <c r="R16" i="707"/>
  <c r="N12" i="707"/>
  <c r="Z15" i="706"/>
  <c r="W12" i="706"/>
  <c r="C20" i="705"/>
  <c r="AI20" i="705" s="1"/>
  <c r="R11" i="707"/>
  <c r="W11" i="705"/>
  <c r="V22" i="705"/>
  <c r="P11" i="705"/>
  <c r="C11" i="705"/>
  <c r="AI11" i="705" s="1"/>
  <c r="T16" i="705"/>
  <c r="L9" i="707"/>
  <c r="Q15" i="707"/>
  <c r="X10" i="707"/>
  <c r="M23" i="707"/>
  <c r="W13" i="707"/>
  <c r="AA26" i="705"/>
  <c r="R15" i="706"/>
  <c r="M28" i="708"/>
  <c r="V16" i="707"/>
  <c r="H22" i="705"/>
  <c r="AA20" i="705"/>
  <c r="Z8" i="708"/>
  <c r="T17" i="707"/>
  <c r="S14" i="705"/>
  <c r="U14" i="705" s="1"/>
  <c r="O23" i="705"/>
  <c r="M9" i="705"/>
  <c r="P21" i="705"/>
  <c r="W20" i="707"/>
  <c r="AN20" i="707" s="1"/>
  <c r="X19" i="707"/>
  <c r="I11" i="705"/>
  <c r="I15" i="707"/>
  <c r="V8" i="706"/>
  <c r="V17" i="707"/>
  <c r="L11" i="705"/>
  <c r="V10" i="705"/>
  <c r="V28" i="705" s="1"/>
  <c r="Z19" i="705"/>
  <c r="AA12" i="705"/>
  <c r="P22" i="705"/>
  <c r="Z11" i="708"/>
  <c r="L21" i="705"/>
  <c r="AA12" i="707"/>
  <c r="T17" i="705"/>
  <c r="AC38" i="707"/>
  <c r="H25" i="705"/>
  <c r="G8" i="708"/>
  <c r="T18" i="707"/>
  <c r="Z12" i="707"/>
  <c r="Q12" i="708"/>
  <c r="Z12" i="705"/>
  <c r="N18" i="707"/>
  <c r="Z16" i="705"/>
  <c r="H18" i="707"/>
  <c r="N20" i="705"/>
  <c r="L9" i="705"/>
  <c r="F12" i="705"/>
  <c r="AJ12" i="705" s="1"/>
  <c r="AN12" i="705" s="1"/>
  <c r="F8" i="705"/>
  <c r="AJ8" i="705" s="1"/>
  <c r="AN8" i="705" s="1"/>
  <c r="W20" i="705"/>
  <c r="S20" i="705"/>
  <c r="O10" i="707"/>
  <c r="T10" i="707"/>
  <c r="C14" i="707"/>
  <c r="AI14" i="707" s="1"/>
  <c r="H18" i="705"/>
  <c r="T11" i="706"/>
  <c r="Y11" i="706"/>
  <c r="H48" i="707"/>
  <c r="I48" i="707" s="1"/>
  <c r="N22" i="705"/>
  <c r="W21" i="705"/>
  <c r="AA10" i="705"/>
  <c r="U11" i="707"/>
  <c r="C12" i="707"/>
  <c r="AI12" i="707" s="1"/>
  <c r="K13" i="707"/>
  <c r="G14" i="705"/>
  <c r="T24" i="705"/>
  <c r="F21" i="705"/>
  <c r="AJ21" i="705" s="1"/>
  <c r="V19" i="705"/>
  <c r="O12" i="707"/>
  <c r="X24" i="705"/>
  <c r="J8" i="705"/>
  <c r="T8" i="706"/>
  <c r="R14" i="707"/>
  <c r="H47" i="705"/>
  <c r="I47" i="705" s="1"/>
  <c r="H57" i="707"/>
  <c r="I57" i="707" s="1"/>
  <c r="Q21" i="4"/>
  <c r="R21" i="4"/>
  <c r="H17" i="4"/>
  <c r="G16" i="4"/>
  <c r="O18" i="4"/>
  <c r="L12" i="4"/>
  <c r="K22" i="346"/>
  <c r="G18" i="4"/>
  <c r="K26" i="346"/>
  <c r="V20" i="4"/>
  <c r="C6" i="52"/>
  <c r="H18" i="701"/>
  <c r="F15" i="52"/>
  <c r="N8" i="346"/>
  <c r="F27" i="704"/>
  <c r="AJ27" i="704" s="1"/>
  <c r="S24" i="4"/>
  <c r="Z26" i="702"/>
  <c r="M25" i="703"/>
  <c r="O27" i="4"/>
  <c r="J22" i="4"/>
  <c r="F27" i="4"/>
  <c r="J27" i="4"/>
  <c r="K17" i="704"/>
  <c r="AA14" i="346"/>
  <c r="P23" i="4"/>
  <c r="H18" i="702"/>
  <c r="J34" i="4"/>
  <c r="C25" i="4"/>
  <c r="V16" i="4"/>
  <c r="AA9" i="703"/>
  <c r="C19" i="52"/>
  <c r="N26" i="702"/>
  <c r="Q18" i="702"/>
  <c r="E40" i="474"/>
  <c r="G22" i="703"/>
  <c r="R8" i="704"/>
  <c r="Q15" i="704"/>
  <c r="G15" i="701"/>
  <c r="M12" i="703"/>
  <c r="V22" i="4"/>
  <c r="S16" i="4"/>
  <c r="J15" i="4"/>
  <c r="I13" i="4"/>
  <c r="U26" i="4"/>
  <c r="G27" i="4"/>
  <c r="U17" i="701"/>
  <c r="T20" i="346"/>
  <c r="AA21" i="704"/>
  <c r="G14" i="703"/>
  <c r="H22" i="704"/>
  <c r="H24" i="701"/>
  <c r="S11" i="702"/>
  <c r="F10" i="701"/>
  <c r="AJ10" i="701" s="1"/>
  <c r="T10" i="704"/>
  <c r="H17" i="52"/>
  <c r="O22" i="701"/>
  <c r="Q15" i="702"/>
  <c r="G9" i="704"/>
  <c r="H18" i="704"/>
  <c r="K24" i="701"/>
  <c r="F13" i="701"/>
  <c r="Q14" i="702"/>
  <c r="T15" i="702"/>
  <c r="O18" i="346"/>
  <c r="S20" i="346"/>
  <c r="I21" i="702"/>
  <c r="H35" i="474"/>
  <c r="Y19" i="702"/>
  <c r="AC39" i="704"/>
  <c r="Z23" i="346"/>
  <c r="AA8" i="346"/>
  <c r="S15" i="702"/>
  <c r="S24" i="701"/>
  <c r="K35" i="474"/>
  <c r="T20" i="704"/>
  <c r="C9" i="346"/>
  <c r="I25" i="4"/>
  <c r="K23" i="701"/>
  <c r="T23" i="702"/>
  <c r="U22" i="704"/>
  <c r="L15" i="346"/>
  <c r="K11" i="346"/>
  <c r="Q23" i="346"/>
  <c r="F19" i="346"/>
  <c r="AJ19" i="346" s="1"/>
  <c r="L19" i="703"/>
  <c r="V14" i="703"/>
  <c r="G20" i="346"/>
  <c r="I24" i="703"/>
  <c r="F19" i="702"/>
  <c r="AJ19" i="702" s="1"/>
  <c r="AN19" i="702" s="1"/>
  <c r="K17" i="346"/>
  <c r="V15" i="702"/>
  <c r="H19" i="346"/>
  <c r="J18" i="346"/>
  <c r="T24" i="703"/>
  <c r="P8" i="701"/>
  <c r="T9" i="702"/>
  <c r="J60" i="474"/>
  <c r="J93" i="474"/>
  <c r="E13" i="474"/>
  <c r="W14" i="703"/>
  <c r="T12" i="704"/>
  <c r="AD12" i="704" s="1"/>
  <c r="N8" i="701"/>
  <c r="V23" i="703"/>
  <c r="J11" i="703"/>
  <c r="M17" i="702"/>
  <c r="Z12" i="701"/>
  <c r="L27" i="703"/>
  <c r="I72" i="474"/>
  <c r="X11" i="701"/>
  <c r="K26" i="474"/>
  <c r="S16" i="701"/>
  <c r="X10" i="703"/>
  <c r="U14" i="701"/>
  <c r="O16" i="704"/>
  <c r="K12" i="701"/>
  <c r="O15" i="701"/>
  <c r="F15" i="702"/>
  <c r="AJ15" i="702" s="1"/>
  <c r="AN15" i="702" s="1"/>
  <c r="J96" i="474"/>
  <c r="AA18" i="704"/>
  <c r="E56" i="474"/>
  <c r="I87" i="474"/>
  <c r="U16" i="702"/>
  <c r="T55" i="702" s="1"/>
  <c r="L10" i="702"/>
  <c r="Z27" i="346"/>
  <c r="P15" i="346"/>
  <c r="V8" i="701"/>
  <c r="S21" i="702"/>
  <c r="E100" i="474"/>
  <c r="M26" i="703"/>
  <c r="J24" i="703"/>
  <c r="L13" i="704"/>
  <c r="Z17" i="702"/>
  <c r="Y24" i="704"/>
  <c r="C21" i="702"/>
  <c r="AI21" i="702" s="1"/>
  <c r="H99" i="474"/>
  <c r="G15" i="346"/>
  <c r="C12" i="701"/>
  <c r="AI12" i="701" s="1"/>
  <c r="Y14" i="701"/>
  <c r="I88" i="474"/>
  <c r="G13" i="701"/>
  <c r="O13" i="704"/>
  <c r="Z10" i="701"/>
  <c r="J35" i="474"/>
  <c r="X27" i="346"/>
  <c r="AA22" i="346"/>
  <c r="L21" i="701"/>
  <c r="Z24" i="701"/>
  <c r="L17" i="346"/>
  <c r="Z21" i="703"/>
  <c r="Z16" i="346"/>
  <c r="R8" i="346"/>
  <c r="P20" i="701"/>
  <c r="H12" i="346"/>
  <c r="Y9" i="702"/>
  <c r="K14" i="701"/>
  <c r="O8" i="703"/>
  <c r="M22" i="701"/>
  <c r="M16" i="702"/>
  <c r="N19" i="701"/>
  <c r="K40" i="474"/>
  <c r="Z8" i="703"/>
  <c r="Q13" i="702"/>
  <c r="J13" i="474"/>
  <c r="H17" i="702"/>
  <c r="T22" i="701"/>
  <c r="G25" i="702"/>
  <c r="H27" i="703"/>
  <c r="X26" i="703"/>
  <c r="Q13" i="346"/>
  <c r="AA14" i="703"/>
  <c r="L15" i="704"/>
  <c r="S25" i="701"/>
  <c r="W9" i="704"/>
  <c r="Z17" i="703"/>
  <c r="E86" i="474"/>
  <c r="V24" i="346"/>
  <c r="V24" i="702"/>
  <c r="W14" i="704"/>
  <c r="U15" i="346"/>
  <c r="M14" i="702"/>
  <c r="K24" i="703"/>
  <c r="H78" i="474"/>
  <c r="K43" i="474"/>
  <c r="I21" i="701"/>
  <c r="Q26" i="704"/>
  <c r="W27" i="702"/>
  <c r="Z25" i="704"/>
  <c r="M25" i="704"/>
  <c r="K63" i="474"/>
  <c r="K14" i="474"/>
  <c r="V24" i="701"/>
  <c r="F19" i="701"/>
  <c r="AJ19" i="701" s="1"/>
  <c r="AN19" i="701" s="1"/>
  <c r="K10" i="704"/>
  <c r="S9" i="703"/>
  <c r="S29" i="703" s="1"/>
  <c r="C24" i="4"/>
  <c r="AA13" i="701"/>
  <c r="AA27" i="704"/>
  <c r="H67" i="704"/>
  <c r="I67" i="704" s="1"/>
  <c r="I23" i="704"/>
  <c r="L14" i="704"/>
  <c r="H54" i="346"/>
  <c r="I54" i="346" s="1"/>
  <c r="H60" i="702"/>
  <c r="I60" i="702" s="1"/>
  <c r="K8" i="703"/>
  <c r="E25" i="474"/>
  <c r="H63" i="704"/>
  <c r="I63" i="704" s="1"/>
  <c r="C11" i="702"/>
  <c r="AI11" i="702" s="1"/>
  <c r="H64" i="346"/>
  <c r="I64" i="346" s="1"/>
  <c r="H70" i="704"/>
  <c r="I70" i="704" s="1"/>
  <c r="V27" i="702"/>
  <c r="E37" i="474"/>
  <c r="O10" i="4"/>
  <c r="I22" i="703"/>
  <c r="J11" i="4"/>
  <c r="Q9" i="346"/>
  <c r="J40" i="474"/>
  <c r="H33" i="474"/>
  <c r="C27" i="704"/>
  <c r="J11" i="702"/>
  <c r="I108" i="474"/>
  <c r="N19" i="702"/>
  <c r="R24" i="346"/>
  <c r="M19" i="701"/>
  <c r="N11" i="701"/>
  <c r="X15" i="701"/>
  <c r="U10" i="346"/>
  <c r="J14" i="704"/>
  <c r="J40" i="704" s="1"/>
  <c r="K39" i="474"/>
  <c r="I17" i="474"/>
  <c r="M9" i="346"/>
  <c r="H13" i="702"/>
  <c r="X13" i="702"/>
  <c r="S20" i="701"/>
  <c r="Q15" i="703"/>
  <c r="M53" i="704"/>
  <c r="I12" i="707"/>
  <c r="I31" i="707" s="1"/>
  <c r="U22" i="705"/>
  <c r="Q16" i="705"/>
  <c r="C13" i="707"/>
  <c r="AI13" i="707" s="1"/>
  <c r="P13" i="707"/>
  <c r="AC13" i="707" s="1"/>
  <c r="U26" i="705"/>
  <c r="S9" i="708"/>
  <c r="U9" i="708" s="1"/>
  <c r="J25" i="705"/>
  <c r="I16" i="705"/>
  <c r="H44" i="708"/>
  <c r="I44" i="708" s="1"/>
  <c r="M24" i="705"/>
  <c r="N22" i="4"/>
  <c r="F11" i="701"/>
  <c r="AJ11" i="701" s="1"/>
  <c r="G16" i="704"/>
  <c r="C23" i="701"/>
  <c r="K21" i="474"/>
  <c r="Y17" i="701"/>
  <c r="I25" i="704"/>
  <c r="G10" i="52"/>
  <c r="I57" i="474"/>
  <c r="G17" i="346"/>
  <c r="S19" i="346"/>
  <c r="U19" i="346" s="1"/>
  <c r="G13" i="703"/>
  <c r="J23" i="346"/>
  <c r="H31" i="474"/>
  <c r="L16" i="346"/>
  <c r="U17" i="346"/>
  <c r="F20" i="346"/>
  <c r="AJ20" i="346" s="1"/>
  <c r="AN20" i="346" s="1"/>
  <c r="J18" i="704"/>
  <c r="V19" i="346"/>
  <c r="AU19" i="346" s="1"/>
  <c r="AW19" i="346" s="1"/>
  <c r="AX19" i="346" s="1"/>
  <c r="AY19" i="346" s="1"/>
  <c r="P26" i="701"/>
  <c r="H10" i="346"/>
  <c r="J82" i="474"/>
  <c r="H14" i="701"/>
  <c r="H52" i="703"/>
  <c r="I52" i="703" s="1"/>
  <c r="M9" i="706"/>
  <c r="N12" i="705"/>
  <c r="L19" i="705"/>
  <c r="C11" i="708"/>
  <c r="AI11" i="708" s="1"/>
  <c r="T15" i="707"/>
  <c r="I13" i="706"/>
  <c r="Q20" i="707"/>
  <c r="I18" i="707"/>
  <c r="O14" i="706"/>
  <c r="V9" i="706"/>
  <c r="X13" i="707"/>
  <c r="I18" i="52"/>
  <c r="G18" i="52" s="1"/>
  <c r="I15" i="52"/>
  <c r="Q27" i="702"/>
  <c r="Q32" i="702" s="1"/>
  <c r="C15" i="4"/>
  <c r="T26" i="702"/>
  <c r="G9" i="4"/>
  <c r="P27" i="703"/>
  <c r="C18" i="346"/>
  <c r="R24" i="701"/>
  <c r="E38" i="474"/>
  <c r="Z17" i="701"/>
  <c r="I34" i="474"/>
  <c r="S17" i="346"/>
  <c r="V20" i="701"/>
  <c r="S15" i="701"/>
  <c r="K109" i="474"/>
  <c r="L21" i="704"/>
  <c r="J11" i="704"/>
  <c r="H48" i="474"/>
  <c r="Y25" i="703"/>
  <c r="K20" i="702"/>
  <c r="H58" i="703"/>
  <c r="I58" i="703" s="1"/>
  <c r="Z9" i="706"/>
  <c r="I17" i="707"/>
  <c r="M15" i="706"/>
  <c r="S16" i="707"/>
  <c r="U18" i="707"/>
  <c r="U23" i="707"/>
  <c r="AA23" i="707"/>
  <c r="T21" i="4"/>
  <c r="F24" i="52"/>
  <c r="N24" i="4"/>
  <c r="I26" i="702"/>
  <c r="Q34" i="4"/>
  <c r="L11" i="4"/>
  <c r="Q20" i="4"/>
  <c r="S25" i="346"/>
  <c r="O21" i="703"/>
  <c r="AA17" i="703"/>
  <c r="P19" i="701"/>
  <c r="AC19" i="701" s="1"/>
  <c r="Y22" i="701"/>
  <c r="Z21" i="702"/>
  <c r="F27" i="703"/>
  <c r="AJ27" i="703" s="1"/>
  <c r="V14" i="704"/>
  <c r="J24" i="704"/>
  <c r="X22" i="702"/>
  <c r="K21" i="701"/>
  <c r="S18" i="703"/>
  <c r="O14" i="704"/>
  <c r="L14" i="702"/>
  <c r="N17" i="701"/>
  <c r="I50" i="474"/>
  <c r="S17" i="704"/>
  <c r="O17" i="346"/>
  <c r="I25" i="474"/>
  <c r="H44" i="474"/>
  <c r="V12" i="706"/>
  <c r="X12" i="707"/>
  <c r="C9" i="707"/>
  <c r="AI9" i="707" s="1"/>
  <c r="O10" i="706"/>
  <c r="K22" i="707"/>
  <c r="Y9" i="705"/>
  <c r="P17" i="707"/>
  <c r="AC17" i="707" s="1"/>
  <c r="Z22" i="705"/>
  <c r="T11" i="707"/>
  <c r="AD11" i="707" s="1"/>
  <c r="Q21" i="707"/>
  <c r="G11" i="4"/>
  <c r="E55" i="474"/>
  <c r="K17" i="4"/>
  <c r="M20" i="4"/>
  <c r="H18" i="703"/>
  <c r="K103" i="474"/>
  <c r="Q11" i="704"/>
  <c r="H23" i="346"/>
  <c r="V12" i="701"/>
  <c r="I9" i="702"/>
  <c r="V26" i="346"/>
  <c r="I39" i="474"/>
  <c r="V18" i="346"/>
  <c r="AU18" i="346" s="1"/>
  <c r="L9" i="704"/>
  <c r="E58" i="474"/>
  <c r="V17" i="346"/>
  <c r="AU17" i="346" s="1"/>
  <c r="I20" i="701"/>
  <c r="J91" i="474"/>
  <c r="X27" i="702"/>
  <c r="R20" i="702"/>
  <c r="Y27" i="704"/>
  <c r="K23" i="474"/>
  <c r="Z18" i="702"/>
  <c r="K55" i="474"/>
  <c r="C10" i="703"/>
  <c r="AI10" i="703" s="1"/>
  <c r="Q24" i="705"/>
  <c r="Y20" i="707"/>
  <c r="R9" i="708"/>
  <c r="M18" i="707"/>
  <c r="M15" i="707"/>
  <c r="AA10" i="708"/>
  <c r="K11" i="708"/>
  <c r="W10" i="705"/>
  <c r="W29" i="705" s="1"/>
  <c r="AA9" i="708"/>
  <c r="X12" i="705"/>
  <c r="Z24" i="707"/>
  <c r="I18" i="702"/>
  <c r="X9" i="703"/>
  <c r="F9" i="4"/>
  <c r="W25" i="703"/>
  <c r="P8" i="4"/>
  <c r="L25" i="4"/>
  <c r="W17" i="701"/>
  <c r="W21" i="346"/>
  <c r="AV21" i="346" s="1"/>
  <c r="O19" i="704"/>
  <c r="X19" i="701"/>
  <c r="W10" i="702"/>
  <c r="R26" i="346"/>
  <c r="P16" i="701"/>
  <c r="X15" i="703"/>
  <c r="H45" i="474"/>
  <c r="H56" i="474"/>
  <c r="P13" i="704"/>
  <c r="O17" i="701"/>
  <c r="K20" i="474"/>
  <c r="I48" i="474"/>
  <c r="J31" i="701"/>
  <c r="X9" i="704"/>
  <c r="AA20" i="704"/>
  <c r="H49" i="702"/>
  <c r="I49" i="702" s="1"/>
  <c r="AH290" i="2"/>
  <c r="AJ290" i="2" s="1"/>
  <c r="AM290" i="2" s="1"/>
  <c r="AV290" i="2" s="1"/>
  <c r="O21" i="705"/>
  <c r="C15" i="705"/>
  <c r="AI15" i="705" s="1"/>
  <c r="T9" i="707"/>
  <c r="H14" i="706"/>
  <c r="X12" i="708"/>
  <c r="H54" i="705"/>
  <c r="I54" i="705" s="1"/>
  <c r="G8" i="707"/>
  <c r="Y13" i="708"/>
  <c r="L22" i="707"/>
  <c r="R18" i="4"/>
  <c r="L24" i="346"/>
  <c r="G24" i="4"/>
  <c r="I45" i="474"/>
  <c r="S19" i="4"/>
  <c r="T18" i="704"/>
  <c r="S34" i="4"/>
  <c r="R17" i="702"/>
  <c r="Y26" i="704"/>
  <c r="I33" i="474"/>
  <c r="I19" i="346"/>
  <c r="V26" i="703"/>
  <c r="O14" i="701"/>
  <c r="K14" i="346"/>
  <c r="H12" i="701"/>
  <c r="R22" i="703"/>
  <c r="I13" i="346"/>
  <c r="K65" i="474"/>
  <c r="K44" i="474"/>
  <c r="M16" i="703"/>
  <c r="F13" i="346"/>
  <c r="AJ13" i="346" s="1"/>
  <c r="AN13" i="346" s="1"/>
  <c r="Q11" i="703"/>
  <c r="J17" i="474"/>
  <c r="K22" i="703"/>
  <c r="O12" i="706"/>
  <c r="U11" i="706"/>
  <c r="V25" i="705"/>
  <c r="M12" i="708"/>
  <c r="L13" i="708"/>
  <c r="C19" i="707"/>
  <c r="AI19" i="707" s="1"/>
  <c r="N8" i="706"/>
  <c r="R25" i="705"/>
  <c r="I9" i="707"/>
  <c r="Q13" i="705"/>
  <c r="T18" i="4"/>
  <c r="X16" i="704"/>
  <c r="Q23" i="4"/>
  <c r="L22" i="346"/>
  <c r="K26" i="701"/>
  <c r="Z27" i="702"/>
  <c r="L8" i="704"/>
  <c r="L40" i="704" s="1"/>
  <c r="E88" i="474"/>
  <c r="AA12" i="702"/>
  <c r="X13" i="701"/>
  <c r="K12" i="704"/>
  <c r="R40" i="704"/>
  <c r="E43" i="474"/>
  <c r="U11" i="701"/>
  <c r="O25" i="702"/>
  <c r="O22" i="346"/>
  <c r="E70" i="474"/>
  <c r="W25" i="346"/>
  <c r="AA8" i="701"/>
  <c r="E90" i="474"/>
  <c r="K81" i="474"/>
  <c r="X10" i="704"/>
  <c r="S21" i="704"/>
  <c r="I51" i="474"/>
  <c r="AQ27" i="706"/>
  <c r="AA18" i="705"/>
  <c r="H15" i="707"/>
  <c r="K16" i="707"/>
  <c r="J12" i="708"/>
  <c r="F11" i="706"/>
  <c r="AJ11" i="706" s="1"/>
  <c r="W23" i="707"/>
  <c r="S8" i="706"/>
  <c r="R24" i="705"/>
  <c r="R10" i="4"/>
  <c r="E7" i="52"/>
  <c r="O20" i="4"/>
  <c r="K70" i="474"/>
  <c r="K22" i="4"/>
  <c r="O8" i="4"/>
  <c r="U8" i="4"/>
  <c r="G29" i="52"/>
  <c r="E101" i="474"/>
  <c r="AA9" i="701"/>
  <c r="E18" i="52"/>
  <c r="M21" i="707"/>
  <c r="F12" i="707"/>
  <c r="AJ12" i="707" s="1"/>
  <c r="Z16" i="707"/>
  <c r="Q10" i="708"/>
  <c r="R10" i="705"/>
  <c r="T13" i="707"/>
  <c r="AD13" i="707" s="1"/>
  <c r="R9" i="706"/>
  <c r="R15" i="705"/>
  <c r="H13" i="708"/>
  <c r="N13" i="705"/>
  <c r="H16" i="707"/>
  <c r="X13" i="708"/>
  <c r="K12" i="706"/>
  <c r="M17" i="705"/>
  <c r="Y8" i="708"/>
  <c r="G14" i="706"/>
  <c r="S17" i="705"/>
  <c r="M20" i="705"/>
  <c r="Q19" i="705"/>
  <c r="Z25" i="705"/>
  <c r="C24" i="707"/>
  <c r="M13" i="706"/>
  <c r="G9" i="706"/>
  <c r="C14" i="706"/>
  <c r="AI14" i="706" s="1"/>
  <c r="R17" i="705"/>
  <c r="H25" i="707"/>
  <c r="J24" i="705"/>
  <c r="V15" i="707"/>
  <c r="H22" i="707"/>
  <c r="I9" i="708"/>
  <c r="O8" i="708"/>
  <c r="M10" i="708"/>
  <c r="J9" i="707"/>
  <c r="I25" i="705"/>
  <c r="P9" i="706"/>
  <c r="G18" i="705"/>
  <c r="H24" i="707"/>
  <c r="T16" i="707"/>
  <c r="P18" i="707"/>
  <c r="Y13" i="707"/>
  <c r="F13" i="705"/>
  <c r="AJ13" i="705" s="1"/>
  <c r="AN13" i="705" s="1"/>
  <c r="U15" i="706"/>
  <c r="Z26" i="707"/>
  <c r="F24" i="707"/>
  <c r="AJ24" i="707" s="1"/>
  <c r="N25" i="707"/>
  <c r="V17" i="705"/>
  <c r="V30" i="705" s="1"/>
  <c r="K9" i="707"/>
  <c r="J13" i="706"/>
  <c r="K8" i="708"/>
  <c r="W17" i="705"/>
  <c r="H62" i="705"/>
  <c r="I62" i="705" s="1"/>
  <c r="G12" i="708"/>
  <c r="Z20" i="705"/>
  <c r="M13" i="708"/>
  <c r="K14" i="707"/>
  <c r="H42" i="706"/>
  <c r="I42" i="706" s="1"/>
  <c r="C12" i="708"/>
  <c r="AI12" i="708" s="1"/>
  <c r="U10" i="707"/>
  <c r="F22" i="705"/>
  <c r="AJ22" i="705" s="1"/>
  <c r="X15" i="706"/>
  <c r="I21" i="705"/>
  <c r="T28" i="708"/>
  <c r="S25" i="707"/>
  <c r="V26" i="707"/>
  <c r="C8" i="706"/>
  <c r="M10" i="705"/>
  <c r="J17" i="707"/>
  <c r="Q17" i="707"/>
  <c r="Q24" i="707"/>
  <c r="H44" i="706"/>
  <c r="I44" i="706" s="1"/>
  <c r="S9" i="706"/>
  <c r="N12" i="4"/>
  <c r="X12" i="4" s="1"/>
  <c r="Q25" i="4"/>
  <c r="Z9" i="703"/>
  <c r="Z40" i="703" s="1"/>
  <c r="I18" i="4"/>
  <c r="E29" i="52"/>
  <c r="N16" i="346"/>
  <c r="G15" i="52"/>
  <c r="T16" i="346"/>
  <c r="P26" i="702"/>
  <c r="F24" i="346"/>
  <c r="AJ24" i="346" s="1"/>
  <c r="H9" i="4"/>
  <c r="C18" i="4"/>
  <c r="V10" i="4"/>
  <c r="W26" i="701"/>
  <c r="R10" i="702"/>
  <c r="R30" i="702" s="1"/>
  <c r="F11" i="4"/>
  <c r="Q10" i="4"/>
  <c r="J26" i="704"/>
  <c r="T26" i="701"/>
  <c r="L17" i="704"/>
  <c r="F22" i="4"/>
  <c r="T19" i="4"/>
  <c r="L26" i="4"/>
  <c r="Q22" i="703"/>
  <c r="E46" i="474"/>
  <c r="H22" i="702"/>
  <c r="P34" i="4"/>
  <c r="I16" i="704"/>
  <c r="G25" i="4"/>
  <c r="Z10" i="702"/>
  <c r="J12" i="702"/>
  <c r="G23" i="702"/>
  <c r="E30" i="474"/>
  <c r="P23" i="702"/>
  <c r="Q17" i="4"/>
  <c r="Q8" i="4"/>
  <c r="R16" i="346"/>
  <c r="O24" i="4"/>
  <c r="H57" i="702"/>
  <c r="I57" i="702" s="1"/>
  <c r="P27" i="702"/>
  <c r="F14" i="52"/>
  <c r="V10" i="703"/>
  <c r="C16" i="4"/>
  <c r="U9" i="4"/>
  <c r="F19" i="4"/>
  <c r="L18" i="4"/>
  <c r="G22" i="702"/>
  <c r="Q17" i="703"/>
  <c r="E105" i="474"/>
  <c r="M9" i="704"/>
  <c r="O10" i="702"/>
  <c r="K25" i="474"/>
  <c r="J64" i="474"/>
  <c r="I8" i="346"/>
  <c r="AA20" i="346"/>
  <c r="D14" i="52"/>
  <c r="O22" i="702"/>
  <c r="S9" i="346"/>
  <c r="P12" i="702"/>
  <c r="C14" i="704"/>
  <c r="AI14" i="704" s="1"/>
  <c r="I74" i="474"/>
  <c r="G19" i="346"/>
  <c r="X18" i="346"/>
  <c r="Y14" i="702"/>
  <c r="L15" i="703"/>
  <c r="X24" i="703"/>
  <c r="H62" i="474"/>
  <c r="W9" i="703"/>
  <c r="AA21" i="346"/>
  <c r="Z14" i="346"/>
  <c r="O11" i="702"/>
  <c r="X8" i="704"/>
  <c r="O15" i="346"/>
  <c r="E92" i="474"/>
  <c r="M20" i="703"/>
  <c r="O17" i="703"/>
  <c r="I18" i="701"/>
  <c r="W20" i="346"/>
  <c r="AV20" i="346" s="1"/>
  <c r="K73" i="474"/>
  <c r="H15" i="701"/>
  <c r="O23" i="346"/>
  <c r="W14" i="702"/>
  <c r="F27" i="701"/>
  <c r="AJ27" i="701" s="1"/>
  <c r="AN27" i="701" s="1"/>
  <c r="X15" i="702"/>
  <c r="T15" i="703"/>
  <c r="R17" i="703"/>
  <c r="R10" i="701"/>
  <c r="P16" i="4"/>
  <c r="O22" i="704"/>
  <c r="E109" i="474"/>
  <c r="R21" i="346"/>
  <c r="Z18" i="704"/>
  <c r="N12" i="702"/>
  <c r="N15" i="703"/>
  <c r="N9" i="704"/>
  <c r="K83" i="474"/>
  <c r="I7" i="52"/>
  <c r="H7" i="52" s="1"/>
  <c r="G26" i="701"/>
  <c r="V11" i="704"/>
  <c r="I83" i="474"/>
  <c r="G27" i="346"/>
  <c r="J20" i="474"/>
  <c r="H75" i="474"/>
  <c r="R20" i="346"/>
  <c r="M18" i="701"/>
  <c r="H9" i="702"/>
  <c r="T26" i="346"/>
  <c r="E12" i="739"/>
  <c r="B34" i="881"/>
  <c r="B50" i="881" s="1"/>
  <c r="U21" i="702"/>
  <c r="W22" i="346"/>
  <c r="K11" i="701"/>
  <c r="P22" i="703"/>
  <c r="C20" i="346"/>
  <c r="Y13" i="702"/>
  <c r="H92" i="474"/>
  <c r="H19" i="474"/>
  <c r="L23" i="346"/>
  <c r="K49" i="474"/>
  <c r="J23" i="703"/>
  <c r="E85" i="474"/>
  <c r="K56" i="474"/>
  <c r="K68" i="474"/>
  <c r="J9" i="346"/>
  <c r="Y11" i="702"/>
  <c r="I20" i="474"/>
  <c r="T24" i="704"/>
  <c r="N24" i="703"/>
  <c r="Q9" i="701"/>
  <c r="P26" i="703"/>
  <c r="H17" i="474"/>
  <c r="P24" i="704"/>
  <c r="R23" i="701"/>
  <c r="U13" i="702"/>
  <c r="E102" i="474"/>
  <c r="K106" i="474"/>
  <c r="T11" i="704"/>
  <c r="Z27" i="703"/>
  <c r="Y12" i="701"/>
  <c r="K54" i="474"/>
  <c r="AA19" i="704"/>
  <c r="I27" i="474"/>
  <c r="J13" i="702"/>
  <c r="H49" i="474"/>
  <c r="H13" i="346"/>
  <c r="I22" i="474"/>
  <c r="W26" i="704"/>
  <c r="Y18" i="346"/>
  <c r="L9" i="701"/>
  <c r="Q13" i="703"/>
  <c r="Y12" i="704"/>
  <c r="Y23" i="702"/>
  <c r="O27" i="704"/>
  <c r="P21" i="703"/>
  <c r="AC21" i="703" s="1"/>
  <c r="AA14" i="701"/>
  <c r="J13" i="704"/>
  <c r="H64" i="474"/>
  <c r="U20" i="702"/>
  <c r="I97" i="474"/>
  <c r="W21" i="703"/>
  <c r="S10" i="704"/>
  <c r="J31" i="474"/>
  <c r="S23" i="346"/>
  <c r="J78" i="474"/>
  <c r="J19" i="346"/>
  <c r="N13" i="703"/>
  <c r="T18" i="702"/>
  <c r="F8" i="703"/>
  <c r="AJ8" i="703" s="1"/>
  <c r="AN8" i="703" s="1"/>
  <c r="J56" i="474"/>
  <c r="I19" i="701"/>
  <c r="I24" i="474"/>
  <c r="E98" i="474"/>
  <c r="V16" i="704"/>
  <c r="S13" i="346"/>
  <c r="G17" i="703"/>
  <c r="T26" i="703"/>
  <c r="H29" i="474"/>
  <c r="M24" i="701"/>
  <c r="S13" i="702"/>
  <c r="S23" i="701"/>
  <c r="J98" i="474"/>
  <c r="I12" i="704"/>
  <c r="E95" i="474"/>
  <c r="E63" i="474"/>
  <c r="W21" i="701"/>
  <c r="J21" i="701"/>
  <c r="C9" i="701"/>
  <c r="AI9" i="701" s="1"/>
  <c r="F17" i="703"/>
  <c r="AJ17" i="703" s="1"/>
  <c r="AN17" i="703" s="1"/>
  <c r="T25" i="702"/>
  <c r="I62" i="474"/>
  <c r="S23" i="703"/>
  <c r="U23" i="703" s="1"/>
  <c r="J19" i="702"/>
  <c r="E18" i="474"/>
  <c r="Z11" i="704"/>
  <c r="I10" i="702"/>
  <c r="J95" i="474"/>
  <c r="U11" i="702"/>
  <c r="J27" i="701"/>
  <c r="H53" i="701"/>
  <c r="I53" i="701" s="1"/>
  <c r="W13" i="701"/>
  <c r="AN13" i="701" s="1"/>
  <c r="H60" i="701"/>
  <c r="I60" i="701" s="1"/>
  <c r="J26" i="701"/>
  <c r="J46" i="474"/>
  <c r="H53" i="702"/>
  <c r="I53" i="702" s="1"/>
  <c r="H60" i="346"/>
  <c r="I60" i="346" s="1"/>
  <c r="E52" i="474"/>
  <c r="H56" i="704"/>
  <c r="I56" i="704" s="1"/>
  <c r="K22" i="701"/>
  <c r="H52" i="702"/>
  <c r="I52" i="702" s="1"/>
  <c r="Q15" i="4"/>
  <c r="V27" i="4"/>
  <c r="K24" i="4"/>
  <c r="M14" i="704"/>
  <c r="J50" i="474"/>
  <c r="E14" i="52"/>
  <c r="T23" i="704"/>
  <c r="R11" i="346"/>
  <c r="M10" i="346"/>
  <c r="J27" i="702"/>
  <c r="M23" i="702"/>
  <c r="S13" i="704"/>
  <c r="AA24" i="702"/>
  <c r="W19" i="702"/>
  <c r="AA12" i="346"/>
  <c r="X19" i="704"/>
  <c r="S19" i="702"/>
  <c r="U19" i="702" s="1"/>
  <c r="J44" i="474"/>
  <c r="X9" i="346"/>
  <c r="T21" i="701"/>
  <c r="AD21" i="701" s="1"/>
  <c r="H79" i="474"/>
  <c r="Q23" i="701"/>
  <c r="W12" i="704"/>
  <c r="AA14" i="704"/>
  <c r="E28" i="474"/>
  <c r="H48" i="701"/>
  <c r="I48" i="701" s="1"/>
  <c r="C9" i="703"/>
  <c r="AI9" i="703" s="1"/>
  <c r="F26" i="705"/>
  <c r="AJ26" i="705" s="1"/>
  <c r="AN26" i="705" s="1"/>
  <c r="F20" i="705"/>
  <c r="AJ20" i="705" s="1"/>
  <c r="AN20" i="705" s="1"/>
  <c r="K24" i="707"/>
  <c r="F11" i="705"/>
  <c r="AJ11" i="705" s="1"/>
  <c r="AN11" i="705" s="1"/>
  <c r="T26" i="705"/>
  <c r="AD26" i="705" s="1"/>
  <c r="G22" i="705"/>
  <c r="M10" i="707"/>
  <c r="R12" i="4"/>
  <c r="Y23" i="704"/>
  <c r="I24" i="4"/>
  <c r="H15" i="52"/>
  <c r="H10" i="4"/>
  <c r="J66" i="474"/>
  <c r="H103" i="474"/>
  <c r="Z11" i="703"/>
  <c r="R18" i="701"/>
  <c r="N13" i="346"/>
  <c r="C14" i="4"/>
  <c r="S14" i="701"/>
  <c r="R25" i="702"/>
  <c r="T18" i="346"/>
  <c r="H32" i="474"/>
  <c r="X40" i="704"/>
  <c r="V12" i="346"/>
  <c r="AU12" i="346" s="1"/>
  <c r="AW12" i="346" s="1"/>
  <c r="AX12" i="346" s="1"/>
  <c r="AY12" i="346" s="1"/>
  <c r="I19" i="52"/>
  <c r="D19" i="52" s="1"/>
  <c r="H59" i="703"/>
  <c r="I59" i="703" s="1"/>
  <c r="AJ292" i="2"/>
  <c r="Y292" i="2"/>
  <c r="AL292" i="2" s="1"/>
  <c r="AU292" i="2" s="1"/>
  <c r="X292" i="2"/>
  <c r="Z292" i="2" s="1"/>
  <c r="AM292" i="2" s="1"/>
  <c r="AV292" i="2" s="1"/>
  <c r="U24" i="707"/>
  <c r="I9" i="706"/>
  <c r="M19" i="705"/>
  <c r="N21" i="707"/>
  <c r="J14" i="707"/>
  <c r="AA15" i="707"/>
  <c r="I16" i="707"/>
  <c r="Z17" i="705"/>
  <c r="M11" i="705"/>
  <c r="AA8" i="708"/>
  <c r="S13" i="708"/>
  <c r="U13" i="708" s="1"/>
  <c r="L15" i="705"/>
  <c r="F24" i="4"/>
  <c r="F18" i="4"/>
  <c r="N34" i="4"/>
  <c r="T9" i="4"/>
  <c r="J18" i="702"/>
  <c r="I22" i="346"/>
  <c r="Y10" i="702"/>
  <c r="Y12" i="702"/>
  <c r="R14" i="346"/>
  <c r="G16" i="52"/>
  <c r="J53" i="474"/>
  <c r="C17" i="702"/>
  <c r="AI17" i="702" s="1"/>
  <c r="G9" i="346"/>
  <c r="I99" i="474"/>
  <c r="V25" i="701"/>
  <c r="G24" i="704"/>
  <c r="I56" i="474"/>
  <c r="I102" i="474"/>
  <c r="J49" i="474"/>
  <c r="P13" i="346"/>
  <c r="AC13" i="346" s="1"/>
  <c r="W19" i="701"/>
  <c r="E96" i="474"/>
  <c r="Y16" i="702"/>
  <c r="Z21" i="704"/>
  <c r="F10" i="702"/>
  <c r="AJ10" i="702" s="1"/>
  <c r="AN10" i="702" s="1"/>
  <c r="M16" i="704"/>
  <c r="M29" i="704" s="1"/>
  <c r="I15" i="346"/>
  <c r="T47" i="703"/>
  <c r="K9" i="705"/>
  <c r="R9" i="707"/>
  <c r="AA8" i="706"/>
  <c r="S18" i="705"/>
  <c r="F23" i="707"/>
  <c r="AJ23" i="707" s="1"/>
  <c r="AN23" i="707" s="1"/>
  <c r="C22" i="705"/>
  <c r="Q8" i="708"/>
  <c r="F8" i="4"/>
  <c r="W14" i="346"/>
  <c r="AV14" i="346" s="1"/>
  <c r="G15" i="4"/>
  <c r="F14" i="702"/>
  <c r="AJ14" i="702" s="1"/>
  <c r="AN14" i="702" s="1"/>
  <c r="M26" i="701"/>
  <c r="C19" i="346"/>
  <c r="H26" i="474"/>
  <c r="C20" i="701"/>
  <c r="AI20" i="701" s="1"/>
  <c r="AA18" i="702"/>
  <c r="J47" i="474"/>
  <c r="J15" i="701"/>
  <c r="Q10" i="701"/>
  <c r="Q31" i="701" s="1"/>
  <c r="K12" i="702"/>
  <c r="F16" i="346"/>
  <c r="AJ16" i="346" s="1"/>
  <c r="C15" i="701"/>
  <c r="AI15" i="701" s="1"/>
  <c r="K13" i="703"/>
  <c r="I24" i="701"/>
  <c r="AN8" i="701"/>
  <c r="F9" i="702"/>
  <c r="AJ9" i="702" s="1"/>
  <c r="AN9" i="702" s="1"/>
  <c r="C27" i="702"/>
  <c r="G26" i="702"/>
  <c r="H54" i="703"/>
  <c r="I54" i="703" s="1"/>
  <c r="F13" i="902"/>
  <c r="G13" i="902" s="1"/>
  <c r="I13" i="902"/>
  <c r="J13" i="902" s="1"/>
  <c r="N13" i="902" s="1"/>
  <c r="K13" i="902" s="1"/>
  <c r="AD27" i="706"/>
  <c r="V19" i="707"/>
  <c r="Z12" i="708"/>
  <c r="G14" i="707"/>
  <c r="S11" i="706"/>
  <c r="P10" i="707"/>
  <c r="M11" i="706"/>
  <c r="G10" i="4"/>
  <c r="U10" i="703"/>
  <c r="K80" i="474"/>
  <c r="U21" i="4"/>
  <c r="K14" i="4"/>
  <c r="X18" i="702"/>
  <c r="Z24" i="702"/>
  <c r="E72" i="474"/>
  <c r="M12" i="704"/>
  <c r="J72" i="474"/>
  <c r="J12" i="346"/>
  <c r="F11" i="703"/>
  <c r="AJ11" i="703" s="1"/>
  <c r="P10" i="701"/>
  <c r="V23" i="704"/>
  <c r="M15" i="702"/>
  <c r="H20" i="701"/>
  <c r="I14" i="346"/>
  <c r="E41" i="474"/>
  <c r="Y24" i="702"/>
  <c r="K31" i="474"/>
  <c r="I79" i="474"/>
  <c r="AA23" i="702"/>
  <c r="F17" i="346"/>
  <c r="AJ17" i="346" s="1"/>
  <c r="M25" i="346"/>
  <c r="I15" i="701"/>
  <c r="J20" i="704"/>
  <c r="L12" i="702"/>
  <c r="H48" i="702"/>
  <c r="I48" i="702" s="1"/>
  <c r="I24" i="52"/>
  <c r="Y11" i="707"/>
  <c r="Y29" i="707" s="1"/>
  <c r="Q9" i="708"/>
  <c r="O26" i="705"/>
  <c r="L11" i="707"/>
  <c r="V20" i="705"/>
  <c r="X11" i="705"/>
  <c r="R20" i="705"/>
  <c r="S25" i="705"/>
  <c r="S8" i="4"/>
  <c r="P11" i="4"/>
  <c r="G12" i="346"/>
  <c r="S27" i="4"/>
  <c r="H21" i="346"/>
  <c r="K9" i="704"/>
  <c r="O24" i="701"/>
  <c r="U23" i="346"/>
  <c r="H20" i="703"/>
  <c r="W25" i="701"/>
  <c r="X24" i="704"/>
  <c r="P17" i="702"/>
  <c r="I70" i="474"/>
  <c r="J15" i="474"/>
  <c r="N16" i="704"/>
  <c r="R20" i="703"/>
  <c r="O23" i="701"/>
  <c r="L22" i="702"/>
  <c r="N22" i="702" s="1"/>
  <c r="Y27" i="702"/>
  <c r="Z13" i="703"/>
  <c r="M15" i="701"/>
  <c r="X25" i="703"/>
  <c r="U15" i="702"/>
  <c r="S12" i="346"/>
  <c r="AM231" i="2"/>
  <c r="AV231" i="2" s="1"/>
  <c r="G15" i="706"/>
  <c r="Z13" i="706"/>
  <c r="O17" i="705"/>
  <c r="V12" i="705"/>
  <c r="J13" i="708"/>
  <c r="M10" i="706"/>
  <c r="K14" i="706"/>
  <c r="H60" i="705"/>
  <c r="I60" i="705" s="1"/>
  <c r="S22" i="707"/>
  <c r="U21" i="707"/>
  <c r="I17" i="705"/>
  <c r="W12" i="708"/>
  <c r="N18" i="4"/>
  <c r="N19" i="4"/>
  <c r="P9" i="4"/>
  <c r="Z16" i="704"/>
  <c r="P17" i="4"/>
  <c r="Y17" i="4" s="1"/>
  <c r="O21" i="346"/>
  <c r="P18" i="702"/>
  <c r="I81" i="474"/>
  <c r="R23" i="346"/>
  <c r="Z20" i="701"/>
  <c r="W10" i="701"/>
  <c r="W29" i="701" s="1"/>
  <c r="N19" i="704"/>
  <c r="Y21" i="701"/>
  <c r="K24" i="702"/>
  <c r="H42" i="474"/>
  <c r="L12" i="704"/>
  <c r="H106" i="474"/>
  <c r="T11" i="701"/>
  <c r="H25" i="704"/>
  <c r="H59" i="474"/>
  <c r="R18" i="703"/>
  <c r="O19" i="701"/>
  <c r="O18" i="702"/>
  <c r="G14" i="346"/>
  <c r="S18" i="346"/>
  <c r="H66" i="701"/>
  <c r="I66" i="701" s="1"/>
  <c r="Q23" i="707"/>
  <c r="Z8" i="705"/>
  <c r="AA11" i="708"/>
  <c r="R21" i="705"/>
  <c r="K20" i="705"/>
  <c r="Z23" i="707"/>
  <c r="O16" i="705"/>
  <c r="F11" i="708"/>
  <c r="AJ11" i="708" s="1"/>
  <c r="AN11" i="708" s="1"/>
  <c r="U14" i="706"/>
  <c r="F9" i="706"/>
  <c r="AJ9" i="706" s="1"/>
  <c r="C10" i="52"/>
  <c r="I76" i="474"/>
  <c r="Z24" i="346"/>
  <c r="O26" i="701"/>
  <c r="O15" i="704"/>
  <c r="H37" i="474"/>
  <c r="W9" i="702"/>
  <c r="K23" i="346"/>
  <c r="J11" i="474"/>
  <c r="E11" i="474"/>
  <c r="I19" i="704"/>
  <c r="L16" i="701"/>
  <c r="K18" i="474"/>
  <c r="C27" i="701"/>
  <c r="Z20" i="703"/>
  <c r="P19" i="346"/>
  <c r="AC19" i="346" s="1"/>
  <c r="K69" i="474"/>
  <c r="F9" i="701"/>
  <c r="AJ9" i="701" s="1"/>
  <c r="E74" i="474"/>
  <c r="Z9" i="702"/>
  <c r="G17" i="702"/>
  <c r="E107" i="474"/>
  <c r="E20" i="474"/>
  <c r="I23" i="701"/>
  <c r="Q12" i="346"/>
  <c r="G24" i="702"/>
  <c r="E54" i="474"/>
  <c r="H65" i="704"/>
  <c r="I65" i="704" s="1"/>
  <c r="U21" i="346"/>
  <c r="S13" i="706"/>
  <c r="J8" i="706"/>
  <c r="X19" i="705"/>
  <c r="J11" i="707"/>
  <c r="J39" i="707" s="1"/>
  <c r="C13" i="708"/>
  <c r="AI13" i="708" s="1"/>
  <c r="P11" i="707"/>
  <c r="AC11" i="707" s="1"/>
  <c r="W17" i="707"/>
  <c r="I8" i="708"/>
  <c r="T22" i="705"/>
  <c r="H61" i="705"/>
  <c r="I61" i="705" s="1"/>
  <c r="T8" i="705"/>
  <c r="F17" i="707"/>
  <c r="AJ17" i="707" s="1"/>
  <c r="AN17" i="707" s="1"/>
  <c r="O11" i="4"/>
  <c r="J9" i="703"/>
  <c r="H16" i="4"/>
  <c r="I61" i="474"/>
  <c r="C27" i="4"/>
  <c r="I11" i="4"/>
  <c r="S27" i="346"/>
  <c r="U27" i="346" s="1"/>
  <c r="X16" i="701"/>
  <c r="Y21" i="346"/>
  <c r="P25" i="701"/>
  <c r="Y291" i="2"/>
  <c r="AL291" i="2" s="1"/>
  <c r="AU291" i="2" s="1"/>
  <c r="X291" i="2"/>
  <c r="Z291" i="2" s="1"/>
  <c r="AJ291" i="2"/>
  <c r="Z10" i="707"/>
  <c r="N23" i="707"/>
  <c r="L8" i="707"/>
  <c r="L10" i="705"/>
  <c r="H8" i="708"/>
  <c r="O11" i="706"/>
  <c r="Y20" i="705"/>
  <c r="M12" i="706"/>
  <c r="V13" i="706"/>
  <c r="J21" i="707"/>
  <c r="AA11" i="705"/>
  <c r="G19" i="705"/>
  <c r="J15" i="705"/>
  <c r="R22" i="705"/>
  <c r="W18" i="707"/>
  <c r="N11" i="708"/>
  <c r="K17" i="707"/>
  <c r="Y22" i="705"/>
  <c r="X18" i="707"/>
  <c r="R14" i="706"/>
  <c r="O11" i="708"/>
  <c r="M13" i="707"/>
  <c r="M30" i="707" s="1"/>
  <c r="W24" i="707"/>
  <c r="I10" i="706"/>
  <c r="C18" i="707"/>
  <c r="AI18" i="707" s="1"/>
  <c r="K22" i="705"/>
  <c r="U16" i="705"/>
  <c r="J8" i="708"/>
  <c r="O14" i="705"/>
  <c r="O9" i="707"/>
  <c r="K18" i="705"/>
  <c r="O9" i="705"/>
  <c r="O28" i="705" s="1"/>
  <c r="P25" i="707"/>
  <c r="AC25" i="707" s="1"/>
  <c r="I10" i="708"/>
  <c r="K8" i="706"/>
  <c r="Z10" i="706"/>
  <c r="L10" i="706"/>
  <c r="X21" i="707"/>
  <c r="V18" i="707"/>
  <c r="J18" i="707"/>
  <c r="K12" i="705"/>
  <c r="P15" i="706"/>
  <c r="AC15" i="706" s="1"/>
  <c r="V22" i="707"/>
  <c r="V8" i="707"/>
  <c r="O16" i="707"/>
  <c r="U8" i="706"/>
  <c r="L14" i="707"/>
  <c r="N25" i="705"/>
  <c r="P10" i="706"/>
  <c r="AC10" i="706" s="1"/>
  <c r="S13" i="707"/>
  <c r="H12" i="706"/>
  <c r="I22" i="707"/>
  <c r="R11" i="706"/>
  <c r="Z26" i="705"/>
  <c r="K11" i="707"/>
  <c r="K31" i="707" s="1"/>
  <c r="X9" i="707"/>
  <c r="I23" i="705"/>
  <c r="W9" i="705"/>
  <c r="V13" i="705"/>
  <c r="Q16" i="707"/>
  <c r="O9" i="708"/>
  <c r="G13" i="705"/>
  <c r="L26" i="705"/>
  <c r="S14" i="707"/>
  <c r="U14" i="707" s="1"/>
  <c r="O26" i="707"/>
  <c r="I24" i="705"/>
  <c r="C15" i="707"/>
  <c r="AI15" i="707" s="1"/>
  <c r="H50" i="705"/>
  <c r="I50" i="705" s="1"/>
  <c r="H48" i="705"/>
  <c r="I48" i="705" s="1"/>
  <c r="C21" i="705"/>
  <c r="R8" i="708"/>
  <c r="S23" i="707"/>
  <c r="L11" i="708"/>
  <c r="I23" i="707"/>
  <c r="AA8" i="705"/>
  <c r="O20" i="707"/>
  <c r="AA26" i="707"/>
  <c r="T20" i="707"/>
  <c r="AD20" i="707" s="1"/>
  <c r="H26" i="705"/>
  <c r="Q25" i="707"/>
  <c r="Y9" i="708"/>
  <c r="K21" i="705"/>
  <c r="F10" i="707"/>
  <c r="M12" i="705"/>
  <c r="M28" i="705" s="1"/>
  <c r="G11" i="706"/>
  <c r="P9" i="707"/>
  <c r="AC9" i="707" s="1"/>
  <c r="C13" i="706"/>
  <c r="AI13" i="706" s="1"/>
  <c r="H58" i="707"/>
  <c r="I58" i="707" s="1"/>
  <c r="C8" i="4"/>
  <c r="F21" i="4"/>
  <c r="I25" i="703"/>
  <c r="T27" i="702"/>
  <c r="Q26" i="4"/>
  <c r="F19" i="703"/>
  <c r="L27" i="4"/>
  <c r="R34" i="4"/>
  <c r="P21" i="4"/>
  <c r="O9" i="4"/>
  <c r="O23" i="4"/>
  <c r="Q12" i="4"/>
  <c r="P16" i="346"/>
  <c r="AC16" i="346" s="1"/>
  <c r="S12" i="4"/>
  <c r="C16" i="346"/>
  <c r="U14" i="346"/>
  <c r="L13" i="4"/>
  <c r="S11" i="4"/>
  <c r="U16" i="4"/>
  <c r="T14" i="346"/>
  <c r="AD14" i="346" s="1"/>
  <c r="G8" i="4"/>
  <c r="R24" i="4"/>
  <c r="L26" i="701"/>
  <c r="N26" i="701" s="1"/>
  <c r="I9" i="4"/>
  <c r="K52" i="474"/>
  <c r="O25" i="703"/>
  <c r="T11" i="4"/>
  <c r="G14" i="704"/>
  <c r="I16" i="4"/>
  <c r="H25" i="4"/>
  <c r="J19" i="4"/>
  <c r="S22" i="346"/>
  <c r="U22" i="346" s="1"/>
  <c r="V26" i="4"/>
  <c r="X26" i="346"/>
  <c r="L10" i="4"/>
  <c r="O16" i="346"/>
  <c r="W23" i="704"/>
  <c r="H14" i="704"/>
  <c r="C8" i="52"/>
  <c r="G24" i="52"/>
  <c r="D17" i="52"/>
  <c r="J20" i="702"/>
  <c r="C21" i="52"/>
  <c r="H12" i="702"/>
  <c r="Q13" i="4"/>
  <c r="T10" i="703"/>
  <c r="J58" i="474"/>
  <c r="I20" i="704"/>
  <c r="E78" i="474"/>
  <c r="O11" i="703"/>
  <c r="R12" i="346"/>
  <c r="H14" i="52"/>
  <c r="T16" i="703"/>
  <c r="C17" i="4"/>
  <c r="K53" i="474"/>
  <c r="G19" i="52"/>
  <c r="T23" i="701"/>
  <c r="J17" i="346"/>
  <c r="X20" i="346"/>
  <c r="U13" i="701"/>
  <c r="M27" i="702"/>
  <c r="Y17" i="702"/>
  <c r="Y9" i="346"/>
  <c r="Z13" i="702"/>
  <c r="Z15" i="702"/>
  <c r="Y13" i="701"/>
  <c r="E10" i="474"/>
  <c r="F16" i="703"/>
  <c r="AJ16" i="703" s="1"/>
  <c r="Q24" i="703"/>
  <c r="O24" i="703"/>
  <c r="O12" i="702"/>
  <c r="O40" i="702" s="1"/>
  <c r="S22" i="702"/>
  <c r="U22" i="702" s="1"/>
  <c r="AA16" i="702"/>
  <c r="K9" i="701"/>
  <c r="H12" i="703"/>
  <c r="T22" i="704"/>
  <c r="M18" i="346"/>
  <c r="J87" i="474"/>
  <c r="V17" i="704"/>
  <c r="X21" i="703"/>
  <c r="T11" i="346"/>
  <c r="AD11" i="346" s="1"/>
  <c r="I103" i="474"/>
  <c r="E83" i="474"/>
  <c r="T18" i="701"/>
  <c r="AD18" i="701" s="1"/>
  <c r="Y16" i="701"/>
  <c r="S14" i="704"/>
  <c r="U14" i="704" s="1"/>
  <c r="S21" i="701"/>
  <c r="V8" i="704"/>
  <c r="P12" i="346"/>
  <c r="AC12" i="346" s="1"/>
  <c r="AC43" i="701"/>
  <c r="H14" i="702"/>
  <c r="L14" i="346"/>
  <c r="O9" i="346"/>
  <c r="Z17" i="704"/>
  <c r="V25" i="703"/>
  <c r="R10" i="346"/>
  <c r="K14" i="702"/>
  <c r="J12" i="704"/>
  <c r="Z26" i="703"/>
  <c r="I9" i="701"/>
  <c r="I29" i="701" s="1"/>
  <c r="H38" i="474"/>
  <c r="K58" i="474"/>
  <c r="K62" i="474"/>
  <c r="T13" i="702"/>
  <c r="T13" i="701"/>
  <c r="U19" i="701"/>
  <c r="Y21" i="704"/>
  <c r="R11" i="704"/>
  <c r="Q18" i="701"/>
  <c r="K10" i="701"/>
  <c r="AA26" i="703"/>
  <c r="P15" i="703"/>
  <c r="Z19" i="346"/>
  <c r="P16" i="704"/>
  <c r="AC16" i="704" s="1"/>
  <c r="K24" i="704"/>
  <c r="J84" i="474"/>
  <c r="H98" i="474"/>
  <c r="Z18" i="701"/>
  <c r="I18" i="704"/>
  <c r="Z12" i="702"/>
  <c r="W27" i="703"/>
  <c r="J17" i="701"/>
  <c r="P24" i="703"/>
  <c r="S15" i="704"/>
  <c r="R27" i="704"/>
  <c r="X12" i="703"/>
  <c r="H39" i="474"/>
  <c r="G21" i="703"/>
  <c r="Z25" i="701"/>
  <c r="R25" i="704"/>
  <c r="H24" i="703"/>
  <c r="C13" i="346"/>
  <c r="K23" i="704"/>
  <c r="H27" i="702"/>
  <c r="J13" i="346"/>
  <c r="N9" i="702"/>
  <c r="I12" i="701"/>
  <c r="W23" i="703"/>
  <c r="F26" i="346"/>
  <c r="AJ26" i="346" s="1"/>
  <c r="H25" i="346"/>
  <c r="K16" i="701"/>
  <c r="T12" i="702"/>
  <c r="W24" i="701"/>
  <c r="I66" i="474"/>
  <c r="R12" i="702"/>
  <c r="Q22" i="346"/>
  <c r="K18" i="702"/>
  <c r="U8" i="702"/>
  <c r="Q26" i="702"/>
  <c r="C9" i="702"/>
  <c r="AI9" i="702" s="1"/>
  <c r="R11" i="703"/>
  <c r="H27" i="346"/>
  <c r="H14" i="474"/>
  <c r="F10" i="704"/>
  <c r="AJ10" i="704" s="1"/>
  <c r="AN10" i="704" s="1"/>
  <c r="T12" i="346"/>
  <c r="AD12" i="346" s="1"/>
  <c r="AA10" i="346"/>
  <c r="N11" i="346"/>
  <c r="R26" i="704"/>
  <c r="Y18" i="701"/>
  <c r="O27" i="701"/>
  <c r="K88" i="474"/>
  <c r="U26" i="703"/>
  <c r="F11" i="52"/>
  <c r="K17" i="474"/>
  <c r="V19" i="703"/>
  <c r="D18" i="786"/>
  <c r="O18" i="701"/>
  <c r="O14" i="703"/>
  <c r="AA11" i="701"/>
  <c r="X9" i="702"/>
  <c r="X16" i="702"/>
  <c r="W19" i="703"/>
  <c r="AN19" i="703" s="1"/>
  <c r="N20" i="703"/>
  <c r="S21" i="703"/>
  <c r="H89" i="474"/>
  <c r="AA20" i="702"/>
  <c r="V8" i="703"/>
  <c r="J102" i="474"/>
  <c r="R14" i="701"/>
  <c r="S8" i="701"/>
  <c r="N22" i="704"/>
  <c r="H19" i="702"/>
  <c r="O19" i="702"/>
  <c r="X8" i="346"/>
  <c r="V9" i="701"/>
  <c r="E19" i="474"/>
  <c r="J21" i="346"/>
  <c r="O24" i="702"/>
  <c r="P25" i="702"/>
  <c r="K98" i="474"/>
  <c r="I28" i="474"/>
  <c r="AA22" i="701"/>
  <c r="Q20" i="702"/>
  <c r="Z9" i="346"/>
  <c r="R22" i="701"/>
  <c r="Q21" i="704"/>
  <c r="H74" i="474"/>
  <c r="T15" i="704"/>
  <c r="AD15" i="704" s="1"/>
  <c r="G14" i="4"/>
  <c r="H65" i="701"/>
  <c r="I65" i="701" s="1"/>
  <c r="I8" i="52"/>
  <c r="D8" i="52" s="1"/>
  <c r="F18" i="52"/>
  <c r="I22" i="52"/>
  <c r="H50" i="701"/>
  <c r="I50" i="701" s="1"/>
  <c r="N19" i="703"/>
  <c r="H55" i="704"/>
  <c r="I55" i="704" s="1"/>
  <c r="I76" i="704" s="1"/>
  <c r="I36" i="704" s="1"/>
  <c r="X10" i="702"/>
  <c r="I21" i="474"/>
  <c r="AM232" i="2"/>
  <c r="AV232" i="2" s="1"/>
  <c r="X52" i="2"/>
  <c r="Y52" i="2"/>
  <c r="AL52" i="2" s="1"/>
  <c r="AU52" i="2" s="1"/>
  <c r="Z52" i="2"/>
  <c r="AM52" i="2" s="1"/>
  <c r="AV52" i="2" s="1"/>
  <c r="AG52" i="2"/>
  <c r="AH50" i="2" s="1"/>
  <c r="AC23" i="707"/>
  <c r="I20" i="4"/>
  <c r="H22" i="4"/>
  <c r="K24" i="346"/>
  <c r="C21" i="346"/>
  <c r="L14" i="4"/>
  <c r="F23" i="702"/>
  <c r="AJ23" i="702" s="1"/>
  <c r="K19" i="4"/>
  <c r="AA11" i="346"/>
  <c r="H20" i="346"/>
  <c r="H15" i="703"/>
  <c r="G10" i="701"/>
  <c r="F15" i="703"/>
  <c r="AJ15" i="703" s="1"/>
  <c r="AN15" i="703" s="1"/>
  <c r="I27" i="702"/>
  <c r="AA16" i="703"/>
  <c r="AA31" i="703" s="1"/>
  <c r="O10" i="346"/>
  <c r="G16" i="702"/>
  <c r="S22" i="703"/>
  <c r="W13" i="704"/>
  <c r="J23" i="474"/>
  <c r="O27" i="346"/>
  <c r="S12" i="701"/>
  <c r="R19" i="702"/>
  <c r="H17" i="346"/>
  <c r="K25" i="346"/>
  <c r="H64" i="701"/>
  <c r="I64" i="701" s="1"/>
  <c r="K16" i="474"/>
  <c r="P20" i="707"/>
  <c r="AC20" i="707" s="1"/>
  <c r="J13" i="707"/>
  <c r="U20" i="707"/>
  <c r="T9" i="706"/>
  <c r="V10" i="707"/>
  <c r="F13" i="707"/>
  <c r="AJ13" i="707" s="1"/>
  <c r="AN13" i="707" s="1"/>
  <c r="G24" i="346"/>
  <c r="Q9" i="4"/>
  <c r="U12" i="703"/>
  <c r="M9" i="4"/>
  <c r="K15" i="474"/>
  <c r="R27" i="702"/>
  <c r="R31" i="702" s="1"/>
  <c r="H82" i="474"/>
  <c r="J33" i="474"/>
  <c r="K12" i="703"/>
  <c r="Q25" i="701"/>
  <c r="Z13" i="346"/>
  <c r="I22" i="704"/>
  <c r="F24" i="701"/>
  <c r="AJ24" i="701" s="1"/>
  <c r="R11" i="702"/>
  <c r="H91" i="474"/>
  <c r="Y25" i="704"/>
  <c r="S17" i="703"/>
  <c r="F21" i="704"/>
  <c r="AJ21" i="704" s="1"/>
  <c r="AN21" i="704" s="1"/>
  <c r="X20" i="701"/>
  <c r="J43" i="474"/>
  <c r="J14" i="703"/>
  <c r="K15" i="703"/>
  <c r="Q16" i="704"/>
  <c r="S18" i="701"/>
  <c r="Q26" i="346"/>
  <c r="J17" i="704"/>
  <c r="H67" i="474"/>
  <c r="H69" i="704"/>
  <c r="I69" i="704" s="1"/>
  <c r="T14" i="706"/>
  <c r="AD14" i="706" s="1"/>
  <c r="F16" i="707"/>
  <c r="AJ16" i="707" s="1"/>
  <c r="AN16" i="707" s="1"/>
  <c r="P23" i="705"/>
  <c r="I25" i="707"/>
  <c r="R23" i="705"/>
  <c r="N11" i="706"/>
  <c r="K23" i="707"/>
  <c r="H59" i="707"/>
  <c r="I59" i="707" s="1"/>
  <c r="U18" i="704"/>
  <c r="U24" i="4"/>
  <c r="C13" i="4"/>
  <c r="F22" i="52"/>
  <c r="F17" i="52"/>
  <c r="J80" i="474"/>
  <c r="T14" i="703"/>
  <c r="AD14" i="703" s="1"/>
  <c r="R27" i="346"/>
  <c r="W14" i="701"/>
  <c r="J19" i="474"/>
  <c r="X25" i="346"/>
  <c r="AA23" i="704"/>
  <c r="H11" i="704"/>
  <c r="P14" i="703"/>
  <c r="AC14" i="703" s="1"/>
  <c r="H17" i="704"/>
  <c r="V27" i="704"/>
  <c r="M11" i="701"/>
  <c r="P17" i="701"/>
  <c r="K41" i="474"/>
  <c r="M17" i="701"/>
  <c r="Y18" i="702"/>
  <c r="Q17" i="346"/>
  <c r="S20" i="703"/>
  <c r="C27" i="703"/>
  <c r="F17" i="701"/>
  <c r="AJ17" i="701" s="1"/>
  <c r="AN17" i="701" s="1"/>
  <c r="P14" i="704"/>
  <c r="AC14" i="704" s="1"/>
  <c r="G22" i="346"/>
  <c r="C17" i="704"/>
  <c r="AI17" i="704" s="1"/>
  <c r="H50" i="346"/>
  <c r="I50" i="346" s="1"/>
  <c r="G19" i="707"/>
  <c r="N10" i="707"/>
  <c r="H9" i="708"/>
  <c r="N15" i="707"/>
  <c r="G11" i="705"/>
  <c r="S12" i="707"/>
  <c r="M17" i="707"/>
  <c r="K13" i="705"/>
  <c r="M20" i="707"/>
  <c r="L25" i="705"/>
  <c r="G25" i="707"/>
  <c r="W18" i="703"/>
  <c r="F26" i="4"/>
  <c r="J76" i="474"/>
  <c r="J23" i="4"/>
  <c r="W12" i="703"/>
  <c r="I17" i="701"/>
  <c r="F27" i="346"/>
  <c r="AJ27" i="346" s="1"/>
  <c r="AA17" i="701"/>
  <c r="M11" i="346"/>
  <c r="N24" i="704"/>
  <c r="I25" i="701"/>
  <c r="L25" i="346"/>
  <c r="N25" i="346" s="1"/>
  <c r="Y13" i="346"/>
  <c r="M15" i="704"/>
  <c r="H73" i="474"/>
  <c r="F16" i="701"/>
  <c r="AJ16" i="701" s="1"/>
  <c r="AN16" i="701" s="1"/>
  <c r="W11" i="701"/>
  <c r="M18" i="702"/>
  <c r="Y14" i="704"/>
  <c r="J19" i="703"/>
  <c r="E32" i="474"/>
  <c r="J10" i="702"/>
  <c r="Z20" i="346"/>
  <c r="I17" i="702"/>
  <c r="H24" i="704"/>
  <c r="C17" i="52"/>
  <c r="H64" i="702"/>
  <c r="I64" i="702" s="1"/>
  <c r="V12" i="707"/>
  <c r="R18" i="705"/>
  <c r="S8" i="708"/>
  <c r="U8" i="708" s="1"/>
  <c r="G8" i="706"/>
  <c r="F12" i="708"/>
  <c r="AJ12" i="708" s="1"/>
  <c r="AN12" i="708" s="1"/>
  <c r="N16" i="705"/>
  <c r="X24" i="707"/>
  <c r="S19" i="705"/>
  <c r="U19" i="705" s="1"/>
  <c r="P25" i="705"/>
  <c r="AC25" i="705" s="1"/>
  <c r="R9" i="4"/>
  <c r="H24" i="4"/>
  <c r="J22" i="474"/>
  <c r="L22" i="703"/>
  <c r="N22" i="703" s="1"/>
  <c r="O10" i="704"/>
  <c r="O29" i="704" s="1"/>
  <c r="I24" i="346"/>
  <c r="W24" i="346"/>
  <c r="H85" i="474"/>
  <c r="J18" i="474"/>
  <c r="J24" i="702"/>
  <c r="V10" i="704"/>
  <c r="J9" i="704"/>
  <c r="R15" i="346"/>
  <c r="P9" i="702"/>
  <c r="AC9" i="702" s="1"/>
  <c r="C19" i="701"/>
  <c r="AI19" i="701" s="1"/>
  <c r="H22" i="474"/>
  <c r="AA20" i="701"/>
  <c r="F20" i="704"/>
  <c r="AJ20" i="704" s="1"/>
  <c r="AN20" i="704" s="1"/>
  <c r="K19" i="474"/>
  <c r="J10" i="701"/>
  <c r="J32" i="701" s="1"/>
  <c r="I91" i="474"/>
  <c r="I75" i="474"/>
  <c r="X13" i="346"/>
  <c r="H56" i="701"/>
  <c r="I56" i="701" s="1"/>
  <c r="K25" i="707"/>
  <c r="K26" i="707"/>
  <c r="X21" i="705"/>
  <c r="J11" i="706"/>
  <c r="G10" i="707"/>
  <c r="H49" i="707"/>
  <c r="I49" i="707" s="1"/>
  <c r="H51" i="705"/>
  <c r="I51" i="705" s="1"/>
  <c r="Y13" i="705"/>
  <c r="Q11" i="705"/>
  <c r="Q30" i="705" s="1"/>
  <c r="S28" i="706"/>
  <c r="F7" i="52"/>
  <c r="K20" i="4"/>
  <c r="V24" i="4"/>
  <c r="U23" i="4"/>
  <c r="F15" i="4"/>
  <c r="U9" i="346"/>
  <c r="I22" i="701"/>
  <c r="O26" i="346"/>
  <c r="U26" i="346"/>
  <c r="T23" i="346"/>
  <c r="E71" i="474"/>
  <c r="AA27" i="701"/>
  <c r="G13" i="702"/>
  <c r="E93" i="474"/>
  <c r="AA19" i="702"/>
  <c r="I11" i="703"/>
  <c r="Q16" i="701"/>
  <c r="X20" i="702"/>
  <c r="I24" i="704"/>
  <c r="R26" i="703"/>
  <c r="C13" i="704"/>
  <c r="AI13" i="704" s="1"/>
  <c r="Q11" i="702"/>
  <c r="Z15" i="701"/>
  <c r="I59" i="474"/>
  <c r="I13" i="52"/>
  <c r="H59" i="701"/>
  <c r="I59" i="701" s="1"/>
  <c r="AM50" i="2"/>
  <c r="C15" i="706"/>
  <c r="AI15" i="706" s="1"/>
  <c r="O19" i="705"/>
  <c r="P8" i="705"/>
  <c r="T14" i="705"/>
  <c r="AD14" i="705" s="1"/>
  <c r="Y26" i="707"/>
  <c r="T15" i="706"/>
  <c r="AD15" i="706" s="1"/>
  <c r="C13" i="705"/>
  <c r="AI13" i="705" s="1"/>
  <c r="S17" i="707"/>
  <c r="F12" i="4"/>
  <c r="X14" i="346"/>
  <c r="U27" i="4"/>
  <c r="K15" i="4"/>
  <c r="S12" i="703"/>
  <c r="H46" i="474"/>
  <c r="J63" i="474"/>
  <c r="I27" i="346"/>
  <c r="Y9" i="704"/>
  <c r="Y30" i="704" s="1"/>
  <c r="Y35" i="704" s="1"/>
  <c r="F11" i="702"/>
  <c r="AJ11" i="702" s="1"/>
  <c r="AN11" i="702" s="1"/>
  <c r="V10" i="702"/>
  <c r="I40" i="474"/>
  <c r="C16" i="704"/>
  <c r="AI16" i="704" s="1"/>
  <c r="J27" i="703"/>
  <c r="E68" i="474"/>
  <c r="W23" i="346"/>
  <c r="J25" i="701"/>
  <c r="S19" i="701"/>
  <c r="W15" i="346"/>
  <c r="P14" i="702"/>
  <c r="AC14" i="702" s="1"/>
  <c r="L23" i="701"/>
  <c r="AA10" i="703"/>
  <c r="M22" i="702"/>
  <c r="G17" i="701"/>
  <c r="X12" i="704"/>
  <c r="H57" i="704"/>
  <c r="I57" i="704" s="1"/>
  <c r="C14" i="346"/>
  <c r="R9" i="705"/>
  <c r="H12" i="705"/>
  <c r="P24" i="705"/>
  <c r="AC24" i="705" s="1"/>
  <c r="T21" i="705"/>
  <c r="AD21" i="705" s="1"/>
  <c r="S11" i="708"/>
  <c r="H40" i="706"/>
  <c r="I40" i="706" s="1"/>
  <c r="W11" i="706"/>
  <c r="H53" i="707"/>
  <c r="I53" i="707" s="1"/>
  <c r="T10" i="702"/>
  <c r="AD10" i="702" s="1"/>
  <c r="K26" i="4"/>
  <c r="G27" i="704"/>
  <c r="M24" i="4"/>
  <c r="U20" i="701"/>
  <c r="X17" i="702"/>
  <c r="C25" i="701"/>
  <c r="U17" i="703"/>
  <c r="H108" i="474"/>
  <c r="J11" i="346"/>
  <c r="U16" i="703"/>
  <c r="AD39" i="704"/>
  <c r="AA25" i="703"/>
  <c r="Z9" i="701"/>
  <c r="E75" i="474"/>
  <c r="AA21" i="702"/>
  <c r="R13" i="702"/>
  <c r="N18" i="701"/>
  <c r="M19" i="702"/>
  <c r="P19" i="704"/>
  <c r="AC19" i="704" s="1"/>
  <c r="S26" i="702"/>
  <c r="U26" i="702" s="1"/>
  <c r="AA15" i="703"/>
  <c r="H16" i="702"/>
  <c r="AA12" i="704"/>
  <c r="O23" i="703"/>
  <c r="V27" i="346"/>
  <c r="C24" i="346"/>
  <c r="AR24" i="346" s="1"/>
  <c r="G15" i="707"/>
  <c r="H21" i="705"/>
  <c r="Y15" i="706"/>
  <c r="Y10" i="705"/>
  <c r="U9" i="707"/>
  <c r="W14" i="706"/>
  <c r="AC14" i="706" s="1"/>
  <c r="G17" i="705"/>
  <c r="V9" i="705"/>
  <c r="R8" i="706"/>
  <c r="R28" i="706" s="1"/>
  <c r="M11" i="707"/>
  <c r="V15" i="706"/>
  <c r="P26" i="346"/>
  <c r="I11" i="52"/>
  <c r="H11" i="52" s="1"/>
  <c r="G18" i="703"/>
  <c r="Z23" i="704"/>
  <c r="R22" i="702"/>
  <c r="G22" i="52"/>
  <c r="L12" i="707"/>
  <c r="L15" i="706"/>
  <c r="C17" i="707"/>
  <c r="AI17" i="707" s="1"/>
  <c r="Y14" i="707"/>
  <c r="W15" i="705"/>
  <c r="AC15" i="705" s="1"/>
  <c r="X11" i="706"/>
  <c r="N9" i="705"/>
  <c r="R22" i="707"/>
  <c r="Q22" i="707"/>
  <c r="Y16" i="705"/>
  <c r="T13" i="705"/>
  <c r="AD13" i="705" s="1"/>
  <c r="K10" i="706"/>
  <c r="H19" i="705"/>
  <c r="P11" i="708"/>
  <c r="AC11" i="708" s="1"/>
  <c r="Z22" i="707"/>
  <c r="K10" i="705"/>
  <c r="K31" i="705" s="1"/>
  <c r="V14" i="707"/>
  <c r="T23" i="707"/>
  <c r="AD23" i="707" s="1"/>
  <c r="R8" i="707"/>
  <c r="N10" i="705"/>
  <c r="N33" i="705" s="1"/>
  <c r="F19" i="705"/>
  <c r="AJ19" i="705" s="1"/>
  <c r="AN19" i="705" s="1"/>
  <c r="P26" i="707"/>
  <c r="Y8" i="705"/>
  <c r="C22" i="707"/>
  <c r="O22" i="707"/>
  <c r="Z21" i="705"/>
  <c r="X9" i="708"/>
  <c r="I9" i="705"/>
  <c r="R26" i="707"/>
  <c r="W22" i="707"/>
  <c r="R15" i="707"/>
  <c r="K19" i="707"/>
  <c r="X15" i="707"/>
  <c r="X8" i="706"/>
  <c r="X28" i="706" s="1"/>
  <c r="X8" i="707"/>
  <c r="J15" i="706"/>
  <c r="X12" i="706"/>
  <c r="P22" i="707"/>
  <c r="F8" i="707"/>
  <c r="AJ8" i="707" s="1"/>
  <c r="AN8" i="707" s="1"/>
  <c r="Y21" i="705"/>
  <c r="Q14" i="705"/>
  <c r="AD25" i="708"/>
  <c r="Y17" i="705"/>
  <c r="V21" i="705"/>
  <c r="I26" i="705"/>
  <c r="C10" i="706"/>
  <c r="AI10" i="706" s="1"/>
  <c r="C16" i="705"/>
  <c r="AI16" i="705" s="1"/>
  <c r="V13" i="707"/>
  <c r="V24" i="707"/>
  <c r="Q18" i="705"/>
  <c r="P18" i="705"/>
  <c r="I24" i="707"/>
  <c r="P20" i="705"/>
  <c r="AC20" i="705" s="1"/>
  <c r="I12" i="705"/>
  <c r="X25" i="705"/>
  <c r="Y18" i="705"/>
  <c r="H20" i="707"/>
  <c r="J11" i="705"/>
  <c r="H14" i="705"/>
  <c r="P8" i="707"/>
  <c r="Z13" i="707"/>
  <c r="Z30" i="707" s="1"/>
  <c r="H41" i="706"/>
  <c r="I41" i="706" s="1"/>
  <c r="O12" i="4"/>
  <c r="C21" i="4"/>
  <c r="F29" i="52"/>
  <c r="C24" i="52"/>
  <c r="O21" i="4"/>
  <c r="U22" i="4"/>
  <c r="AA14" i="702"/>
  <c r="S21" i="4"/>
  <c r="W16" i="704"/>
  <c r="Q22" i="4"/>
  <c r="G19" i="4"/>
  <c r="E17" i="52"/>
  <c r="F22" i="703"/>
  <c r="AJ22" i="703" s="1"/>
  <c r="V18" i="4"/>
  <c r="C8" i="704"/>
  <c r="AI8" i="704" s="1"/>
  <c r="J85" i="474"/>
  <c r="I18" i="703"/>
  <c r="U10" i="4"/>
  <c r="Y24" i="346"/>
  <c r="I36" i="474"/>
  <c r="O20" i="702"/>
  <c r="C26" i="702"/>
  <c r="R8" i="4"/>
  <c r="R9" i="703"/>
  <c r="I23" i="4"/>
  <c r="N12" i="703"/>
  <c r="K13" i="4"/>
  <c r="R23" i="4"/>
  <c r="U15" i="704"/>
  <c r="J16" i="4"/>
  <c r="F23" i="52"/>
  <c r="J25" i="703"/>
  <c r="H24" i="346"/>
  <c r="F25" i="4"/>
  <c r="I52" i="474"/>
  <c r="I22" i="4"/>
  <c r="Z18" i="703"/>
  <c r="P19" i="703"/>
  <c r="AC19" i="703" s="1"/>
  <c r="P27" i="4"/>
  <c r="Y27" i="4" s="1"/>
  <c r="C12" i="52"/>
  <c r="M27" i="4"/>
  <c r="I9" i="52"/>
  <c r="J51" i="474"/>
  <c r="G21" i="52"/>
  <c r="H65" i="346"/>
  <c r="I65" i="346" s="1"/>
  <c r="G13" i="52"/>
  <c r="H65" i="702"/>
  <c r="I65" i="702" s="1"/>
  <c r="P26" i="4"/>
  <c r="Y26" i="4" s="1"/>
  <c r="L11" i="703"/>
  <c r="O9" i="701"/>
  <c r="M16" i="701"/>
  <c r="K21" i="346"/>
  <c r="H11" i="346"/>
  <c r="R17" i="346"/>
  <c r="H41" i="474"/>
  <c r="U14" i="702"/>
  <c r="I22" i="702"/>
  <c r="C14" i="52"/>
  <c r="G11" i="702"/>
  <c r="U21" i="703"/>
  <c r="Y9" i="701"/>
  <c r="Z10" i="704"/>
  <c r="T27" i="703"/>
  <c r="E64" i="474"/>
  <c r="H101" i="474"/>
  <c r="AA25" i="704"/>
  <c r="AA16" i="704"/>
  <c r="L23" i="702"/>
  <c r="M22" i="346"/>
  <c r="J9" i="701"/>
  <c r="P20" i="702"/>
  <c r="AC20" i="702" s="1"/>
  <c r="M24" i="704"/>
  <c r="D15" i="52"/>
  <c r="J75" i="474"/>
  <c r="I13" i="702"/>
  <c r="I18" i="474"/>
  <c r="V19" i="702"/>
  <c r="Y20" i="703"/>
  <c r="L20" i="346"/>
  <c r="I85" i="474"/>
  <c r="R14" i="704"/>
  <c r="L9" i="346"/>
  <c r="W20" i="704"/>
  <c r="AA20" i="703"/>
  <c r="Q8" i="703"/>
  <c r="M10" i="702"/>
  <c r="G27" i="701"/>
  <c r="K105" i="474"/>
  <c r="H10" i="704"/>
  <c r="N18" i="346"/>
  <c r="K76" i="474"/>
  <c r="AA16" i="346"/>
  <c r="U24" i="704"/>
  <c r="Z19" i="702"/>
  <c r="AA26" i="346"/>
  <c r="L23" i="704"/>
  <c r="G23" i="703"/>
  <c r="M23" i="701"/>
  <c r="F23" i="704"/>
  <c r="AJ23" i="704" s="1"/>
  <c r="Q27" i="704"/>
  <c r="K20" i="346"/>
  <c r="W8" i="703"/>
  <c r="V16" i="702"/>
  <c r="N27" i="346"/>
  <c r="P23" i="703"/>
  <c r="T21" i="702"/>
  <c r="M21" i="703"/>
  <c r="S11" i="704"/>
  <c r="P14" i="701"/>
  <c r="AC14" i="701" s="1"/>
  <c r="K71" i="474"/>
  <c r="V9" i="346"/>
  <c r="AU9" i="346" s="1"/>
  <c r="U11" i="346"/>
  <c r="I86" i="474"/>
  <c r="T19" i="703"/>
  <c r="AD19" i="703" s="1"/>
  <c r="J16" i="474"/>
  <c r="U16" i="704"/>
  <c r="R12" i="704"/>
  <c r="AA27" i="702"/>
  <c r="M25" i="702"/>
  <c r="P26" i="704"/>
  <c r="V15" i="346"/>
  <c r="AU15" i="346" s="1"/>
  <c r="N21" i="346"/>
  <c r="X17" i="346"/>
  <c r="U12" i="346"/>
  <c r="K9" i="4"/>
  <c r="K108" i="474"/>
  <c r="C13" i="702"/>
  <c r="AI13" i="702" s="1"/>
  <c r="V22" i="703"/>
  <c r="F15" i="346"/>
  <c r="AJ15" i="346" s="1"/>
  <c r="AN15" i="346" s="1"/>
  <c r="N19" i="346"/>
  <c r="L19" i="346"/>
  <c r="K13" i="701"/>
  <c r="R27" i="701"/>
  <c r="K13" i="474"/>
  <c r="N11" i="704"/>
  <c r="K10" i="346"/>
  <c r="K32" i="346" s="1"/>
  <c r="E29" i="474"/>
  <c r="Q9" i="702"/>
  <c r="L11" i="346"/>
  <c r="M19" i="703"/>
  <c r="S23" i="704"/>
  <c r="U23" i="704" s="1"/>
  <c r="L18" i="703"/>
  <c r="J8" i="704"/>
  <c r="S10" i="346"/>
  <c r="J14" i="346"/>
  <c r="E67" i="474"/>
  <c r="J20" i="346"/>
  <c r="E35" i="474"/>
  <c r="C26" i="704"/>
  <c r="F19" i="704"/>
  <c r="AJ19" i="704" s="1"/>
  <c r="AN19" i="704" s="1"/>
  <c r="G8" i="703"/>
  <c r="P19" i="702"/>
  <c r="AC19" i="702" s="1"/>
  <c r="R21" i="702"/>
  <c r="V22" i="702"/>
  <c r="I44" i="474"/>
  <c r="I10" i="701"/>
  <c r="N27" i="701"/>
  <c r="K27" i="701"/>
  <c r="R14" i="703"/>
  <c r="H13" i="701"/>
  <c r="Q23" i="702"/>
  <c r="W11" i="702"/>
  <c r="W29" i="702" s="1"/>
  <c r="K79" i="474"/>
  <c r="M10" i="703"/>
  <c r="X17" i="701"/>
  <c r="N15" i="701"/>
  <c r="AC41" i="704"/>
  <c r="R26" i="702"/>
  <c r="N14" i="701"/>
  <c r="R13" i="346"/>
  <c r="O24" i="346"/>
  <c r="J39" i="474"/>
  <c r="I47" i="474"/>
  <c r="J21" i="704"/>
  <c r="P11" i="704"/>
  <c r="Y11" i="703"/>
  <c r="S9" i="704"/>
  <c r="V24" i="704"/>
  <c r="S16" i="704"/>
  <c r="V18" i="704"/>
  <c r="V23" i="701"/>
  <c r="U10" i="704"/>
  <c r="M14" i="701"/>
  <c r="J15" i="702"/>
  <c r="C18" i="703"/>
  <c r="AI18" i="703" s="1"/>
  <c r="H20" i="474"/>
  <c r="Z10" i="346"/>
  <c r="Z30" i="346" s="1"/>
  <c r="I92" i="474"/>
  <c r="H63" i="474"/>
  <c r="Q10" i="703"/>
  <c r="K42" i="474"/>
  <c r="X21" i="702"/>
  <c r="J27" i="704"/>
  <c r="Z13" i="704"/>
  <c r="E31" i="474"/>
  <c r="Z22" i="346"/>
  <c r="Q17" i="702"/>
  <c r="C16" i="702"/>
  <c r="AI16" i="702" s="1"/>
  <c r="R22" i="4"/>
  <c r="H28" i="474"/>
  <c r="O10" i="703"/>
  <c r="H56" i="346"/>
  <c r="I56" i="346" s="1"/>
  <c r="H47" i="702"/>
  <c r="I47" i="702" s="1"/>
  <c r="H47" i="701"/>
  <c r="I47" i="701" s="1"/>
  <c r="H66" i="704"/>
  <c r="I66" i="704" s="1"/>
  <c r="H53" i="703"/>
  <c r="I53" i="703" s="1"/>
  <c r="H61" i="702"/>
  <c r="I61" i="702" s="1"/>
  <c r="F11" i="704"/>
  <c r="AJ11" i="704" s="1"/>
  <c r="H60" i="703"/>
  <c r="I60" i="703" s="1"/>
  <c r="H66" i="702"/>
  <c r="I66" i="702" s="1"/>
  <c r="H64" i="704"/>
  <c r="I64" i="704" s="1"/>
  <c r="L16" i="702"/>
  <c r="W8" i="346"/>
  <c r="U52" i="2"/>
  <c r="X51" i="2"/>
  <c r="Y51" i="2"/>
  <c r="AL51" i="2" s="1"/>
  <c r="AU51" i="2" s="1"/>
  <c r="Z51" i="2"/>
  <c r="AJ51" i="2"/>
  <c r="G26" i="4"/>
  <c r="S26" i="4"/>
  <c r="V13" i="4"/>
  <c r="F13" i="4"/>
  <c r="C11" i="4"/>
  <c r="G24" i="701"/>
  <c r="T21" i="346"/>
  <c r="M15" i="346"/>
  <c r="L19" i="701"/>
  <c r="K21" i="702"/>
  <c r="N11" i="703"/>
  <c r="O20" i="346"/>
  <c r="I11" i="702"/>
  <c r="AA10" i="704"/>
  <c r="S25" i="4"/>
  <c r="Z15" i="346"/>
  <c r="X19" i="702"/>
  <c r="E82" i="474"/>
  <c r="I23" i="703"/>
  <c r="W21" i="704"/>
  <c r="X15" i="704"/>
  <c r="C15" i="52"/>
  <c r="J9" i="706"/>
  <c r="T8" i="708"/>
  <c r="P11" i="706"/>
  <c r="V8" i="708"/>
  <c r="C21" i="707"/>
  <c r="R25" i="707"/>
  <c r="P15" i="707"/>
  <c r="H23" i="707"/>
  <c r="G24" i="705"/>
  <c r="Q22" i="705"/>
  <c r="Y22" i="707"/>
  <c r="H39" i="706"/>
  <c r="I39" i="706" s="1"/>
  <c r="T12" i="4"/>
  <c r="C26" i="4"/>
  <c r="H19" i="703"/>
  <c r="C19" i="703"/>
  <c r="AI19" i="703" s="1"/>
  <c r="V15" i="704"/>
  <c r="AA18" i="346"/>
  <c r="E62" i="474"/>
  <c r="I9" i="346"/>
  <c r="X17" i="703"/>
  <c r="T24" i="701"/>
  <c r="O14" i="346"/>
  <c r="AA19" i="701"/>
  <c r="H97" i="474"/>
  <c r="AA12" i="703"/>
  <c r="J23" i="701"/>
  <c r="X29" i="703"/>
  <c r="X34" i="703" s="1"/>
  <c r="X31" i="703"/>
  <c r="X36" i="703" s="1"/>
  <c r="W16" i="702"/>
  <c r="N18" i="703"/>
  <c r="V27" i="703"/>
  <c r="U9" i="704"/>
  <c r="Q21" i="701"/>
  <c r="M20" i="701"/>
  <c r="M20" i="702"/>
  <c r="Y17" i="346"/>
  <c r="Q12" i="702"/>
  <c r="M22" i="703"/>
  <c r="H57" i="703"/>
  <c r="I57" i="703" s="1"/>
  <c r="AA15" i="705"/>
  <c r="T11" i="708"/>
  <c r="AD11" i="708" s="1"/>
  <c r="P26" i="705"/>
  <c r="AC26" i="705" s="1"/>
  <c r="H11" i="705"/>
  <c r="O17" i="707"/>
  <c r="O33" i="707" s="1"/>
  <c r="R14" i="705"/>
  <c r="Y8" i="706"/>
  <c r="AA16" i="705"/>
  <c r="H56" i="705"/>
  <c r="I56" i="705" s="1"/>
  <c r="H19" i="4"/>
  <c r="Y11" i="704"/>
  <c r="P12" i="703"/>
  <c r="M10" i="4"/>
  <c r="S14" i="4"/>
  <c r="E103" i="474"/>
  <c r="C17" i="703"/>
  <c r="AI17" i="703" s="1"/>
  <c r="G13" i="346"/>
  <c r="F23" i="701"/>
  <c r="AJ23" i="701" s="1"/>
  <c r="AN23" i="701" s="1"/>
  <c r="Q27" i="701"/>
  <c r="Y17" i="703"/>
  <c r="K19" i="701"/>
  <c r="G19" i="704"/>
  <c r="C10" i="702"/>
  <c r="AI10" i="702" s="1"/>
  <c r="H57" i="474"/>
  <c r="H12" i="704"/>
  <c r="H26" i="701"/>
  <c r="O12" i="704"/>
  <c r="K27" i="702"/>
  <c r="L27" i="704"/>
  <c r="N27" i="704" s="1"/>
  <c r="V10" i="701"/>
  <c r="V13" i="704"/>
  <c r="H58" i="702"/>
  <c r="I58" i="702" s="1"/>
  <c r="H19" i="707"/>
  <c r="W26" i="707"/>
  <c r="Y10" i="707"/>
  <c r="Y31" i="707" s="1"/>
  <c r="V11" i="708"/>
  <c r="Q20" i="705"/>
  <c r="R12" i="708"/>
  <c r="H37" i="708"/>
  <c r="I37" i="708" s="1"/>
  <c r="G20" i="707"/>
  <c r="K18" i="707"/>
  <c r="J21" i="4"/>
  <c r="R26" i="4"/>
  <c r="H27" i="704"/>
  <c r="O19" i="703"/>
  <c r="L15" i="4"/>
  <c r="H52" i="474"/>
  <c r="Q18" i="346"/>
  <c r="E69" i="474"/>
  <c r="F22" i="346"/>
  <c r="AJ22" i="346" s="1"/>
  <c r="X23" i="704"/>
  <c r="R21" i="701"/>
  <c r="Q19" i="702"/>
  <c r="R25" i="701"/>
  <c r="N10" i="346"/>
  <c r="Q31" i="702"/>
  <c r="Q30" i="702"/>
  <c r="Q40" i="702"/>
  <c r="R25" i="346"/>
  <c r="P13" i="702"/>
  <c r="V13" i="703"/>
  <c r="P11" i="703"/>
  <c r="J108" i="474"/>
  <c r="Q20" i="703"/>
  <c r="K22" i="704"/>
  <c r="V20" i="346"/>
  <c r="AU20" i="346" s="1"/>
  <c r="AW20" i="346" s="1"/>
  <c r="AX20" i="346" s="1"/>
  <c r="AY20" i="346" s="1"/>
  <c r="H63" i="703"/>
  <c r="I63" i="703" s="1"/>
  <c r="H8" i="706"/>
  <c r="O19" i="707"/>
  <c r="O15" i="705"/>
  <c r="S15" i="705"/>
  <c r="Y19" i="707"/>
  <c r="Y39" i="707" s="1"/>
  <c r="H64" i="707"/>
  <c r="I64" i="707" s="1"/>
  <c r="H49" i="705"/>
  <c r="I49" i="705" s="1"/>
  <c r="L12" i="705"/>
  <c r="X13" i="705"/>
  <c r="H63" i="707"/>
  <c r="I63" i="707" s="1"/>
  <c r="H10" i="52"/>
  <c r="T23" i="4"/>
  <c r="X11" i="704"/>
  <c r="N13" i="4"/>
  <c r="U13" i="4"/>
  <c r="I34" i="4"/>
  <c r="T27" i="701"/>
  <c r="P20" i="704"/>
  <c r="AC20" i="704" s="1"/>
  <c r="P24" i="346"/>
  <c r="S21" i="346"/>
  <c r="Z18" i="346"/>
  <c r="R17" i="701"/>
  <c r="H22" i="701"/>
  <c r="W18" i="701"/>
  <c r="I10" i="703"/>
  <c r="Q18" i="703"/>
  <c r="P21" i="346"/>
  <c r="W17" i="703"/>
  <c r="C12" i="346"/>
  <c r="G16" i="701"/>
  <c r="R20" i="704"/>
  <c r="N20" i="701"/>
  <c r="N12" i="346"/>
  <c r="C18" i="702"/>
  <c r="AI18" i="702" s="1"/>
  <c r="AM126" i="2"/>
  <c r="AV126" i="2" s="1"/>
  <c r="O9" i="706"/>
  <c r="U10" i="706"/>
  <c r="W10" i="707"/>
  <c r="AN10" i="707" s="1"/>
  <c r="T19" i="705"/>
  <c r="Q13" i="706"/>
  <c r="N21" i="705"/>
  <c r="Y25" i="705"/>
  <c r="Q8" i="706"/>
  <c r="Q28" i="706" s="1"/>
  <c r="V23" i="707"/>
  <c r="N25" i="4"/>
  <c r="X25" i="4" s="1"/>
  <c r="P18" i="4"/>
  <c r="J12" i="4"/>
  <c r="K47" i="474"/>
  <c r="N20" i="4"/>
  <c r="AC8" i="704"/>
  <c r="I63" i="474"/>
  <c r="S20" i="702"/>
  <c r="J28" i="474"/>
  <c r="I19" i="702"/>
  <c r="Z9" i="704"/>
  <c r="Z30" i="704" s="1"/>
  <c r="K20" i="701"/>
  <c r="F13" i="704"/>
  <c r="AJ13" i="704" s="1"/>
  <c r="AN13" i="704" s="1"/>
  <c r="P11" i="702"/>
  <c r="AC11" i="702" s="1"/>
  <c r="T25" i="346"/>
  <c r="AA11" i="702"/>
  <c r="N20" i="704"/>
  <c r="P9" i="701"/>
  <c r="G13" i="704"/>
  <c r="K11" i="704"/>
  <c r="G17" i="704"/>
  <c r="F10" i="703"/>
  <c r="AJ10" i="703" s="1"/>
  <c r="AN10" i="703" s="1"/>
  <c r="H23" i="702"/>
  <c r="M21" i="704"/>
  <c r="T24" i="702"/>
  <c r="N9" i="706"/>
  <c r="AC27" i="706"/>
  <c r="M19" i="707"/>
  <c r="L18" i="705"/>
  <c r="Z19" i="707"/>
  <c r="K26" i="705"/>
  <c r="O11" i="707"/>
  <c r="O28" i="707" s="1"/>
  <c r="M26" i="705"/>
  <c r="U17" i="705"/>
  <c r="Q11" i="706"/>
  <c r="K37" i="474"/>
  <c r="Y14" i="346"/>
  <c r="F21" i="346"/>
  <c r="AJ21" i="346" s="1"/>
  <c r="K21" i="4"/>
  <c r="U11" i="4"/>
  <c r="Y14" i="703"/>
  <c r="Q19" i="4"/>
  <c r="K18" i="703"/>
  <c r="H47" i="474"/>
  <c r="K59" i="474"/>
  <c r="X12" i="702"/>
  <c r="L19" i="704"/>
  <c r="N22" i="346"/>
  <c r="C16" i="701"/>
  <c r="AI16" i="701" s="1"/>
  <c r="J26" i="703"/>
  <c r="L16" i="704"/>
  <c r="K27" i="474"/>
  <c r="I109" i="474"/>
  <c r="W16" i="703"/>
  <c r="K84" i="474"/>
  <c r="M22" i="704"/>
  <c r="I20" i="346"/>
  <c r="W27" i="346"/>
  <c r="J100" i="474"/>
  <c r="K86" i="474"/>
  <c r="H50" i="703"/>
  <c r="I50" i="703" s="1"/>
  <c r="H50" i="707"/>
  <c r="I50" i="707" s="1"/>
  <c r="U15" i="705"/>
  <c r="L17" i="705"/>
  <c r="K16" i="705"/>
  <c r="G9" i="707"/>
  <c r="Y15" i="707"/>
  <c r="F10" i="705"/>
  <c r="AJ10" i="705" s="1"/>
  <c r="C9" i="706"/>
  <c r="AI9" i="706" s="1"/>
  <c r="H47" i="707"/>
  <c r="I47" i="707" s="1"/>
  <c r="I67" i="707" s="1"/>
  <c r="I33" i="707" s="1"/>
  <c r="Y15" i="705"/>
  <c r="K9" i="708"/>
  <c r="I21" i="4"/>
  <c r="T22" i="4"/>
  <c r="AA17" i="704"/>
  <c r="R15" i="704"/>
  <c r="S26" i="701"/>
  <c r="U26" i="701" s="1"/>
  <c r="L24" i="4"/>
  <c r="U11" i="703"/>
  <c r="I41" i="474"/>
  <c r="H77" i="474"/>
  <c r="W26" i="702"/>
  <c r="F14" i="701"/>
  <c r="AJ14" i="701" s="1"/>
  <c r="AN14" i="701" s="1"/>
  <c r="I10" i="704"/>
  <c r="P13" i="703"/>
  <c r="X15" i="346"/>
  <c r="K97" i="474"/>
  <c r="I15" i="704"/>
  <c r="T27" i="704"/>
  <c r="AB39" i="704"/>
  <c r="K10" i="703"/>
  <c r="K102" i="474"/>
  <c r="O18" i="703"/>
  <c r="S15" i="703"/>
  <c r="Q20" i="704"/>
  <c r="Q22" i="701"/>
  <c r="S24" i="702"/>
  <c r="H13" i="703"/>
  <c r="K12" i="707"/>
  <c r="I14" i="705"/>
  <c r="O13" i="706"/>
  <c r="J21" i="705"/>
  <c r="AA25" i="705"/>
  <c r="L18" i="707"/>
  <c r="F9" i="708"/>
  <c r="AJ9" i="708" s="1"/>
  <c r="AN9" i="708" s="1"/>
  <c r="N26" i="705"/>
  <c r="G20" i="4"/>
  <c r="T17" i="4"/>
  <c r="L25" i="703"/>
  <c r="N25" i="703" s="1"/>
  <c r="O34" i="4"/>
  <c r="F18" i="701"/>
  <c r="AJ18" i="701" s="1"/>
  <c r="AN18" i="701" s="1"/>
  <c r="V17" i="702"/>
  <c r="Y9" i="706"/>
  <c r="L17" i="707"/>
  <c r="P9" i="708"/>
  <c r="O23" i="707"/>
  <c r="G23" i="707"/>
  <c r="AA13" i="708"/>
  <c r="G22" i="707"/>
  <c r="U26" i="707"/>
  <c r="G23" i="705"/>
  <c r="Z14" i="707"/>
  <c r="Y12" i="706"/>
  <c r="H12" i="707"/>
  <c r="N9" i="707"/>
  <c r="R11" i="705"/>
  <c r="Q26" i="707"/>
  <c r="N13" i="708"/>
  <c r="W8" i="706"/>
  <c r="K15" i="705"/>
  <c r="I11" i="706"/>
  <c r="Q10" i="706"/>
  <c r="P12" i="708"/>
  <c r="AC12" i="708" s="1"/>
  <c r="X10" i="706"/>
  <c r="G8" i="705"/>
  <c r="O11" i="705"/>
  <c r="O30" i="705" s="1"/>
  <c r="H14" i="707"/>
  <c r="H11" i="707"/>
  <c r="Z15" i="705"/>
  <c r="W22" i="705"/>
  <c r="J25" i="707"/>
  <c r="Q10" i="705"/>
  <c r="C10" i="707"/>
  <c r="AI10" i="707" s="1"/>
  <c r="H10" i="708"/>
  <c r="R23" i="707"/>
  <c r="H11" i="706"/>
  <c r="N14" i="707"/>
  <c r="Q12" i="707"/>
  <c r="Q28" i="707" s="1"/>
  <c r="M8" i="706"/>
  <c r="W18" i="705"/>
  <c r="G13" i="708"/>
  <c r="C16" i="707"/>
  <c r="AI16" i="707" s="1"/>
  <c r="AA22" i="705"/>
  <c r="H16" i="705"/>
  <c r="AA14" i="706"/>
  <c r="AA14" i="705"/>
  <c r="F25" i="707"/>
  <c r="AJ25" i="707" s="1"/>
  <c r="L9" i="708"/>
  <c r="AA15" i="706"/>
  <c r="N15" i="706"/>
  <c r="AA9" i="705"/>
  <c r="L10" i="708"/>
  <c r="H65" i="705"/>
  <c r="I65" i="705" s="1"/>
  <c r="O13" i="707"/>
  <c r="O29" i="707" s="1"/>
  <c r="Y19" i="705"/>
  <c r="Q9" i="706"/>
  <c r="J26" i="705"/>
  <c r="M16" i="705"/>
  <c r="U12" i="705"/>
  <c r="J19" i="707"/>
  <c r="J23" i="707"/>
  <c r="Z15" i="707"/>
  <c r="S20" i="707"/>
  <c r="AA21" i="705"/>
  <c r="P19" i="707"/>
  <c r="AC19" i="707" s="1"/>
  <c r="Y12" i="705"/>
  <c r="W15" i="707"/>
  <c r="S9" i="705"/>
  <c r="I22" i="705"/>
  <c r="Q19" i="707"/>
  <c r="L25" i="707"/>
  <c r="T11" i="705"/>
  <c r="AD11" i="705" s="1"/>
  <c r="K11" i="705"/>
  <c r="U10" i="708"/>
  <c r="O13" i="705"/>
  <c r="N19" i="705"/>
  <c r="L12" i="708"/>
  <c r="T19" i="707"/>
  <c r="AD19" i="707" s="1"/>
  <c r="J11" i="708"/>
  <c r="C11" i="707"/>
  <c r="AI11" i="707" s="1"/>
  <c r="N8" i="707"/>
  <c r="H60" i="707"/>
  <c r="I60" i="707" s="1"/>
  <c r="I17" i="4"/>
  <c r="P22" i="4"/>
  <c r="Y22" i="4" s="1"/>
  <c r="U22" i="703"/>
  <c r="U19" i="4"/>
  <c r="I19" i="4"/>
  <c r="H23" i="474"/>
  <c r="P12" i="4"/>
  <c r="G21" i="346"/>
  <c r="R25" i="4"/>
  <c r="F25" i="702"/>
  <c r="AJ25" i="702" s="1"/>
  <c r="AN25" i="702" s="1"/>
  <c r="H20" i="4"/>
  <c r="H60" i="704"/>
  <c r="I60" i="704" s="1"/>
  <c r="F16" i="4"/>
  <c r="S18" i="4"/>
  <c r="V21" i="4"/>
  <c r="Q14" i="4"/>
  <c r="M23" i="704"/>
  <c r="R17" i="4"/>
  <c r="J24" i="346"/>
  <c r="F22" i="704"/>
  <c r="AJ22" i="704" s="1"/>
  <c r="AN22" i="704" s="1"/>
  <c r="J13" i="4"/>
  <c r="M17" i="4"/>
  <c r="O14" i="4"/>
  <c r="Y26" i="702"/>
  <c r="C9" i="4"/>
  <c r="J18" i="701"/>
  <c r="M26" i="346"/>
  <c r="H12" i="4"/>
  <c r="L21" i="4"/>
  <c r="P9" i="703"/>
  <c r="P31" i="703" s="1"/>
  <c r="T26" i="4"/>
  <c r="K27" i="4"/>
  <c r="L15" i="701"/>
  <c r="P20" i="4"/>
  <c r="N24" i="346"/>
  <c r="P10" i="4"/>
  <c r="Y10" i="4" s="1"/>
  <c r="J70" i="474"/>
  <c r="U20" i="4"/>
  <c r="R10" i="704"/>
  <c r="M26" i="702"/>
  <c r="H15" i="4"/>
  <c r="AC39" i="703"/>
  <c r="Q16" i="346"/>
  <c r="O17" i="4"/>
  <c r="H11" i="4"/>
  <c r="C20" i="52"/>
  <c r="J14" i="702"/>
  <c r="S11" i="346"/>
  <c r="X9" i="701"/>
  <c r="T20" i="702"/>
  <c r="AD20" i="702" s="1"/>
  <c r="H16" i="52"/>
  <c r="T17" i="346"/>
  <c r="K12" i="474"/>
  <c r="I71" i="474"/>
  <c r="H23" i="703"/>
  <c r="E48" i="474"/>
  <c r="E77" i="474"/>
  <c r="J17" i="703"/>
  <c r="X14" i="702"/>
  <c r="F9" i="703"/>
  <c r="AJ9" i="703" s="1"/>
  <c r="AN9" i="703" s="1"/>
  <c r="AA23" i="701"/>
  <c r="L27" i="702"/>
  <c r="N27" i="702" s="1"/>
  <c r="P16" i="702"/>
  <c r="AC16" i="702" s="1"/>
  <c r="N10" i="701"/>
  <c r="C11" i="52"/>
  <c r="C21" i="704"/>
  <c r="AI21" i="704" s="1"/>
  <c r="W13" i="703"/>
  <c r="P21" i="702"/>
  <c r="Y18" i="704"/>
  <c r="T8" i="703"/>
  <c r="I23" i="52"/>
  <c r="AA9" i="346"/>
  <c r="F9" i="346"/>
  <c r="AJ9" i="346" s="1"/>
  <c r="AN9" i="346" s="1"/>
  <c r="M17" i="703"/>
  <c r="G18" i="346"/>
  <c r="V26" i="704"/>
  <c r="E33" i="474"/>
  <c r="K8" i="701"/>
  <c r="I21" i="703"/>
  <c r="K19" i="702"/>
  <c r="J25" i="704"/>
  <c r="N23" i="702"/>
  <c r="L18" i="346"/>
  <c r="H100" i="474"/>
  <c r="E24" i="474"/>
  <c r="J22" i="701"/>
  <c r="T21" i="704"/>
  <c r="AD21" i="704" s="1"/>
  <c r="O24" i="704"/>
  <c r="M8" i="702"/>
  <c r="J8" i="702"/>
  <c r="H104" i="474"/>
  <c r="T8" i="704"/>
  <c r="S19" i="704"/>
  <c r="U19" i="704" s="1"/>
  <c r="U20" i="704"/>
  <c r="C8" i="346"/>
  <c r="O11" i="346"/>
  <c r="I105" i="474"/>
  <c r="L25" i="702"/>
  <c r="N25" i="702" s="1"/>
  <c r="S17" i="701"/>
  <c r="M8" i="701"/>
  <c r="F25" i="701"/>
  <c r="AJ25" i="701" s="1"/>
  <c r="AN25" i="701" s="1"/>
  <c r="U23" i="701"/>
  <c r="W10" i="704"/>
  <c r="AA13" i="702"/>
  <c r="E79" i="474"/>
  <c r="G11" i="346"/>
  <c r="I17" i="346"/>
  <c r="J81" i="474"/>
  <c r="O17" i="702"/>
  <c r="AA23" i="346"/>
  <c r="Q20" i="701"/>
  <c r="T15" i="346"/>
  <c r="R13" i="703"/>
  <c r="V13" i="701"/>
  <c r="J101" i="474"/>
  <c r="Z8" i="702"/>
  <c r="G16" i="346"/>
  <c r="U18" i="702"/>
  <c r="S16" i="703"/>
  <c r="T8" i="701"/>
  <c r="H10" i="474"/>
  <c r="I16" i="474"/>
  <c r="P17" i="704"/>
  <c r="AC17" i="704" s="1"/>
  <c r="AA26" i="702"/>
  <c r="K91" i="474"/>
  <c r="S27" i="701"/>
  <c r="U27" i="701" s="1"/>
  <c r="H24" i="702"/>
  <c r="L9" i="702"/>
  <c r="M15" i="703"/>
  <c r="M24" i="702"/>
  <c r="Y21" i="703"/>
  <c r="W16" i="346"/>
  <c r="AV16" i="346" s="1"/>
  <c r="V18" i="701"/>
  <c r="H16" i="703"/>
  <c r="X13" i="704"/>
  <c r="J25" i="346"/>
  <c r="F22" i="701"/>
  <c r="AJ22" i="701" s="1"/>
  <c r="AN22" i="701" s="1"/>
  <c r="K14" i="703"/>
  <c r="H83" i="474"/>
  <c r="K13" i="346"/>
  <c r="H54" i="474"/>
  <c r="E53" i="474"/>
  <c r="Q13" i="701"/>
  <c r="F13" i="702"/>
  <c r="AJ13" i="702" s="1"/>
  <c r="AN13" i="702" s="1"/>
  <c r="O15" i="702"/>
  <c r="E91" i="474"/>
  <c r="Y26" i="701"/>
  <c r="Z10" i="703"/>
  <c r="Y15" i="702"/>
  <c r="K101" i="474"/>
  <c r="X14" i="704"/>
  <c r="O8" i="701"/>
  <c r="N21" i="703"/>
  <c r="O11" i="704"/>
  <c r="T9" i="701"/>
  <c r="AD9" i="701" s="1"/>
  <c r="F27" i="702"/>
  <c r="AJ27" i="702" s="1"/>
  <c r="AN27" i="702" s="1"/>
  <c r="L21" i="703"/>
  <c r="G19" i="702"/>
  <c r="T15" i="701"/>
  <c r="P24" i="701"/>
  <c r="J79" i="474"/>
  <c r="W22" i="702"/>
  <c r="E60" i="474"/>
  <c r="K96" i="474"/>
  <c r="I8" i="703"/>
  <c r="G27" i="703"/>
  <c r="L11" i="704"/>
  <c r="O13" i="4"/>
  <c r="Q18" i="704"/>
  <c r="N8" i="703"/>
  <c r="M47" i="703" s="1"/>
  <c r="J83" i="474"/>
  <c r="R16" i="704"/>
  <c r="F23" i="346"/>
  <c r="AJ23" i="346" s="1"/>
  <c r="AN23" i="346" s="1"/>
  <c r="L26" i="704"/>
  <c r="N26" i="704" s="1"/>
  <c r="T25" i="704"/>
  <c r="H25" i="702"/>
  <c r="Y19" i="703"/>
  <c r="R26" i="701"/>
  <c r="M27" i="701"/>
  <c r="I13" i="704"/>
  <c r="O19" i="346"/>
  <c r="I29" i="474"/>
  <c r="O18" i="704"/>
  <c r="G12" i="703"/>
  <c r="J57" i="474"/>
  <c r="I25" i="346"/>
  <c r="Q22" i="704"/>
  <c r="F26" i="701"/>
  <c r="AJ26" i="701" s="1"/>
  <c r="AN26" i="701" s="1"/>
  <c r="Y10" i="704"/>
  <c r="I9" i="704"/>
  <c r="I32" i="704" s="1"/>
  <c r="S13" i="703"/>
  <c r="M23" i="703"/>
  <c r="V16" i="701"/>
  <c r="Y12" i="346"/>
  <c r="H68" i="474"/>
  <c r="H66" i="703"/>
  <c r="I66" i="703" s="1"/>
  <c r="W26" i="346"/>
  <c r="H59" i="702"/>
  <c r="I59" i="702" s="1"/>
  <c r="E21" i="474"/>
  <c r="H72" i="704"/>
  <c r="I72" i="704" s="1"/>
  <c r="H61" i="346"/>
  <c r="I61" i="346" s="1"/>
  <c r="H58" i="346"/>
  <c r="I58" i="346" s="1"/>
  <c r="H53" i="346"/>
  <c r="I53" i="346" s="1"/>
  <c r="I37" i="474"/>
  <c r="E15" i="474"/>
  <c r="J38" i="474"/>
  <c r="H62" i="704"/>
  <c r="I62" i="704" s="1"/>
  <c r="U51" i="2"/>
  <c r="O16" i="4"/>
  <c r="C22" i="52"/>
  <c r="Y16" i="704"/>
  <c r="K18" i="4"/>
  <c r="Q10" i="702"/>
  <c r="M17" i="704"/>
  <c r="J14" i="701"/>
  <c r="P18" i="346"/>
  <c r="X22" i="703"/>
  <c r="J24" i="701"/>
  <c r="AA18" i="703"/>
  <c r="M31" i="704"/>
  <c r="W11" i="346"/>
  <c r="AV11" i="346" s="1"/>
  <c r="I16" i="702"/>
  <c r="K11" i="702"/>
  <c r="L13" i="701"/>
  <c r="L13" i="702"/>
  <c r="U10" i="702"/>
  <c r="X16" i="703"/>
  <c r="X40" i="703" s="1"/>
  <c r="Z11" i="702"/>
  <c r="I11" i="346"/>
  <c r="U24" i="703"/>
  <c r="P17" i="346"/>
  <c r="AC17" i="346" s="1"/>
  <c r="Q26" i="701"/>
  <c r="C10" i="704"/>
  <c r="AI10" i="704" s="1"/>
  <c r="H61" i="704"/>
  <c r="I61" i="704" s="1"/>
  <c r="W12" i="707"/>
  <c r="AC12" i="707" s="1"/>
  <c r="L12" i="706"/>
  <c r="W19" i="705"/>
  <c r="AC19" i="705" s="1"/>
  <c r="S21" i="707"/>
  <c r="F18" i="705"/>
  <c r="AJ18" i="705" s="1"/>
  <c r="AN18" i="705" s="1"/>
  <c r="T10" i="706"/>
  <c r="AD10" i="706" s="1"/>
  <c r="S16" i="705"/>
  <c r="Z13" i="705"/>
  <c r="V14" i="706"/>
  <c r="T21" i="707"/>
  <c r="AD21" i="707" s="1"/>
  <c r="L24" i="705"/>
  <c r="T15" i="4"/>
  <c r="F10" i="4"/>
  <c r="U18" i="4"/>
  <c r="C22" i="703"/>
  <c r="M34" i="4"/>
  <c r="M35" i="4" s="1"/>
  <c r="J9" i="4"/>
  <c r="I15" i="474"/>
  <c r="R22" i="346"/>
  <c r="C29" i="52"/>
  <c r="P10" i="346"/>
  <c r="AC10" i="346" s="1"/>
  <c r="O26" i="703"/>
  <c r="H11" i="702"/>
  <c r="T13" i="703"/>
  <c r="N26" i="4"/>
  <c r="X26" i="4" s="1"/>
  <c r="J16" i="704"/>
  <c r="AA19" i="703"/>
  <c r="J18" i="703"/>
  <c r="O13" i="702"/>
  <c r="I77" i="474"/>
  <c r="F17" i="704"/>
  <c r="AJ17" i="704" s="1"/>
  <c r="AN17" i="704" s="1"/>
  <c r="H15" i="474"/>
  <c r="K17" i="701"/>
  <c r="K16" i="702"/>
  <c r="V25" i="702"/>
  <c r="Y23" i="346"/>
  <c r="K16" i="704"/>
  <c r="H57" i="346"/>
  <c r="I57" i="346" s="1"/>
  <c r="H59" i="346"/>
  <c r="I59" i="346" s="1"/>
  <c r="U10" i="705"/>
  <c r="C9" i="705"/>
  <c r="AI9" i="705" s="1"/>
  <c r="V11" i="705"/>
  <c r="V31" i="705" s="1"/>
  <c r="U16" i="707"/>
  <c r="K13" i="706"/>
  <c r="F14" i="705"/>
  <c r="AJ14" i="705" s="1"/>
  <c r="AN14" i="705" s="1"/>
  <c r="L19" i="707"/>
  <c r="AA10" i="707"/>
  <c r="T15" i="705"/>
  <c r="R16" i="4"/>
  <c r="K14" i="704"/>
  <c r="Q24" i="4"/>
  <c r="I12" i="4"/>
  <c r="M10" i="704"/>
  <c r="Z14" i="702"/>
  <c r="M18" i="4"/>
  <c r="N21" i="701"/>
  <c r="K27" i="704"/>
  <c r="J27" i="474"/>
  <c r="U23" i="702"/>
  <c r="E42" i="474"/>
  <c r="X11" i="702"/>
  <c r="O29" i="702"/>
  <c r="AA25" i="701"/>
  <c r="C22" i="702"/>
  <c r="U16" i="346"/>
  <c r="Z27" i="701"/>
  <c r="H20" i="702"/>
  <c r="X12" i="701"/>
  <c r="AA27" i="703"/>
  <c r="Z27" i="704"/>
  <c r="C26" i="701"/>
  <c r="Z25" i="702"/>
  <c r="H105" i="474"/>
  <c r="H55" i="346"/>
  <c r="I55" i="346" s="1"/>
  <c r="H66" i="346"/>
  <c r="I66" i="346" s="1"/>
  <c r="I12" i="706"/>
  <c r="T12" i="708"/>
  <c r="AD12" i="708" s="1"/>
  <c r="G9" i="705"/>
  <c r="X17" i="705"/>
  <c r="N10" i="706"/>
  <c r="Q25" i="705"/>
  <c r="W25" i="707"/>
  <c r="X20" i="705"/>
  <c r="H39" i="708"/>
  <c r="I39" i="708" s="1"/>
  <c r="M26" i="4"/>
  <c r="D21" i="52"/>
  <c r="N17" i="4"/>
  <c r="X17" i="4" s="1"/>
  <c r="F17" i="4"/>
  <c r="Y9" i="703"/>
  <c r="N21" i="4"/>
  <c r="P12" i="704"/>
  <c r="AC12" i="704" s="1"/>
  <c r="X23" i="703"/>
  <c r="W9" i="346"/>
  <c r="AV9" i="346" s="1"/>
  <c r="L12" i="703"/>
  <c r="C23" i="703"/>
  <c r="J107" i="474"/>
  <c r="S25" i="704"/>
  <c r="H18" i="346"/>
  <c r="E108" i="474"/>
  <c r="K27" i="703"/>
  <c r="I100" i="474"/>
  <c r="O16" i="703"/>
  <c r="E59" i="474"/>
  <c r="J86" i="474"/>
  <c r="Y20" i="704"/>
  <c r="K78" i="474"/>
  <c r="L23" i="703"/>
  <c r="N23" i="703" s="1"/>
  <c r="K32" i="474"/>
  <c r="X20" i="704"/>
  <c r="H48" i="346"/>
  <c r="I48" i="346" s="1"/>
  <c r="F15" i="706"/>
  <c r="AJ15" i="706" s="1"/>
  <c r="AN15" i="706" s="1"/>
  <c r="G11" i="707"/>
  <c r="L16" i="707"/>
  <c r="Q28" i="705"/>
  <c r="N12" i="706"/>
  <c r="L22" i="705"/>
  <c r="P13" i="708"/>
  <c r="F20" i="4"/>
  <c r="H14" i="4"/>
  <c r="K25" i="4"/>
  <c r="S19" i="703"/>
  <c r="U19" i="703" s="1"/>
  <c r="G27" i="702"/>
  <c r="J24" i="4"/>
  <c r="K90" i="474"/>
  <c r="U17" i="702"/>
  <c r="L20" i="704"/>
  <c r="C26" i="346"/>
  <c r="AR26" i="346" s="1"/>
  <c r="C22" i="704"/>
  <c r="W25" i="704"/>
  <c r="Y16" i="703"/>
  <c r="X22" i="704"/>
  <c r="J59" i="474"/>
  <c r="U14" i="703"/>
  <c r="E87" i="474"/>
  <c r="T21" i="703"/>
  <c r="AD21" i="703" s="1"/>
  <c r="H14" i="703"/>
  <c r="L17" i="701"/>
  <c r="P18" i="704"/>
  <c r="AC18" i="704" s="1"/>
  <c r="H19" i="701"/>
  <c r="M21" i="701"/>
  <c r="C20" i="702"/>
  <c r="AI20" i="702" s="1"/>
  <c r="H51" i="703"/>
  <c r="I51" i="703" s="1"/>
  <c r="H62" i="346"/>
  <c r="I62" i="346" s="1"/>
  <c r="W21" i="707"/>
  <c r="H12" i="708"/>
  <c r="Y16" i="707"/>
  <c r="S10" i="705"/>
  <c r="P17" i="705"/>
  <c r="AC17" i="705" s="1"/>
  <c r="S12" i="706"/>
  <c r="U12" i="706" s="1"/>
  <c r="M13" i="705"/>
  <c r="Y12" i="707"/>
  <c r="G26" i="705"/>
  <c r="X8" i="708"/>
  <c r="H18" i="52"/>
  <c r="D29" i="52"/>
  <c r="H36" i="474"/>
  <c r="J21" i="474"/>
  <c r="J26" i="4"/>
  <c r="P13" i="4"/>
  <c r="C16" i="52"/>
  <c r="AA24" i="703"/>
  <c r="E97" i="474"/>
  <c r="Y25" i="346"/>
  <c r="I49" i="474"/>
  <c r="I16" i="703"/>
  <c r="Z17" i="346"/>
  <c r="AA24" i="346"/>
  <c r="Y19" i="704"/>
  <c r="AA15" i="346"/>
  <c r="C9" i="704"/>
  <c r="AI9" i="704" s="1"/>
  <c r="L40" i="701"/>
  <c r="M13" i="703"/>
  <c r="X27" i="703"/>
  <c r="C15" i="703"/>
  <c r="AI15" i="703" s="1"/>
  <c r="H57" i="701"/>
  <c r="I57" i="701" s="1"/>
  <c r="H54" i="702"/>
  <c r="I54" i="702" s="1"/>
  <c r="C18" i="705"/>
  <c r="AI18" i="705" s="1"/>
  <c r="T10" i="708"/>
  <c r="M15" i="705"/>
  <c r="J15" i="707"/>
  <c r="P13" i="705"/>
  <c r="AC13" i="705" s="1"/>
  <c r="R17" i="707"/>
  <c r="F15" i="705"/>
  <c r="AJ15" i="705" s="1"/>
  <c r="AN15" i="705" s="1"/>
  <c r="J20" i="705"/>
  <c r="G16" i="707"/>
  <c r="H46" i="708"/>
  <c r="I46" i="708" s="1"/>
  <c r="L16" i="4"/>
  <c r="H55" i="474"/>
  <c r="AA10" i="702"/>
  <c r="P15" i="704"/>
  <c r="AC15" i="704" s="1"/>
  <c r="I26" i="346"/>
  <c r="AA16" i="701"/>
  <c r="J29" i="474"/>
  <c r="Y11" i="701"/>
  <c r="W20" i="701"/>
  <c r="J77" i="474"/>
  <c r="K29" i="474"/>
  <c r="Z26" i="704"/>
  <c r="K25" i="703"/>
  <c r="K17" i="702"/>
  <c r="H11" i="703"/>
  <c r="J15" i="346"/>
  <c r="O21" i="701"/>
  <c r="AD39" i="703"/>
  <c r="J71" i="474"/>
  <c r="Y22" i="704"/>
  <c r="Q14" i="703"/>
  <c r="G20" i="701"/>
  <c r="S11" i="703"/>
  <c r="K20" i="704"/>
  <c r="Q17" i="701"/>
  <c r="H62" i="701"/>
  <c r="I62" i="701" s="1"/>
  <c r="U9" i="706"/>
  <c r="U28" i="706" s="1"/>
  <c r="W14" i="705"/>
  <c r="Q26" i="705"/>
  <c r="T26" i="707"/>
  <c r="P16" i="707"/>
  <c r="X23" i="707"/>
  <c r="V25" i="707"/>
  <c r="AA17" i="705"/>
  <c r="Y21" i="707"/>
  <c r="R8" i="705"/>
  <c r="Q13" i="707"/>
  <c r="W13" i="706"/>
  <c r="M13" i="4"/>
  <c r="C25" i="703"/>
  <c r="K15" i="701"/>
  <c r="Y18" i="703"/>
  <c r="V15" i="4"/>
  <c r="K11" i="703"/>
  <c r="Q25" i="346"/>
  <c r="Q21" i="702"/>
  <c r="T11" i="703"/>
  <c r="AD11" i="703" s="1"/>
  <c r="H27" i="474"/>
  <c r="T24" i="346"/>
  <c r="J89" i="474"/>
  <c r="S10" i="702"/>
  <c r="X11" i="703"/>
  <c r="H60" i="474"/>
  <c r="C24" i="703"/>
  <c r="K57" i="474"/>
  <c r="I15" i="702"/>
  <c r="S15" i="346"/>
  <c r="P21" i="701"/>
  <c r="W11" i="703"/>
  <c r="L11" i="702"/>
  <c r="C20" i="4"/>
  <c r="F14" i="704"/>
  <c r="AJ14" i="704" s="1"/>
  <c r="AN14" i="704" s="1"/>
  <c r="L13" i="703"/>
  <c r="I19" i="707"/>
  <c r="N10" i="708"/>
  <c r="N22" i="707"/>
  <c r="G17" i="707"/>
  <c r="Y24" i="707"/>
  <c r="Z18" i="707"/>
  <c r="K21" i="707"/>
  <c r="R21" i="707"/>
  <c r="J14" i="705"/>
  <c r="F9" i="705"/>
  <c r="AJ9" i="705" s="1"/>
  <c r="AN9" i="705" s="1"/>
  <c r="I14" i="706"/>
  <c r="Q18" i="707"/>
  <c r="AA22" i="703"/>
  <c r="J10" i="4"/>
  <c r="U34" i="4"/>
  <c r="H26" i="346"/>
  <c r="I13" i="701"/>
  <c r="AA14" i="707"/>
  <c r="L14" i="705"/>
  <c r="O25" i="707"/>
  <c r="J22" i="705"/>
  <c r="F22" i="707"/>
  <c r="AJ22" i="707" s="1"/>
  <c r="AN22" i="707" s="1"/>
  <c r="L16" i="705"/>
  <c r="L29" i="705" s="1"/>
  <c r="W9" i="708"/>
  <c r="W16" i="707"/>
  <c r="U13" i="706"/>
  <c r="R24" i="707"/>
  <c r="X10" i="708"/>
  <c r="P24" i="707"/>
  <c r="X14" i="707"/>
  <c r="N19" i="707"/>
  <c r="W14" i="707"/>
  <c r="AC14" i="707" s="1"/>
  <c r="H52" i="707"/>
  <c r="I52" i="707" s="1"/>
  <c r="T14" i="707"/>
  <c r="AD14" i="707" s="1"/>
  <c r="AA9" i="707"/>
  <c r="T13" i="708"/>
  <c r="T22" i="707"/>
  <c r="Z8" i="706"/>
  <c r="J20" i="707"/>
  <c r="Z17" i="707"/>
  <c r="U22" i="707"/>
  <c r="Q12" i="705"/>
  <c r="M11" i="708"/>
  <c r="W16" i="705"/>
  <c r="AA12" i="708"/>
  <c r="M14" i="705"/>
  <c r="R11" i="708"/>
  <c r="T25" i="707"/>
  <c r="AD25" i="707" s="1"/>
  <c r="H15" i="705"/>
  <c r="W23" i="705"/>
  <c r="Q11" i="707"/>
  <c r="AA21" i="707"/>
  <c r="F23" i="705"/>
  <c r="AJ23" i="705" s="1"/>
  <c r="H13" i="706"/>
  <c r="G15" i="705"/>
  <c r="K12" i="708"/>
  <c r="L26" i="707"/>
  <c r="T9" i="708"/>
  <c r="J10" i="705"/>
  <c r="N26" i="707"/>
  <c r="X11" i="707"/>
  <c r="G20" i="705"/>
  <c r="P10" i="705"/>
  <c r="AC10" i="705" s="1"/>
  <c r="V9" i="707"/>
  <c r="Z11" i="705"/>
  <c r="V14" i="705"/>
  <c r="X15" i="705"/>
  <c r="G10" i="708"/>
  <c r="N12" i="708"/>
  <c r="C26" i="705"/>
  <c r="F13" i="706"/>
  <c r="AJ13" i="706" s="1"/>
  <c r="AN13" i="706" s="1"/>
  <c r="H10" i="705"/>
  <c r="L8" i="708"/>
  <c r="U8" i="705"/>
  <c r="N16" i="707"/>
  <c r="W25" i="705"/>
  <c r="H59" i="705"/>
  <c r="I59" i="705" s="1"/>
  <c r="N24" i="705"/>
  <c r="F14" i="706"/>
  <c r="AJ14" i="706" s="1"/>
  <c r="AN14" i="706" s="1"/>
  <c r="K20" i="707"/>
  <c r="R19" i="705"/>
  <c r="O10" i="708"/>
  <c r="Y24" i="705"/>
  <c r="L23" i="705"/>
  <c r="I21" i="707"/>
  <c r="H58" i="705"/>
  <c r="I58" i="705" s="1"/>
  <c r="O18" i="705"/>
  <c r="P16" i="705"/>
  <c r="AC16" i="705" s="1"/>
  <c r="H10" i="706"/>
  <c r="T8" i="707"/>
  <c r="U17" i="707"/>
  <c r="L11" i="706"/>
  <c r="P21" i="707"/>
  <c r="AC21" i="707" s="1"/>
  <c r="Z20" i="707"/>
  <c r="N8" i="708"/>
  <c r="H63" i="705"/>
  <c r="I63" i="705" s="1"/>
  <c r="F24" i="705"/>
  <c r="AJ24" i="705" s="1"/>
  <c r="AA18" i="707"/>
  <c r="J9" i="708"/>
  <c r="H26" i="707"/>
  <c r="F9" i="707"/>
  <c r="AJ9" i="707" s="1"/>
  <c r="AN9" i="707" s="1"/>
  <c r="Q15" i="706"/>
  <c r="Q14" i="706"/>
  <c r="Z9" i="708"/>
  <c r="O18" i="707"/>
  <c r="H36" i="706"/>
  <c r="I36" i="706" s="1"/>
  <c r="H56" i="707"/>
  <c r="I56" i="707" s="1"/>
  <c r="F14" i="4"/>
  <c r="Q18" i="4"/>
  <c r="C23" i="4"/>
  <c r="F8" i="52"/>
  <c r="W11" i="704"/>
  <c r="E47" i="474"/>
  <c r="H49" i="346"/>
  <c r="I49" i="346" s="1"/>
  <c r="C9" i="52"/>
  <c r="I14" i="4"/>
  <c r="I65" i="474"/>
  <c r="AA11" i="704"/>
  <c r="S18" i="702"/>
  <c r="N8" i="4"/>
  <c r="O27" i="702"/>
  <c r="U12" i="4"/>
  <c r="K10" i="4"/>
  <c r="J14" i="4"/>
  <c r="O26" i="4"/>
  <c r="J25" i="4"/>
  <c r="H25" i="703"/>
  <c r="H26" i="702"/>
  <c r="E65" i="474"/>
  <c r="K11" i="4"/>
  <c r="I8" i="4"/>
  <c r="F21" i="52"/>
  <c r="H12" i="52"/>
  <c r="L19" i="4"/>
  <c r="Q16" i="4"/>
  <c r="J10" i="346"/>
  <c r="N27" i="4"/>
  <c r="X27" i="4" s="1"/>
  <c r="L26" i="346"/>
  <c r="N26" i="346" s="1"/>
  <c r="P22" i="702"/>
  <c r="O8" i="346"/>
  <c r="D18" i="52"/>
  <c r="M21" i="4"/>
  <c r="J11" i="701"/>
  <c r="H27" i="4"/>
  <c r="L23" i="4"/>
  <c r="G34" i="4"/>
  <c r="Q19" i="703"/>
  <c r="N23" i="704"/>
  <c r="U15" i="4"/>
  <c r="G26" i="346"/>
  <c r="O12" i="703"/>
  <c r="S8" i="704"/>
  <c r="I10" i="4"/>
  <c r="I30" i="474"/>
  <c r="N14" i="704"/>
  <c r="U10" i="701"/>
  <c r="V21" i="702"/>
  <c r="P20" i="346"/>
  <c r="AC20" i="346" s="1"/>
  <c r="AA13" i="346"/>
  <c r="M23" i="4"/>
  <c r="V9" i="704"/>
  <c r="E45" i="474"/>
  <c r="G16" i="703"/>
  <c r="O21" i="702"/>
  <c r="O30" i="702" s="1"/>
  <c r="M23" i="346"/>
  <c r="N18" i="704"/>
  <c r="R10" i="703"/>
  <c r="Y21" i="702"/>
  <c r="U17" i="704"/>
  <c r="K8" i="702"/>
  <c r="Y15" i="703"/>
  <c r="K77" i="474"/>
  <c r="H21" i="701"/>
  <c r="Q27" i="703"/>
  <c r="L10" i="703"/>
  <c r="O15" i="703"/>
  <c r="P11" i="701"/>
  <c r="AC11" i="701" s="1"/>
  <c r="V8" i="346"/>
  <c r="M13" i="346"/>
  <c r="Y20" i="702"/>
  <c r="K23" i="4"/>
  <c r="U16" i="701"/>
  <c r="K67" i="474"/>
  <c r="I13" i="474"/>
  <c r="K21" i="703"/>
  <c r="H29" i="52"/>
  <c r="P14" i="346"/>
  <c r="AC14" i="346" s="1"/>
  <c r="S8" i="702"/>
  <c r="K87" i="474"/>
  <c r="C23" i="704"/>
  <c r="Y20" i="346"/>
  <c r="T9" i="703"/>
  <c r="AD9" i="703" s="1"/>
  <c r="T25" i="701"/>
  <c r="K18" i="346"/>
  <c r="W22" i="703"/>
  <c r="V15" i="703"/>
  <c r="L12" i="346"/>
  <c r="Q16" i="702"/>
  <c r="R11" i="701"/>
  <c r="S26" i="704"/>
  <c r="G15" i="704"/>
  <c r="W19" i="346"/>
  <c r="AV19" i="346" s="1"/>
  <c r="X18" i="704"/>
  <c r="W15" i="702"/>
  <c r="F18" i="703"/>
  <c r="AJ18" i="703" s="1"/>
  <c r="AN18" i="703" s="1"/>
  <c r="K19" i="346"/>
  <c r="J24" i="474"/>
  <c r="AA24" i="704"/>
  <c r="V26" i="702"/>
  <c r="N10" i="4"/>
  <c r="X10" i="4" s="1"/>
  <c r="K19" i="704"/>
  <c r="Z14" i="701"/>
  <c r="Q24" i="702"/>
  <c r="F9" i="704"/>
  <c r="AJ9" i="704" s="1"/>
  <c r="AN9" i="704" s="1"/>
  <c r="N14" i="702"/>
  <c r="E39" i="474"/>
  <c r="G9" i="702"/>
  <c r="L14" i="703"/>
  <c r="X17" i="704"/>
  <c r="R21" i="704"/>
  <c r="H26" i="704"/>
  <c r="T8" i="346"/>
  <c r="X26" i="701"/>
  <c r="M19" i="704"/>
  <c r="T12" i="701"/>
  <c r="V13" i="702"/>
  <c r="F20" i="702"/>
  <c r="AJ20" i="702" s="1"/>
  <c r="AN20" i="702" s="1"/>
  <c r="J22" i="702"/>
  <c r="J106" i="474"/>
  <c r="L12" i="701"/>
  <c r="W12" i="702"/>
  <c r="G10" i="703"/>
  <c r="Z16" i="702"/>
  <c r="F18" i="704"/>
  <c r="AJ18" i="704" s="1"/>
  <c r="AN18" i="704" s="1"/>
  <c r="K23" i="703"/>
  <c r="H81" i="474"/>
  <c r="X23" i="346"/>
  <c r="H16" i="346"/>
  <c r="Y25" i="701"/>
  <c r="U8" i="346"/>
  <c r="Y8" i="701"/>
  <c r="C17" i="346"/>
  <c r="F12" i="702"/>
  <c r="AJ12" i="702" s="1"/>
  <c r="AN12" i="702" s="1"/>
  <c r="R9" i="704"/>
  <c r="I101" i="474"/>
  <c r="J19" i="704"/>
  <c r="Y10" i="703"/>
  <c r="P16" i="703"/>
  <c r="V20" i="702"/>
  <c r="X14" i="701"/>
  <c r="X20" i="703"/>
  <c r="W20" i="703"/>
  <c r="Q17" i="704"/>
  <c r="H43" i="474"/>
  <c r="AA9" i="702"/>
  <c r="AA13" i="704"/>
  <c r="P10" i="702"/>
  <c r="AC10" i="702" s="1"/>
  <c r="G15" i="703"/>
  <c r="V24" i="703"/>
  <c r="J68" i="474"/>
  <c r="X23" i="702"/>
  <c r="F25" i="704"/>
  <c r="AJ25" i="704" s="1"/>
  <c r="AN25" i="704" s="1"/>
  <c r="T16" i="701"/>
  <c r="AD16" i="701" s="1"/>
  <c r="H15" i="702"/>
  <c r="K99" i="474"/>
  <c r="J34" i="474"/>
  <c r="H8" i="701"/>
  <c r="Y16" i="346"/>
  <c r="U25" i="702"/>
  <c r="Q12" i="701"/>
  <c r="Q25" i="704"/>
  <c r="U12" i="704"/>
  <c r="R16" i="703"/>
  <c r="R29" i="703" s="1"/>
  <c r="I27" i="701"/>
  <c r="Q19" i="704"/>
  <c r="Q32" i="704" s="1"/>
  <c r="S9" i="701"/>
  <c r="U9" i="701" s="1"/>
  <c r="Q9" i="704"/>
  <c r="Q40" i="704" s="1"/>
  <c r="T9" i="346"/>
  <c r="Z24" i="703"/>
  <c r="M14" i="703"/>
  <c r="K27" i="346"/>
  <c r="E22" i="474"/>
  <c r="S14" i="702"/>
  <c r="P25" i="346"/>
  <c r="V17" i="701"/>
  <c r="R21" i="703"/>
  <c r="R9" i="346"/>
  <c r="J10" i="474"/>
  <c r="J90" i="474"/>
  <c r="K107" i="474"/>
  <c r="K100" i="474"/>
  <c r="V20" i="704"/>
  <c r="O20" i="703"/>
  <c r="U21" i="704"/>
  <c r="I21" i="704"/>
  <c r="I12" i="703"/>
  <c r="U24" i="702"/>
  <c r="K74" i="474"/>
  <c r="V26" i="701"/>
  <c r="M9" i="701"/>
  <c r="Z15" i="703"/>
  <c r="J25" i="474"/>
  <c r="L9" i="703"/>
  <c r="C16" i="703"/>
  <c r="AI16" i="703" s="1"/>
  <c r="M13" i="702"/>
  <c r="M16" i="346"/>
  <c r="E15" i="52"/>
  <c r="AA11" i="703"/>
  <c r="J30" i="474"/>
  <c r="H63" i="701"/>
  <c r="I63" i="701" s="1"/>
  <c r="H61" i="701"/>
  <c r="I61" i="701" s="1"/>
  <c r="W24" i="703"/>
  <c r="C23" i="52"/>
  <c r="C20" i="704"/>
  <c r="AI20" i="704" s="1"/>
  <c r="Q22" i="702"/>
  <c r="C12" i="703"/>
  <c r="AI12" i="703" s="1"/>
  <c r="E51" i="474"/>
  <c r="H63" i="346"/>
  <c r="I63" i="346" s="1"/>
  <c r="V215" i="2"/>
  <c r="L18" i="704" s="1"/>
  <c r="O29" i="705"/>
  <c r="T27" i="4"/>
  <c r="V22" i="346"/>
  <c r="O23" i="702"/>
  <c r="E17" i="474"/>
  <c r="F34" i="4"/>
  <c r="G12" i="702"/>
  <c r="R18" i="702"/>
  <c r="J12" i="701"/>
  <c r="E80" i="474"/>
  <c r="I84" i="474"/>
  <c r="C13" i="52"/>
  <c r="F24" i="704"/>
  <c r="AJ24" i="704" s="1"/>
  <c r="AN24" i="704" s="1"/>
  <c r="E81" i="474"/>
  <c r="K89" i="474"/>
  <c r="V22" i="701"/>
  <c r="H80" i="474"/>
  <c r="W16" i="701"/>
  <c r="J16" i="701"/>
  <c r="H14" i="346"/>
  <c r="X21" i="704"/>
  <c r="F16" i="702"/>
  <c r="AJ16" i="702" s="1"/>
  <c r="AN16" i="702" s="1"/>
  <c r="I26" i="701"/>
  <c r="G12" i="701"/>
  <c r="L22" i="701"/>
  <c r="N22" i="701" s="1"/>
  <c r="U13" i="703"/>
  <c r="I26" i="474"/>
  <c r="E50" i="474"/>
  <c r="K14" i="705"/>
  <c r="U24" i="705"/>
  <c r="U15" i="707"/>
  <c r="I13" i="707"/>
  <c r="U20" i="705"/>
  <c r="V20" i="707"/>
  <c r="X11" i="708"/>
  <c r="V9" i="708"/>
  <c r="N20" i="702"/>
  <c r="D7" i="52"/>
  <c r="V9" i="4"/>
  <c r="C34" i="4"/>
  <c r="Z20" i="704"/>
  <c r="K95" i="474"/>
  <c r="W15" i="703"/>
  <c r="C26" i="703"/>
  <c r="G26" i="704"/>
  <c r="N25" i="701"/>
  <c r="H13" i="52"/>
  <c r="Z12" i="346"/>
  <c r="I69" i="474"/>
  <c r="P9" i="346"/>
  <c r="R13" i="704"/>
  <c r="J26" i="474"/>
  <c r="W12" i="701"/>
  <c r="U25" i="346"/>
  <c r="L27" i="346"/>
  <c r="T14" i="704"/>
  <c r="AD14" i="704" s="1"/>
  <c r="I24" i="702"/>
  <c r="U20" i="346"/>
  <c r="T19" i="702"/>
  <c r="AD19" i="702" s="1"/>
  <c r="J73" i="474"/>
  <c r="I15" i="703"/>
  <c r="S9" i="4"/>
  <c r="Z25" i="346"/>
  <c r="H76" i="474"/>
  <c r="H48" i="706"/>
  <c r="I48" i="706" s="1"/>
  <c r="L28" i="705"/>
  <c r="L31" i="705"/>
  <c r="L39" i="705"/>
  <c r="P12" i="705"/>
  <c r="AC12" i="705" s="1"/>
  <c r="T18" i="705"/>
  <c r="AD18" i="705" s="1"/>
  <c r="L13" i="705"/>
  <c r="H9" i="707"/>
  <c r="T46" i="707"/>
  <c r="X16" i="707"/>
  <c r="C23" i="705"/>
  <c r="C23" i="346"/>
  <c r="AR23" i="346" s="1"/>
  <c r="R14" i="4"/>
  <c r="R23" i="702"/>
  <c r="O9" i="704"/>
  <c r="AC8" i="702"/>
  <c r="L14" i="701"/>
  <c r="F18" i="702"/>
  <c r="AJ18" i="702" s="1"/>
  <c r="AN18" i="702" s="1"/>
  <c r="I21" i="346"/>
  <c r="S17" i="702"/>
  <c r="O12" i="346"/>
  <c r="T20" i="701"/>
  <c r="Z16" i="701"/>
  <c r="V23" i="702"/>
  <c r="R14" i="702"/>
  <c r="N13" i="701"/>
  <c r="J21" i="702"/>
  <c r="X25" i="702"/>
  <c r="T17" i="703"/>
  <c r="AD17" i="703" s="1"/>
  <c r="H69" i="474"/>
  <c r="C23" i="702"/>
  <c r="G15" i="702"/>
  <c r="J15" i="703"/>
  <c r="J32" i="703" s="1"/>
  <c r="C13" i="701"/>
  <c r="AI13" i="701" s="1"/>
  <c r="H62" i="702"/>
  <c r="I62" i="702" s="1"/>
  <c r="AD38" i="707"/>
  <c r="F16" i="705"/>
  <c r="AJ16" i="705" s="1"/>
  <c r="AN16" i="705" s="1"/>
  <c r="X18" i="705"/>
  <c r="Z13" i="708"/>
  <c r="J16" i="707"/>
  <c r="G18" i="707"/>
  <c r="Q12" i="706"/>
  <c r="U13" i="707"/>
  <c r="I19" i="705"/>
  <c r="S9" i="707"/>
  <c r="S30" i="707" s="1"/>
  <c r="V11" i="707"/>
  <c r="F23" i="4"/>
  <c r="M15" i="4"/>
  <c r="I15" i="4"/>
  <c r="V14" i="346"/>
  <c r="AU14" i="346" s="1"/>
  <c r="AW14" i="346" s="1"/>
  <c r="AX14" i="346" s="1"/>
  <c r="AY14" i="346" s="1"/>
  <c r="G21" i="4"/>
  <c r="K12" i="4"/>
  <c r="L20" i="4"/>
  <c r="L25" i="704"/>
  <c r="N25" i="704" s="1"/>
  <c r="N30" i="704" s="1"/>
  <c r="T13" i="346"/>
  <c r="AD13" i="346" s="1"/>
  <c r="N16" i="703"/>
  <c r="K9" i="346"/>
  <c r="Q11" i="346"/>
  <c r="X22" i="346"/>
  <c r="Z26" i="346"/>
  <c r="I82" i="474"/>
  <c r="N14" i="346"/>
  <c r="O13" i="701"/>
  <c r="H17" i="701"/>
  <c r="Z23" i="702"/>
  <c r="S9" i="702"/>
  <c r="U9" i="702" s="1"/>
  <c r="I14" i="702"/>
  <c r="M18" i="703"/>
  <c r="J67" i="474"/>
  <c r="Y23" i="701"/>
  <c r="N23" i="701"/>
  <c r="V12" i="704"/>
  <c r="O11" i="701"/>
  <c r="E61" i="474"/>
  <c r="H34" i="474"/>
  <c r="I31" i="474"/>
  <c r="X19" i="703"/>
  <c r="Y12" i="708"/>
  <c r="J22" i="707"/>
  <c r="X22" i="707"/>
  <c r="X26" i="705"/>
  <c r="W8" i="708"/>
  <c r="J23" i="705"/>
  <c r="H13" i="705"/>
  <c r="I20" i="705"/>
  <c r="O14" i="707"/>
  <c r="Y25" i="707"/>
  <c r="Y18" i="707"/>
  <c r="M26" i="707"/>
  <c r="J22" i="703"/>
  <c r="V23" i="4"/>
  <c r="J23" i="704"/>
  <c r="K34" i="4"/>
  <c r="Q10" i="704"/>
  <c r="I93" i="474"/>
  <c r="AA24" i="701"/>
  <c r="Q23" i="703"/>
  <c r="Q40" i="703" s="1"/>
  <c r="Y15" i="701"/>
  <c r="F21" i="703"/>
  <c r="AJ21" i="703" s="1"/>
  <c r="AN21" i="703" s="1"/>
  <c r="I64" i="474"/>
  <c r="Y11" i="346"/>
  <c r="X16" i="346"/>
  <c r="F24" i="702"/>
  <c r="AJ24" i="702" s="1"/>
  <c r="AN24" i="702" s="1"/>
  <c r="G11" i="704"/>
  <c r="N26" i="703"/>
  <c r="R15" i="701"/>
  <c r="Q24" i="346"/>
  <c r="U21" i="701"/>
  <c r="G26" i="703"/>
  <c r="L24" i="701"/>
  <c r="N24" i="701" s="1"/>
  <c r="H90" i="474"/>
  <c r="H95" i="474"/>
  <c r="W9" i="707"/>
  <c r="S24" i="707"/>
  <c r="C9" i="708"/>
  <c r="AI9" i="708" s="1"/>
  <c r="Z25" i="707"/>
  <c r="R10" i="706"/>
  <c r="X25" i="707"/>
  <c r="H62" i="707"/>
  <c r="I62" i="707" s="1"/>
  <c r="R15" i="4"/>
  <c r="C14" i="702"/>
  <c r="AI14" i="702" s="1"/>
  <c r="G23" i="4"/>
  <c r="V14" i="4"/>
  <c r="V25" i="4"/>
  <c r="U9" i="703"/>
  <c r="H34" i="4"/>
  <c r="G12" i="704"/>
  <c r="L19" i="702"/>
  <c r="U14" i="4"/>
  <c r="L20" i="701"/>
  <c r="AA9" i="704"/>
  <c r="I106" i="474"/>
  <c r="I17" i="704"/>
  <c r="N13" i="702"/>
  <c r="G19" i="703"/>
  <c r="C14" i="701"/>
  <c r="AI14" i="701" s="1"/>
  <c r="J54" i="474"/>
  <c r="J17" i="702"/>
  <c r="S24" i="346"/>
  <c r="U24" i="346" s="1"/>
  <c r="N16" i="702"/>
  <c r="M55" i="702" s="1"/>
  <c r="P55" i="702" s="1"/>
  <c r="L15" i="702"/>
  <c r="L32" i="702" s="1"/>
  <c r="J42" i="474"/>
  <c r="P27" i="701"/>
  <c r="U26" i="704"/>
  <c r="V11" i="703"/>
  <c r="H51" i="701"/>
  <c r="I51" i="701" s="1"/>
  <c r="R18" i="707"/>
  <c r="I8" i="705"/>
  <c r="V13" i="708"/>
  <c r="Y14" i="706"/>
  <c r="W24" i="705"/>
  <c r="V10" i="708"/>
  <c r="R10" i="708"/>
  <c r="Q17" i="705"/>
  <c r="Z25" i="703"/>
  <c r="G17" i="4"/>
  <c r="V16" i="346"/>
  <c r="AU16" i="346" s="1"/>
  <c r="AW16" i="346" s="1"/>
  <c r="AX16" i="346" s="1"/>
  <c r="AY16" i="346" s="1"/>
  <c r="N11" i="4"/>
  <c r="H23" i="704"/>
  <c r="V16" i="703"/>
  <c r="J103" i="474"/>
  <c r="X25" i="704"/>
  <c r="C25" i="702"/>
  <c r="T17" i="704"/>
  <c r="C24" i="704"/>
  <c r="M13" i="701"/>
  <c r="G20" i="703"/>
  <c r="J97" i="474"/>
  <c r="C14" i="703"/>
  <c r="AI14" i="703" s="1"/>
  <c r="P15" i="701"/>
  <c r="AC15" i="701" s="1"/>
  <c r="Q27" i="346"/>
  <c r="V22" i="704"/>
  <c r="N20" i="346"/>
  <c r="T9" i="704"/>
  <c r="AD9" i="704" s="1"/>
  <c r="H84" i="474"/>
  <c r="K93" i="474"/>
  <c r="H54" i="701"/>
  <c r="I54" i="701" s="1"/>
  <c r="AA9" i="706"/>
  <c r="G11" i="708"/>
  <c r="X9" i="706"/>
  <c r="L8" i="706"/>
  <c r="H13" i="707"/>
  <c r="S26" i="707"/>
  <c r="H11" i="708"/>
  <c r="N9" i="708"/>
  <c r="C10" i="705"/>
  <c r="AI10" i="705" s="1"/>
  <c r="Z10" i="708"/>
  <c r="S10" i="707"/>
  <c r="S39" i="707" s="1"/>
  <c r="L20" i="707"/>
  <c r="G23" i="701"/>
  <c r="H21" i="52"/>
  <c r="I10" i="52"/>
  <c r="E10" i="52" s="1"/>
  <c r="T22" i="346"/>
  <c r="R25" i="703"/>
  <c r="N9" i="703"/>
  <c r="T14" i="4"/>
  <c r="T25" i="4"/>
  <c r="Q20" i="346"/>
  <c r="L11" i="701"/>
  <c r="I68" i="474"/>
  <c r="H58" i="474"/>
  <c r="S13" i="701"/>
  <c r="Y22" i="702"/>
  <c r="L10" i="701"/>
  <c r="L29" i="701" s="1"/>
  <c r="K25" i="704"/>
  <c r="V27" i="701"/>
  <c r="M13" i="704"/>
  <c r="N9" i="346"/>
  <c r="C11" i="346"/>
  <c r="J23" i="702"/>
  <c r="AA13" i="703"/>
  <c r="Z11" i="701"/>
  <c r="E44" i="474"/>
  <c r="O16" i="701"/>
  <c r="I107" i="474"/>
  <c r="I14" i="703"/>
  <c r="H51" i="702"/>
  <c r="I51" i="702" s="1"/>
  <c r="I15" i="706"/>
  <c r="N17" i="707"/>
  <c r="W13" i="708"/>
  <c r="P8" i="708"/>
  <c r="V18" i="705"/>
  <c r="Y11" i="708"/>
  <c r="H64" i="705"/>
  <c r="I64" i="705" s="1"/>
  <c r="N15" i="705"/>
  <c r="O24" i="705"/>
  <c r="R12" i="707"/>
  <c r="J19" i="705"/>
  <c r="O19" i="4"/>
  <c r="P19" i="4"/>
  <c r="Y19" i="4" s="1"/>
  <c r="E23" i="474"/>
  <c r="G12" i="4"/>
  <c r="M9" i="703"/>
  <c r="K104" i="474"/>
  <c r="H15" i="706"/>
  <c r="J28" i="706"/>
  <c r="AA19" i="707"/>
  <c r="V10" i="706"/>
  <c r="G21" i="707"/>
  <c r="S26" i="705"/>
  <c r="AA8" i="707"/>
  <c r="T12" i="707"/>
  <c r="S11" i="707"/>
  <c r="T12" i="706"/>
  <c r="AD12" i="706" s="1"/>
  <c r="U23" i="705"/>
  <c r="P9" i="705"/>
  <c r="AC9" i="705" s="1"/>
  <c r="V21" i="707"/>
  <c r="X26" i="707"/>
  <c r="O15" i="706"/>
  <c r="M22" i="707"/>
  <c r="M8" i="708"/>
  <c r="R13" i="706"/>
  <c r="Q11" i="708"/>
  <c r="X9" i="705"/>
  <c r="X39" i="705" s="1"/>
  <c r="N11" i="707"/>
  <c r="F8" i="708"/>
  <c r="AJ8" i="708" s="1"/>
  <c r="AN8" i="708" s="1"/>
  <c r="I13" i="705"/>
  <c r="K23" i="705"/>
  <c r="C23" i="707"/>
  <c r="Z11" i="706"/>
  <c r="F10" i="706"/>
  <c r="AJ10" i="706" s="1"/>
  <c r="AN10" i="706" s="1"/>
  <c r="J12" i="707"/>
  <c r="T24" i="707"/>
  <c r="M9" i="708"/>
  <c r="Y13" i="706"/>
  <c r="Y28" i="706" s="1"/>
  <c r="AA16" i="707"/>
  <c r="AA17" i="707"/>
  <c r="I18" i="705"/>
  <c r="M9" i="707"/>
  <c r="O12" i="708"/>
  <c r="V16" i="705"/>
  <c r="G9" i="708"/>
  <c r="J12" i="706"/>
  <c r="N14" i="706"/>
  <c r="S12" i="708"/>
  <c r="U12" i="708" s="1"/>
  <c r="F14" i="707"/>
  <c r="AJ14" i="707" s="1"/>
  <c r="AN14" i="707" s="1"/>
  <c r="AA19" i="705"/>
  <c r="H47" i="708"/>
  <c r="I47" i="708" s="1"/>
  <c r="G21" i="705"/>
  <c r="G10" i="706"/>
  <c r="G16" i="705"/>
  <c r="M16" i="707"/>
  <c r="H8" i="707"/>
  <c r="G12" i="705"/>
  <c r="Q14" i="707"/>
  <c r="P14" i="705"/>
  <c r="AC14" i="705" s="1"/>
  <c r="U25" i="705"/>
  <c r="P8" i="706"/>
  <c r="C12" i="705"/>
  <c r="AI12" i="705" s="1"/>
  <c r="Z11" i="707"/>
  <c r="Z39" i="707" s="1"/>
  <c r="T20" i="705"/>
  <c r="AD20" i="705" s="1"/>
  <c r="J18" i="705"/>
  <c r="S10" i="706"/>
  <c r="R12" i="706"/>
  <c r="W9" i="706"/>
  <c r="I8" i="706"/>
  <c r="H46" i="705"/>
  <c r="I46" i="705" s="1"/>
  <c r="O10" i="705"/>
  <c r="T10" i="705"/>
  <c r="AD10" i="705" s="1"/>
  <c r="L23" i="707"/>
  <c r="C25" i="707"/>
  <c r="S24" i="705"/>
  <c r="J17" i="705"/>
  <c r="K25" i="705"/>
  <c r="M22" i="705"/>
  <c r="Y10" i="708"/>
  <c r="Q23" i="705"/>
  <c r="H53" i="705"/>
  <c r="I53" i="705" s="1"/>
  <c r="N9" i="4"/>
  <c r="X9" i="4" s="1"/>
  <c r="O22" i="4"/>
  <c r="P15" i="4"/>
  <c r="Y15" i="4" s="1"/>
  <c r="H65" i="474"/>
  <c r="C25" i="52"/>
  <c r="T34" i="4"/>
  <c r="M24" i="346"/>
  <c r="N15" i="4"/>
  <c r="L10" i="704"/>
  <c r="I55" i="474"/>
  <c r="M8" i="4"/>
  <c r="N16" i="4"/>
  <c r="X16" i="4" s="1"/>
  <c r="G22" i="4"/>
  <c r="C22" i="4"/>
  <c r="M16" i="4"/>
  <c r="L9" i="4"/>
  <c r="C11" i="704"/>
  <c r="AI11" i="704" s="1"/>
  <c r="H18" i="4"/>
  <c r="T25" i="703"/>
  <c r="W10" i="703"/>
  <c r="J8" i="4"/>
  <c r="I23" i="474"/>
  <c r="J18" i="4"/>
  <c r="F15" i="701"/>
  <c r="AJ15" i="701" s="1"/>
  <c r="AN15" i="701" s="1"/>
  <c r="R23" i="704"/>
  <c r="F26" i="702"/>
  <c r="AJ26" i="702" s="1"/>
  <c r="AN26" i="702" s="1"/>
  <c r="H21" i="474"/>
  <c r="U27" i="702"/>
  <c r="O9" i="703"/>
  <c r="H8" i="4"/>
  <c r="V17" i="4"/>
  <c r="C11" i="701"/>
  <c r="AI11" i="701" s="1"/>
  <c r="E76" i="474"/>
  <c r="Z12" i="703"/>
  <c r="H8" i="52"/>
  <c r="I25" i="52"/>
  <c r="G25" i="52" s="1"/>
  <c r="Q11" i="701"/>
  <c r="K46" i="474"/>
  <c r="M22" i="4"/>
  <c r="H51" i="474"/>
  <c r="Z22" i="703"/>
  <c r="S27" i="702"/>
  <c r="I17" i="52"/>
  <c r="G17" i="52" s="1"/>
  <c r="N17" i="704"/>
  <c r="H21" i="4"/>
  <c r="K8" i="4"/>
  <c r="F10" i="52"/>
  <c r="S25" i="703"/>
  <c r="U25" i="703" s="1"/>
  <c r="V8" i="4"/>
  <c r="I12" i="52"/>
  <c r="J16" i="346"/>
  <c r="J40" i="346" s="1"/>
  <c r="K12" i="346"/>
  <c r="K30" i="346" s="1"/>
  <c r="M10" i="701"/>
  <c r="H8" i="702"/>
  <c r="C12" i="704"/>
  <c r="AI12" i="704" s="1"/>
  <c r="V11" i="346"/>
  <c r="AU11" i="346" s="1"/>
  <c r="AW11" i="346" s="1"/>
  <c r="AX11" i="346" s="1"/>
  <c r="AY11" i="346" s="1"/>
  <c r="E57" i="474"/>
  <c r="U13" i="704"/>
  <c r="L18" i="701"/>
  <c r="I26" i="704"/>
  <c r="J19" i="701"/>
  <c r="K15" i="346"/>
  <c r="I43" i="474"/>
  <c r="G19" i="701"/>
  <c r="X8" i="701"/>
  <c r="O20" i="704"/>
  <c r="V11" i="702"/>
  <c r="L24" i="702"/>
  <c r="N24" i="702" s="1"/>
  <c r="Q21" i="703"/>
  <c r="J88" i="474"/>
  <c r="K36" i="474"/>
  <c r="E19" i="52"/>
  <c r="P15" i="702"/>
  <c r="AC15" i="702" s="1"/>
  <c r="E104" i="474"/>
  <c r="Y13" i="703"/>
  <c r="G22" i="704"/>
  <c r="P27" i="346"/>
  <c r="W17" i="702"/>
  <c r="U25" i="704"/>
  <c r="H11" i="474"/>
  <c r="K9" i="703"/>
  <c r="V19" i="701"/>
  <c r="M17" i="346"/>
  <c r="I23" i="702"/>
  <c r="Y27" i="703"/>
  <c r="P22" i="346"/>
  <c r="Q14" i="701"/>
  <c r="Y25" i="702"/>
  <c r="U18" i="703"/>
  <c r="AD39" i="701"/>
  <c r="K94" i="474"/>
  <c r="W17" i="704"/>
  <c r="X19" i="346"/>
  <c r="Q13" i="704"/>
  <c r="J16" i="703"/>
  <c r="F15" i="704"/>
  <c r="AJ15" i="704" s="1"/>
  <c r="AN15" i="704" s="1"/>
  <c r="AA15" i="704"/>
  <c r="H21" i="704"/>
  <c r="U20" i="703"/>
  <c r="W23" i="701"/>
  <c r="J48" i="474"/>
  <c r="G9" i="703"/>
  <c r="C15" i="702"/>
  <c r="AI15" i="702" s="1"/>
  <c r="K10" i="702"/>
  <c r="W9" i="701"/>
  <c r="V13" i="346"/>
  <c r="AU13" i="346" s="1"/>
  <c r="AW13" i="346" s="1"/>
  <c r="AX13" i="346" s="1"/>
  <c r="AY13" i="346" s="1"/>
  <c r="I20" i="52"/>
  <c r="E20" i="52" s="1"/>
  <c r="O10" i="701"/>
  <c r="V25" i="704"/>
  <c r="E99" i="474"/>
  <c r="R9" i="701"/>
  <c r="R40" i="701" s="1"/>
  <c r="X12" i="346"/>
  <c r="E16" i="52"/>
  <c r="AA23" i="703"/>
  <c r="N15" i="704"/>
  <c r="AA26" i="701"/>
  <c r="Q8" i="346"/>
  <c r="S12" i="702"/>
  <c r="C24" i="701"/>
  <c r="G24" i="703"/>
  <c r="P23" i="701"/>
  <c r="U15" i="703"/>
  <c r="Z15" i="704"/>
  <c r="R18" i="704"/>
  <c r="I17" i="703"/>
  <c r="H102" i="474"/>
  <c r="N27" i="703"/>
  <c r="N10" i="703"/>
  <c r="W23" i="702"/>
  <c r="S40" i="704"/>
  <c r="I13" i="703"/>
  <c r="N23" i="346"/>
  <c r="W17" i="346"/>
  <c r="AV17" i="346" s="1"/>
  <c r="K16" i="703"/>
  <c r="L10" i="346"/>
  <c r="V9" i="702"/>
  <c r="E26" i="474"/>
  <c r="Y22" i="346"/>
  <c r="X18" i="701"/>
  <c r="L21" i="702"/>
  <c r="Q25" i="702"/>
  <c r="Q24" i="704"/>
  <c r="Z21" i="701"/>
  <c r="K21" i="704"/>
  <c r="J27" i="346"/>
  <c r="U18" i="701"/>
  <c r="Q15" i="346"/>
  <c r="C12" i="702"/>
  <c r="AI12" i="702" s="1"/>
  <c r="N11" i="702"/>
  <c r="T19" i="701"/>
  <c r="AD19" i="701" s="1"/>
  <c r="AA8" i="704"/>
  <c r="J21" i="703"/>
  <c r="F17" i="702"/>
  <c r="AJ17" i="702" s="1"/>
  <c r="AN17" i="702" s="1"/>
  <c r="W15" i="701"/>
  <c r="Y27" i="346"/>
  <c r="I18" i="346"/>
  <c r="Z26" i="701"/>
  <c r="S20" i="704"/>
  <c r="K48" i="474"/>
  <c r="H53" i="474"/>
  <c r="Q10" i="346"/>
  <c r="W18" i="702"/>
  <c r="W32" i="702" s="1"/>
  <c r="N15" i="702"/>
  <c r="K15" i="704"/>
  <c r="O16" i="702"/>
  <c r="T18" i="703"/>
  <c r="AD18" i="703" s="1"/>
  <c r="Z14" i="704"/>
  <c r="U24" i="701"/>
  <c r="K26" i="704"/>
  <c r="E84" i="474"/>
  <c r="Y27" i="701"/>
  <c r="G11" i="701"/>
  <c r="R20" i="701"/>
  <c r="V12" i="703"/>
  <c r="X24" i="702"/>
  <c r="K92" i="474"/>
  <c r="T23" i="703"/>
  <c r="M12" i="346"/>
  <c r="M30" i="346" s="1"/>
  <c r="I20" i="703"/>
  <c r="E12" i="474"/>
  <c r="O9" i="702"/>
  <c r="O34" i="702" s="1"/>
  <c r="P24" i="702"/>
  <c r="W13" i="702"/>
  <c r="Z12" i="704"/>
  <c r="V21" i="701"/>
  <c r="H22" i="346"/>
  <c r="V21" i="346"/>
  <c r="AU21" i="346" s="1"/>
  <c r="W27" i="704"/>
  <c r="N17" i="702"/>
  <c r="H15" i="346"/>
  <c r="C8" i="703"/>
  <c r="AI8" i="703" s="1"/>
  <c r="T27" i="346"/>
  <c r="Z23" i="701"/>
  <c r="F24" i="703"/>
  <c r="AJ24" i="703" s="1"/>
  <c r="AN24" i="703" s="1"/>
  <c r="C21" i="703"/>
  <c r="AI21" i="703" s="1"/>
  <c r="T16" i="704"/>
  <c r="J62" i="474"/>
  <c r="AA15" i="701"/>
  <c r="R8" i="701"/>
  <c r="L8" i="346"/>
  <c r="Y19" i="701"/>
  <c r="AC39" i="701"/>
  <c r="J32" i="474"/>
  <c r="X24" i="346"/>
  <c r="F20" i="703"/>
  <c r="AJ20" i="703" s="1"/>
  <c r="AN20" i="703" s="1"/>
  <c r="N17" i="703"/>
  <c r="H30" i="474"/>
  <c r="I6" i="52"/>
  <c r="G6" i="52" s="1"/>
  <c r="H49" i="703"/>
  <c r="I49" i="703" s="1"/>
  <c r="I68" i="703" s="1"/>
  <c r="I34" i="703" s="1"/>
  <c r="H58" i="701"/>
  <c r="I58" i="701" s="1"/>
  <c r="H56" i="702"/>
  <c r="I56" i="702" s="1"/>
  <c r="O25" i="346"/>
  <c r="K45" i="474"/>
  <c r="H50" i="702"/>
  <c r="I50" i="702" s="1"/>
  <c r="D8" i="900"/>
  <c r="H10" i="739" a="1"/>
  <c r="I11" i="739" a="1"/>
  <c r="I9" i="739" a="1"/>
  <c r="H7" i="739" a="1"/>
  <c r="H11" i="739" a="1"/>
  <c r="I10" i="739" a="1"/>
  <c r="I7" i="739" a="1"/>
  <c r="H9" i="739" a="1"/>
  <c r="D14" i="729" a="1"/>
  <c r="D15" i="730" a="1"/>
  <c r="E8" i="900" a="1"/>
  <c r="K26" i="708" l="1"/>
  <c r="Q26" i="708"/>
  <c r="I29" i="708"/>
  <c r="AD10" i="708"/>
  <c r="N29" i="708"/>
  <c r="K29" i="708"/>
  <c r="S26" i="708"/>
  <c r="D15" i="730"/>
  <c r="D14" i="729"/>
  <c r="H9" i="739"/>
  <c r="I7" i="739"/>
  <c r="I10" i="739"/>
  <c r="H11" i="739"/>
  <c r="H7" i="739"/>
  <c r="I9" i="739"/>
  <c r="I11" i="739"/>
  <c r="H10" i="739"/>
  <c r="AP29" i="705"/>
  <c r="AN33" i="705"/>
  <c r="U31" i="707"/>
  <c r="U39" i="707"/>
  <c r="N40" i="704"/>
  <c r="U29" i="707"/>
  <c r="U36" i="707" s="1"/>
  <c r="U28" i="707"/>
  <c r="P47" i="703"/>
  <c r="U36" i="703"/>
  <c r="U30" i="703"/>
  <c r="U32" i="703"/>
  <c r="U34" i="703"/>
  <c r="U29" i="703"/>
  <c r="U37" i="703" s="1"/>
  <c r="U35" i="703"/>
  <c r="U31" i="703"/>
  <c r="M62" i="702"/>
  <c r="P62" i="702" s="1"/>
  <c r="T62" i="702"/>
  <c r="W62" i="702" s="1"/>
  <c r="AA62" i="702" s="1"/>
  <c r="N31" i="704"/>
  <c r="D6" i="52"/>
  <c r="M61" i="704"/>
  <c r="P61" i="704" s="1"/>
  <c r="T61" i="704"/>
  <c r="K30" i="701"/>
  <c r="K32" i="701"/>
  <c r="K31" i="701"/>
  <c r="K29" i="701"/>
  <c r="K40" i="701"/>
  <c r="F6" i="52"/>
  <c r="W31" i="707"/>
  <c r="T52" i="703"/>
  <c r="M52" i="703"/>
  <c r="P52" i="703" s="1"/>
  <c r="Y29" i="701"/>
  <c r="Y34" i="701" s="1"/>
  <c r="Y30" i="701"/>
  <c r="Y32" i="701"/>
  <c r="Y37" i="701" s="1"/>
  <c r="Y31" i="701"/>
  <c r="Y36" i="701" s="1"/>
  <c r="R30" i="703"/>
  <c r="T58" i="702"/>
  <c r="M58" i="702"/>
  <c r="P58" i="702" s="1"/>
  <c r="M65" i="702"/>
  <c r="P65" i="702" s="1"/>
  <c r="T65" i="702"/>
  <c r="W65" i="702" s="1"/>
  <c r="AA65" i="702" s="1"/>
  <c r="K40" i="346"/>
  <c r="AN9" i="706"/>
  <c r="AN20" i="706" s="1"/>
  <c r="J30" i="701"/>
  <c r="U40" i="703"/>
  <c r="L30" i="703"/>
  <c r="AD12" i="701"/>
  <c r="I29" i="4"/>
  <c r="I30" i="4"/>
  <c r="I32" i="4"/>
  <c r="I31" i="4"/>
  <c r="Z17" i="706"/>
  <c r="AQ17" i="706" s="1"/>
  <c r="Z18" i="706"/>
  <c r="AQ18" i="706" s="1"/>
  <c r="Z19" i="706"/>
  <c r="AQ19" i="706" s="1"/>
  <c r="Z20" i="706"/>
  <c r="AQ20" i="706" s="1"/>
  <c r="Z28" i="706"/>
  <c r="AQ28" i="706" s="1"/>
  <c r="R31" i="703"/>
  <c r="S30" i="705"/>
  <c r="S28" i="705"/>
  <c r="S31" i="705"/>
  <c r="S29" i="705"/>
  <c r="P28" i="705"/>
  <c r="P30" i="705"/>
  <c r="P29" i="705"/>
  <c r="P31" i="705"/>
  <c r="AC8" i="705"/>
  <c r="I30" i="702"/>
  <c r="O32" i="704"/>
  <c r="AM51" i="2"/>
  <c r="AV51" i="2" s="1"/>
  <c r="Q29" i="702"/>
  <c r="P32" i="702"/>
  <c r="L30" i="702"/>
  <c r="U35" i="707"/>
  <c r="L31" i="702"/>
  <c r="AC15" i="707"/>
  <c r="M59" i="707"/>
  <c r="P59" i="707" s="1"/>
  <c r="T59" i="707"/>
  <c r="W59" i="707" s="1"/>
  <c r="AA59" i="707" s="1"/>
  <c r="Y26" i="708"/>
  <c r="Y29" i="708"/>
  <c r="AC18" i="702"/>
  <c r="M28" i="707"/>
  <c r="Z29" i="707"/>
  <c r="P29" i="703"/>
  <c r="M30" i="705"/>
  <c r="T31" i="701"/>
  <c r="T32" i="701"/>
  <c r="AD8" i="701"/>
  <c r="T30" i="701"/>
  <c r="T29" i="701"/>
  <c r="I40" i="704"/>
  <c r="M57" i="707"/>
  <c r="P57" i="707" s="1"/>
  <c r="T57" i="707"/>
  <c r="W57" i="707" s="1"/>
  <c r="AA57" i="707" s="1"/>
  <c r="AC12" i="706"/>
  <c r="U34" i="707"/>
  <c r="L17" i="706"/>
  <c r="L19" i="706"/>
  <c r="L20" i="706"/>
  <c r="L18" i="706"/>
  <c r="N26" i="708"/>
  <c r="T52" i="707"/>
  <c r="W52" i="707" s="1"/>
  <c r="M52" i="707"/>
  <c r="P52" i="707" s="1"/>
  <c r="L29" i="702"/>
  <c r="X21" i="4"/>
  <c r="M31" i="705"/>
  <c r="AD13" i="703"/>
  <c r="T59" i="702"/>
  <c r="W59" i="702" s="1"/>
  <c r="AA59" i="702" s="1"/>
  <c r="M59" i="702"/>
  <c r="P59" i="702" s="1"/>
  <c r="D23" i="52"/>
  <c r="E23" i="52"/>
  <c r="P30" i="704"/>
  <c r="X13" i="4"/>
  <c r="T63" i="703"/>
  <c r="M63" i="703"/>
  <c r="P63" i="703" s="1"/>
  <c r="AV8" i="346"/>
  <c r="W29" i="346"/>
  <c r="W31" i="346"/>
  <c r="W30" i="346"/>
  <c r="W32" i="346"/>
  <c r="AC8" i="346"/>
  <c r="F13" i="52"/>
  <c r="E13" i="52"/>
  <c r="J30" i="707"/>
  <c r="N40" i="703"/>
  <c r="AN16" i="703"/>
  <c r="AD16" i="703"/>
  <c r="L30" i="701"/>
  <c r="S30" i="4"/>
  <c r="S31" i="4"/>
  <c r="S32" i="4"/>
  <c r="S29" i="4"/>
  <c r="X34" i="4"/>
  <c r="N35" i="4"/>
  <c r="E11" i="52"/>
  <c r="AC18" i="707"/>
  <c r="Y32" i="704"/>
  <c r="Y37" i="704" s="1"/>
  <c r="P53" i="704"/>
  <c r="AN27" i="704"/>
  <c r="M47" i="705"/>
  <c r="P47" i="705" s="1"/>
  <c r="T48" i="707"/>
  <c r="M48" i="707"/>
  <c r="P48" i="707" s="1"/>
  <c r="M55" i="705"/>
  <c r="P55" i="705" s="1"/>
  <c r="T55" i="705"/>
  <c r="AN18" i="707"/>
  <c r="AN26" i="704"/>
  <c r="U30" i="707"/>
  <c r="Y30" i="707"/>
  <c r="Y28" i="707"/>
  <c r="W30" i="702"/>
  <c r="R32" i="702"/>
  <c r="M32" i="346"/>
  <c r="M31" i="346"/>
  <c r="N34" i="704"/>
  <c r="T65" i="705"/>
  <c r="M65" i="705"/>
  <c r="P65" i="705" s="1"/>
  <c r="Q19" i="706"/>
  <c r="Q20" i="706"/>
  <c r="Q17" i="706"/>
  <c r="Q18" i="706"/>
  <c r="O31" i="704"/>
  <c r="W31" i="702"/>
  <c r="T48" i="705"/>
  <c r="M48" i="705"/>
  <c r="P48" i="705" s="1"/>
  <c r="K31" i="704"/>
  <c r="K32" i="704"/>
  <c r="K30" i="704"/>
  <c r="T47" i="708"/>
  <c r="M47" i="708"/>
  <c r="P47" i="708" s="1"/>
  <c r="T53" i="346"/>
  <c r="M53" i="346"/>
  <c r="P53" i="346" s="1"/>
  <c r="P28" i="707"/>
  <c r="P29" i="707"/>
  <c r="P31" i="707"/>
  <c r="P30" i="707"/>
  <c r="AC8" i="707"/>
  <c r="N35" i="704"/>
  <c r="T48" i="346"/>
  <c r="W48" i="346" s="1"/>
  <c r="AA48" i="346" s="1"/>
  <c r="AB48" i="346" s="1"/>
  <c r="M48" i="346"/>
  <c r="P48" i="346" s="1"/>
  <c r="I40" i="346"/>
  <c r="AN22" i="703"/>
  <c r="Z28" i="707"/>
  <c r="J32" i="346"/>
  <c r="K35" i="4"/>
  <c r="AC9" i="708"/>
  <c r="T57" i="703"/>
  <c r="M57" i="703"/>
  <c r="P57" i="703" s="1"/>
  <c r="D25" i="52"/>
  <c r="J31" i="703"/>
  <c r="J40" i="703"/>
  <c r="T54" i="703"/>
  <c r="M54" i="703"/>
  <c r="P54" i="703" s="1"/>
  <c r="M29" i="705"/>
  <c r="AC18" i="346"/>
  <c r="Z29" i="346"/>
  <c r="AD11" i="704"/>
  <c r="Y24" i="4"/>
  <c r="W17" i="706"/>
  <c r="W18" i="706"/>
  <c r="W20" i="706"/>
  <c r="W19" i="706"/>
  <c r="P29" i="704"/>
  <c r="D9" i="52"/>
  <c r="F9" i="52"/>
  <c r="G9" i="52"/>
  <c r="I29" i="704"/>
  <c r="AC8" i="701"/>
  <c r="P30" i="701"/>
  <c r="P31" i="701"/>
  <c r="P29" i="701"/>
  <c r="P32" i="701"/>
  <c r="T30" i="4"/>
  <c r="T31" i="4"/>
  <c r="T32" i="4"/>
  <c r="T29" i="4"/>
  <c r="AC8" i="706"/>
  <c r="P18" i="706"/>
  <c r="P20" i="706"/>
  <c r="P19" i="706"/>
  <c r="P17" i="706"/>
  <c r="W30" i="701"/>
  <c r="W31" i="701"/>
  <c r="W32" i="701"/>
  <c r="M32" i="4"/>
  <c r="M29" i="4"/>
  <c r="M30" i="4"/>
  <c r="M31" i="4"/>
  <c r="AD17" i="704"/>
  <c r="I30" i="701"/>
  <c r="S31" i="702"/>
  <c r="S30" i="702"/>
  <c r="S29" i="702"/>
  <c r="S32" i="702"/>
  <c r="S40" i="702"/>
  <c r="J18" i="52"/>
  <c r="N22" i="708"/>
  <c r="N16" i="708"/>
  <c r="N18" i="708"/>
  <c r="N20" i="708"/>
  <c r="N21" i="708"/>
  <c r="N15" i="708"/>
  <c r="N17" i="708"/>
  <c r="M36" i="708"/>
  <c r="AC13" i="708"/>
  <c r="Y32" i="703"/>
  <c r="Y37" i="703" s="1"/>
  <c r="Y29" i="703"/>
  <c r="Y34" i="703" s="1"/>
  <c r="Y31" i="703"/>
  <c r="Y36" i="703" s="1"/>
  <c r="M59" i="346"/>
  <c r="P59" i="346" s="1"/>
  <c r="T59" i="346"/>
  <c r="I30" i="703"/>
  <c r="I32" i="703"/>
  <c r="I29" i="703"/>
  <c r="I31" i="703"/>
  <c r="AD8" i="703"/>
  <c r="T29" i="703"/>
  <c r="T30" i="703"/>
  <c r="T31" i="703"/>
  <c r="T32" i="703"/>
  <c r="E9" i="52"/>
  <c r="P31" i="704"/>
  <c r="AI12" i="346"/>
  <c r="AR12" i="346"/>
  <c r="T37" i="708"/>
  <c r="M37" i="708"/>
  <c r="P37" i="708" s="1"/>
  <c r="I59" i="708"/>
  <c r="I23" i="708" s="1"/>
  <c r="I56" i="708"/>
  <c r="I20" i="708" s="1"/>
  <c r="I58" i="708"/>
  <c r="I22" i="708" s="1"/>
  <c r="I57" i="708"/>
  <c r="I21" i="708" s="1"/>
  <c r="AC12" i="703"/>
  <c r="AC40" i="703" s="1"/>
  <c r="V20" i="708"/>
  <c r="V15" i="708"/>
  <c r="V17" i="708"/>
  <c r="V21" i="708"/>
  <c r="V22" i="708"/>
  <c r="V18" i="708"/>
  <c r="V16" i="708"/>
  <c r="W29" i="703"/>
  <c r="W32" i="703"/>
  <c r="W30" i="703"/>
  <c r="W31" i="703"/>
  <c r="AC8" i="703"/>
  <c r="J29" i="701"/>
  <c r="J40" i="701"/>
  <c r="R40" i="703"/>
  <c r="R32" i="703"/>
  <c r="Q29" i="708"/>
  <c r="AR14" i="346"/>
  <c r="AI14" i="346"/>
  <c r="J31" i="707"/>
  <c r="AN23" i="702"/>
  <c r="M50" i="701"/>
  <c r="P50" i="701" s="1"/>
  <c r="T50" i="701"/>
  <c r="U18" i="706"/>
  <c r="U19" i="706"/>
  <c r="U22" i="706"/>
  <c r="U23" i="706"/>
  <c r="U20" i="706"/>
  <c r="U24" i="706"/>
  <c r="U17" i="706"/>
  <c r="U25" i="706" s="1"/>
  <c r="Z31" i="707"/>
  <c r="T28" i="705"/>
  <c r="AD8" i="705"/>
  <c r="T31" i="705"/>
  <c r="T30" i="705"/>
  <c r="T29" i="705"/>
  <c r="W47" i="703"/>
  <c r="AD16" i="707"/>
  <c r="AA30" i="701"/>
  <c r="AA32" i="701"/>
  <c r="AA29" i="701"/>
  <c r="AA31" i="701"/>
  <c r="S35" i="4"/>
  <c r="Y31" i="704"/>
  <c r="Y36" i="704" s="1"/>
  <c r="K30" i="703"/>
  <c r="K32" i="703"/>
  <c r="K31" i="703"/>
  <c r="K29" i="703"/>
  <c r="K40" i="703"/>
  <c r="N30" i="346"/>
  <c r="N32" i="346"/>
  <c r="N34" i="346"/>
  <c r="N35" i="346"/>
  <c r="N29" i="346"/>
  <c r="N37" i="346" s="1"/>
  <c r="N31" i="346"/>
  <c r="N36" i="346"/>
  <c r="N40" i="346"/>
  <c r="V17" i="706"/>
  <c r="V18" i="706"/>
  <c r="V19" i="706"/>
  <c r="V20" i="706"/>
  <c r="H23" i="52"/>
  <c r="T38" i="706"/>
  <c r="M38" i="706"/>
  <c r="P38" i="706" s="1"/>
  <c r="S31" i="346"/>
  <c r="S30" i="346"/>
  <c r="S29" i="346"/>
  <c r="S32" i="346"/>
  <c r="S40" i="346"/>
  <c r="M65" i="703"/>
  <c r="P65" i="703" s="1"/>
  <c r="T65" i="703"/>
  <c r="M52" i="705"/>
  <c r="P52" i="705" s="1"/>
  <c r="T52" i="705"/>
  <c r="W52" i="705" s="1"/>
  <c r="AA52" i="705" s="1"/>
  <c r="D20" i="52"/>
  <c r="AI17" i="346"/>
  <c r="AR17" i="346"/>
  <c r="O30" i="704"/>
  <c r="T39" i="706"/>
  <c r="M39" i="706"/>
  <c r="P39" i="706" s="1"/>
  <c r="T41" i="706"/>
  <c r="W41" i="706" s="1"/>
  <c r="AA41" i="706" s="1"/>
  <c r="M41" i="706"/>
  <c r="P41" i="706" s="1"/>
  <c r="N30" i="702"/>
  <c r="T61" i="703"/>
  <c r="M61" i="703"/>
  <c r="P61" i="703" s="1"/>
  <c r="G12" i="52"/>
  <c r="F12" i="52"/>
  <c r="M60" i="707"/>
  <c r="P60" i="707" s="1"/>
  <c r="T60" i="707"/>
  <c r="M60" i="705"/>
  <c r="P60" i="705" s="1"/>
  <c r="T60" i="705"/>
  <c r="W28" i="707"/>
  <c r="R29" i="702"/>
  <c r="V29" i="4"/>
  <c r="E6" i="51" s="1"/>
  <c r="V30" i="4"/>
  <c r="E7" i="51" s="1"/>
  <c r="E14" i="51" s="1"/>
  <c r="V31" i="4"/>
  <c r="E8" i="51" s="1"/>
  <c r="E13" i="51" s="1"/>
  <c r="V32" i="4"/>
  <c r="E9" i="51" s="1"/>
  <c r="E16" i="51" s="1"/>
  <c r="AD24" i="707"/>
  <c r="L30" i="705"/>
  <c r="AU8" i="346"/>
  <c r="V29" i="346"/>
  <c r="V31" i="346"/>
  <c r="V30" i="346"/>
  <c r="V32" i="346"/>
  <c r="Z40" i="704"/>
  <c r="M50" i="705"/>
  <c r="P50" i="705" s="1"/>
  <c r="T50" i="705"/>
  <c r="W50" i="705" s="1"/>
  <c r="AA50" i="705" s="1"/>
  <c r="Z32" i="346"/>
  <c r="U30" i="4"/>
  <c r="U31" i="4"/>
  <c r="U32" i="4"/>
  <c r="U29" i="4"/>
  <c r="M53" i="705"/>
  <c r="P53" i="705" s="1"/>
  <c r="T53" i="705"/>
  <c r="AC9" i="346"/>
  <c r="P30" i="346"/>
  <c r="D7" i="351" s="1"/>
  <c r="P32" i="346"/>
  <c r="D9" i="351" s="1"/>
  <c r="D16" i="351" s="1"/>
  <c r="P29" i="346"/>
  <c r="D6" i="351" s="1"/>
  <c r="P31" i="346"/>
  <c r="D8" i="351" s="1"/>
  <c r="D13" i="351" s="1"/>
  <c r="J29" i="703"/>
  <c r="AA20" i="706"/>
  <c r="AA17" i="706"/>
  <c r="AA18" i="706"/>
  <c r="AA19" i="706"/>
  <c r="M70" i="704"/>
  <c r="P70" i="704" s="1"/>
  <c r="T70" i="704"/>
  <c r="M61" i="346"/>
  <c r="P61" i="346" s="1"/>
  <c r="T61" i="346"/>
  <c r="W61" i="346" s="1"/>
  <c r="AA61" i="346" s="1"/>
  <c r="K29" i="346"/>
  <c r="I30" i="704"/>
  <c r="U31" i="702"/>
  <c r="U35" i="702"/>
  <c r="U30" i="702"/>
  <c r="U32" i="702"/>
  <c r="U36" i="702"/>
  <c r="U34" i="702"/>
  <c r="U29" i="702"/>
  <c r="U40" i="702"/>
  <c r="M31" i="707"/>
  <c r="J30" i="703"/>
  <c r="T49" i="707"/>
  <c r="W49" i="707" s="1"/>
  <c r="AA49" i="707" s="1"/>
  <c r="M49" i="707"/>
  <c r="P49" i="707" s="1"/>
  <c r="E25" i="52"/>
  <c r="K30" i="705"/>
  <c r="T62" i="707"/>
  <c r="W62" i="707" s="1"/>
  <c r="AA62" i="707" s="1"/>
  <c r="M62" i="707"/>
  <c r="P62" i="707" s="1"/>
  <c r="P30" i="702"/>
  <c r="H12" i="739"/>
  <c r="K12" i="739" s="1"/>
  <c r="AD12" i="707"/>
  <c r="T50" i="702"/>
  <c r="W50" i="702" s="1"/>
  <c r="AA50" i="702" s="1"/>
  <c r="M50" i="702"/>
  <c r="P50" i="702" s="1"/>
  <c r="L32" i="346"/>
  <c r="L29" i="346"/>
  <c r="L30" i="346"/>
  <c r="L31" i="346"/>
  <c r="L40" i="346"/>
  <c r="V30" i="702"/>
  <c r="V40" i="702"/>
  <c r="V29" i="702"/>
  <c r="V37" i="702" s="1"/>
  <c r="V31" i="702"/>
  <c r="V35" i="702"/>
  <c r="V32" i="702"/>
  <c r="V34" i="702"/>
  <c r="V36" i="702"/>
  <c r="I29" i="705"/>
  <c r="I31" i="705"/>
  <c r="I28" i="705"/>
  <c r="I30" i="705"/>
  <c r="Q32" i="701"/>
  <c r="K28" i="707"/>
  <c r="I32" i="701"/>
  <c r="O32" i="346"/>
  <c r="O30" i="346"/>
  <c r="O29" i="346"/>
  <c r="O31" i="346"/>
  <c r="U35" i="4"/>
  <c r="AC16" i="707"/>
  <c r="T54" i="702"/>
  <c r="W54" i="702" s="1"/>
  <c r="AA54" i="702" s="1"/>
  <c r="M54" i="702"/>
  <c r="P54" i="702" s="1"/>
  <c r="M30" i="704"/>
  <c r="T57" i="346"/>
  <c r="W57" i="346" s="1"/>
  <c r="AA57" i="346" s="1"/>
  <c r="AB57" i="346" s="1"/>
  <c r="M57" i="346"/>
  <c r="P57" i="346" s="1"/>
  <c r="M66" i="703"/>
  <c r="P66" i="703" s="1"/>
  <c r="T66" i="703"/>
  <c r="W66" i="703" s="1"/>
  <c r="AA66" i="703" s="1"/>
  <c r="D10" i="51"/>
  <c r="O35" i="4"/>
  <c r="AC9" i="701"/>
  <c r="AC11" i="706"/>
  <c r="T64" i="704"/>
  <c r="M64" i="704"/>
  <c r="P64" i="704" s="1"/>
  <c r="Q29" i="703"/>
  <c r="Q31" i="703"/>
  <c r="Q30" i="703"/>
  <c r="Q32" i="703"/>
  <c r="R31" i="4"/>
  <c r="R32" i="4"/>
  <c r="R30" i="4"/>
  <c r="R29" i="4"/>
  <c r="M57" i="704"/>
  <c r="P57" i="704" s="1"/>
  <c r="T57" i="704"/>
  <c r="I28" i="707"/>
  <c r="AD9" i="706"/>
  <c r="AD28" i="706" s="1"/>
  <c r="E22" i="52"/>
  <c r="D22" i="52"/>
  <c r="H22" i="52"/>
  <c r="AC15" i="703"/>
  <c r="T61" i="705"/>
  <c r="M61" i="705"/>
  <c r="P61" i="705" s="1"/>
  <c r="F20" i="52"/>
  <c r="Z29" i="705"/>
  <c r="Z28" i="705"/>
  <c r="Z31" i="705"/>
  <c r="Z30" i="705"/>
  <c r="Z39" i="705"/>
  <c r="K29" i="705"/>
  <c r="I69" i="703"/>
  <c r="I35" i="703" s="1"/>
  <c r="Y34" i="4"/>
  <c r="P35" i="4"/>
  <c r="E8" i="52"/>
  <c r="J8" i="52" s="1"/>
  <c r="Y29" i="704"/>
  <c r="Y34" i="704" s="1"/>
  <c r="T60" i="702"/>
  <c r="M60" i="702"/>
  <c r="P60" i="702" s="1"/>
  <c r="T19" i="706"/>
  <c r="AD8" i="706"/>
  <c r="T18" i="706"/>
  <c r="T20" i="706"/>
  <c r="T17" i="706"/>
  <c r="AD11" i="706"/>
  <c r="I69" i="346"/>
  <c r="I35" i="346" s="1"/>
  <c r="AC10" i="703"/>
  <c r="X30" i="705"/>
  <c r="X35" i="705" s="1"/>
  <c r="M55" i="703"/>
  <c r="P55" i="703" s="1"/>
  <c r="T55" i="703"/>
  <c r="W55" i="703" s="1"/>
  <c r="AA55" i="703" s="1"/>
  <c r="AI10" i="346"/>
  <c r="AR10" i="346"/>
  <c r="K39" i="707"/>
  <c r="S39" i="705"/>
  <c r="AC17" i="701"/>
  <c r="O35" i="707"/>
  <c r="J20" i="706"/>
  <c r="J17" i="706"/>
  <c r="J19" i="706"/>
  <c r="J18" i="706"/>
  <c r="U31" i="346"/>
  <c r="U32" i="346"/>
  <c r="U34" i="346"/>
  <c r="U29" i="346"/>
  <c r="U35" i="346"/>
  <c r="U36" i="346"/>
  <c r="U30" i="346"/>
  <c r="U37" i="346" s="1"/>
  <c r="U40" i="346"/>
  <c r="T30" i="704"/>
  <c r="AD8" i="704"/>
  <c r="T29" i="704"/>
  <c r="T32" i="704"/>
  <c r="T31" i="704"/>
  <c r="T40" i="706"/>
  <c r="W40" i="706" s="1"/>
  <c r="AA40" i="706" s="1"/>
  <c r="M40" i="706"/>
  <c r="P40" i="706" s="1"/>
  <c r="Z29" i="704"/>
  <c r="V30" i="704"/>
  <c r="V29" i="704"/>
  <c r="V31" i="704"/>
  <c r="V32" i="704"/>
  <c r="AD10" i="701"/>
  <c r="AD40" i="701" s="1"/>
  <c r="T63" i="346"/>
  <c r="M63" i="346"/>
  <c r="P63" i="346" s="1"/>
  <c r="T65" i="346"/>
  <c r="W65" i="346" s="1"/>
  <c r="AA65" i="346" s="1"/>
  <c r="M65" i="346"/>
  <c r="P65" i="346" s="1"/>
  <c r="K40" i="704"/>
  <c r="V35" i="4"/>
  <c r="E10" i="51"/>
  <c r="Y40" i="701"/>
  <c r="AV44" i="346"/>
  <c r="AV43" i="346"/>
  <c r="T47" i="707"/>
  <c r="M47" i="707"/>
  <c r="P47" i="707" s="1"/>
  <c r="I39" i="707"/>
  <c r="AD21" i="702"/>
  <c r="T69" i="704"/>
  <c r="W69" i="704" s="1"/>
  <c r="AA69" i="704" s="1"/>
  <c r="M69" i="704"/>
  <c r="P69" i="704" s="1"/>
  <c r="AR13" i="346"/>
  <c r="AI13" i="346"/>
  <c r="AN18" i="706"/>
  <c r="AN19" i="706"/>
  <c r="U9" i="705"/>
  <c r="T47" i="705" s="1"/>
  <c r="W47" i="705" s="1"/>
  <c r="AA47" i="705" s="1"/>
  <c r="L40" i="703"/>
  <c r="AN25" i="703"/>
  <c r="AW21" i="346"/>
  <c r="AX21" i="346" s="1"/>
  <c r="AY21" i="346" s="1"/>
  <c r="I68" i="707"/>
  <c r="I34" i="707" s="1"/>
  <c r="S29" i="708"/>
  <c r="O29" i="701"/>
  <c r="O31" i="701"/>
  <c r="O30" i="701"/>
  <c r="O32" i="701"/>
  <c r="M55" i="704"/>
  <c r="P55" i="704" s="1"/>
  <c r="T55" i="704"/>
  <c r="W55" i="704" s="1"/>
  <c r="AA55" i="704" s="1"/>
  <c r="I77" i="704"/>
  <c r="I37" i="704" s="1"/>
  <c r="I74" i="704"/>
  <c r="I34" i="704" s="1"/>
  <c r="I42" i="704"/>
  <c r="I69" i="707"/>
  <c r="I35" i="707" s="1"/>
  <c r="R29" i="701"/>
  <c r="R31" i="701"/>
  <c r="R30" i="701"/>
  <c r="R32" i="701"/>
  <c r="AA29" i="704"/>
  <c r="AA31" i="704"/>
  <c r="AA30" i="704"/>
  <c r="AA32" i="704"/>
  <c r="I70" i="707"/>
  <c r="I36" i="707" s="1"/>
  <c r="K29" i="707"/>
  <c r="M61" i="701"/>
  <c r="P61" i="701" s="1"/>
  <c r="T61" i="701"/>
  <c r="AC16" i="703"/>
  <c r="K32" i="702"/>
  <c r="K30" i="702"/>
  <c r="K31" i="702"/>
  <c r="K29" i="702"/>
  <c r="K40" i="702"/>
  <c r="T56" i="707"/>
  <c r="M56" i="707"/>
  <c r="P56" i="707" s="1"/>
  <c r="AD26" i="707"/>
  <c r="M57" i="701"/>
  <c r="P57" i="701" s="1"/>
  <c r="T57" i="701"/>
  <c r="W57" i="701" s="1"/>
  <c r="AA57" i="701" s="1"/>
  <c r="H20" i="52"/>
  <c r="Z29" i="702"/>
  <c r="Z31" i="702"/>
  <c r="Z32" i="702"/>
  <c r="Z30" i="702"/>
  <c r="Z40" i="702"/>
  <c r="Y12" i="4"/>
  <c r="P32" i="704"/>
  <c r="AC21" i="346"/>
  <c r="AN22" i="346"/>
  <c r="T15" i="708"/>
  <c r="T17" i="708"/>
  <c r="AD8" i="708"/>
  <c r="T16" i="708"/>
  <c r="T18" i="708"/>
  <c r="T66" i="702"/>
  <c r="M66" i="702"/>
  <c r="P66" i="702" s="1"/>
  <c r="F16" i="52"/>
  <c r="J16" i="52" s="1"/>
  <c r="AC22" i="707"/>
  <c r="R19" i="706"/>
  <c r="R18" i="706"/>
  <c r="R20" i="706"/>
  <c r="R17" i="706"/>
  <c r="I29" i="707"/>
  <c r="AC23" i="705"/>
  <c r="AR21" i="346"/>
  <c r="AI21" i="346"/>
  <c r="AD12" i="702"/>
  <c r="X32" i="703"/>
  <c r="X37" i="703" s="1"/>
  <c r="V33" i="707"/>
  <c r="V30" i="707"/>
  <c r="V28" i="707"/>
  <c r="V31" i="707"/>
  <c r="V36" i="707" s="1"/>
  <c r="V34" i="707"/>
  <c r="V35" i="707"/>
  <c r="V29" i="707"/>
  <c r="J18" i="708"/>
  <c r="J15" i="708"/>
  <c r="J17" i="708"/>
  <c r="J16" i="708"/>
  <c r="J26" i="708"/>
  <c r="J29" i="708"/>
  <c r="AM291" i="2"/>
  <c r="AV291" i="2" s="1"/>
  <c r="K28" i="705"/>
  <c r="T59" i="703"/>
  <c r="W59" i="703" s="1"/>
  <c r="AA59" i="703" s="1"/>
  <c r="M59" i="703"/>
  <c r="P59" i="703" s="1"/>
  <c r="AN24" i="346"/>
  <c r="AC16" i="701"/>
  <c r="G7" i="52"/>
  <c r="G27" i="52" s="1"/>
  <c r="J29" i="705"/>
  <c r="J28" i="705"/>
  <c r="J31" i="705"/>
  <c r="J30" i="705"/>
  <c r="J39" i="705"/>
  <c r="AD18" i="707"/>
  <c r="N39" i="705"/>
  <c r="I70" i="346"/>
  <c r="I36" i="346" s="1"/>
  <c r="W30" i="705"/>
  <c r="M49" i="703"/>
  <c r="P49" i="703" s="1"/>
  <c r="T49" i="703"/>
  <c r="W49" i="703" s="1"/>
  <c r="AA49" i="703" s="1"/>
  <c r="F25" i="52"/>
  <c r="H25" i="52"/>
  <c r="I20" i="706"/>
  <c r="I17" i="706"/>
  <c r="I19" i="706"/>
  <c r="I18" i="706"/>
  <c r="P16" i="708"/>
  <c r="AC8" i="708"/>
  <c r="AC26" i="708" s="1"/>
  <c r="P18" i="708"/>
  <c r="P15" i="708"/>
  <c r="P17" i="708"/>
  <c r="H35" i="4"/>
  <c r="C10" i="51"/>
  <c r="W15" i="708"/>
  <c r="W17" i="708"/>
  <c r="W16" i="708"/>
  <c r="W18" i="708"/>
  <c r="L16" i="708"/>
  <c r="L18" i="708"/>
  <c r="L15" i="708"/>
  <c r="L17" i="708"/>
  <c r="L26" i="708"/>
  <c r="L29" i="708"/>
  <c r="Q29" i="704"/>
  <c r="M51" i="703"/>
  <c r="P51" i="703" s="1"/>
  <c r="T51" i="703"/>
  <c r="U20" i="708"/>
  <c r="U15" i="708"/>
  <c r="U17" i="708"/>
  <c r="U21" i="708"/>
  <c r="U16" i="708"/>
  <c r="U22" i="708"/>
  <c r="U18" i="708"/>
  <c r="T36" i="708"/>
  <c r="AI8" i="346"/>
  <c r="AR8" i="346"/>
  <c r="M17" i="706"/>
  <c r="M20" i="706"/>
  <c r="M18" i="706"/>
  <c r="M19" i="706"/>
  <c r="N51" i="881"/>
  <c r="T64" i="707"/>
  <c r="W64" i="707" s="1"/>
  <c r="AA64" i="707" s="1"/>
  <c r="M64" i="707"/>
  <c r="P64" i="707" s="1"/>
  <c r="R28" i="707"/>
  <c r="R31" i="707"/>
  <c r="R29" i="707"/>
  <c r="R30" i="707"/>
  <c r="R39" i="707"/>
  <c r="T53" i="707"/>
  <c r="W53" i="707" s="1"/>
  <c r="AA53" i="707" s="1"/>
  <c r="M53" i="707"/>
  <c r="P53" i="707" s="1"/>
  <c r="T64" i="701"/>
  <c r="M64" i="701"/>
  <c r="P64" i="701" s="1"/>
  <c r="S28" i="708"/>
  <c r="S43" i="704"/>
  <c r="S44" i="704" s="1"/>
  <c r="H6" i="52"/>
  <c r="H27" i="52" s="1"/>
  <c r="R17" i="708"/>
  <c r="R16" i="708"/>
  <c r="R18" i="708"/>
  <c r="R15" i="708"/>
  <c r="W29" i="707"/>
  <c r="T48" i="701"/>
  <c r="W48" i="701" s="1"/>
  <c r="AA48" i="701" s="1"/>
  <c r="M48" i="701"/>
  <c r="P48" i="701" s="1"/>
  <c r="N44" i="704"/>
  <c r="N42" i="704"/>
  <c r="N18" i="706"/>
  <c r="N20" i="706"/>
  <c r="N22" i="706"/>
  <c r="N17" i="706"/>
  <c r="N25" i="706" s="1"/>
  <c r="N23" i="706"/>
  <c r="N19" i="706"/>
  <c r="N24" i="706"/>
  <c r="N28" i="706"/>
  <c r="N32" i="701"/>
  <c r="N35" i="701"/>
  <c r="N36" i="701"/>
  <c r="N30" i="701"/>
  <c r="N29" i="701"/>
  <c r="N37" i="701" s="1"/>
  <c r="N34" i="701"/>
  <c r="N31" i="701"/>
  <c r="N40" i="701"/>
  <c r="J11" i="52"/>
  <c r="X20" i="4"/>
  <c r="S32" i="703"/>
  <c r="M63" i="707"/>
  <c r="P63" i="707" s="1"/>
  <c r="T63" i="707"/>
  <c r="M56" i="705"/>
  <c r="P56" i="705" s="1"/>
  <c r="T56" i="705"/>
  <c r="W56" i="705" s="1"/>
  <c r="AA56" i="705" s="1"/>
  <c r="AD21" i="346"/>
  <c r="M60" i="703"/>
  <c r="P60" i="703" s="1"/>
  <c r="T60" i="703"/>
  <c r="AN23" i="704"/>
  <c r="D13" i="52"/>
  <c r="J13" i="52" s="1"/>
  <c r="AC18" i="705"/>
  <c r="N34" i="705"/>
  <c r="V29" i="705"/>
  <c r="X31" i="702"/>
  <c r="X36" i="702" s="1"/>
  <c r="X30" i="702"/>
  <c r="X35" i="702" s="1"/>
  <c r="X32" i="702"/>
  <c r="X37" i="702" s="1"/>
  <c r="X40" i="702"/>
  <c r="AA31" i="705"/>
  <c r="AA30" i="705"/>
  <c r="AA28" i="705"/>
  <c r="AA29" i="705"/>
  <c r="AC17" i="702"/>
  <c r="AN17" i="346"/>
  <c r="S29" i="707"/>
  <c r="Q16" i="708"/>
  <c r="Q18" i="708"/>
  <c r="Q15" i="708"/>
  <c r="Q17" i="708"/>
  <c r="I71" i="703"/>
  <c r="I37" i="703" s="1"/>
  <c r="J19" i="52"/>
  <c r="Y40" i="704"/>
  <c r="J14" i="52"/>
  <c r="G8" i="52"/>
  <c r="T62" i="705"/>
  <c r="M62" i="705"/>
  <c r="P62" i="705" s="1"/>
  <c r="AC9" i="706"/>
  <c r="AC28" i="706" s="1"/>
  <c r="S18" i="706"/>
  <c r="S19" i="706"/>
  <c r="S20" i="706"/>
  <c r="S17" i="706"/>
  <c r="H19" i="52"/>
  <c r="AD15" i="707"/>
  <c r="W55" i="702"/>
  <c r="AA55" i="702" s="1"/>
  <c r="J35" i="4"/>
  <c r="N30" i="705"/>
  <c r="M47" i="346"/>
  <c r="I12" i="739"/>
  <c r="Q31" i="704"/>
  <c r="I68" i="701"/>
  <c r="I34" i="701" s="1"/>
  <c r="I70" i="701"/>
  <c r="I36" i="701" s="1"/>
  <c r="I71" i="701"/>
  <c r="I37" i="701" s="1"/>
  <c r="I69" i="701"/>
  <c r="I35" i="701" s="1"/>
  <c r="M47" i="701"/>
  <c r="I40" i="701"/>
  <c r="Z29" i="701"/>
  <c r="Z40" i="701"/>
  <c r="Z30" i="701"/>
  <c r="AO15" i="346"/>
  <c r="AV15" i="346"/>
  <c r="M64" i="702"/>
  <c r="P64" i="702" s="1"/>
  <c r="T64" i="702"/>
  <c r="W64" i="702" s="1"/>
  <c r="AA64" i="702" s="1"/>
  <c r="O30" i="707"/>
  <c r="O36" i="707" s="1"/>
  <c r="M60" i="346"/>
  <c r="P60" i="346" s="1"/>
  <c r="T60" i="346"/>
  <c r="W60" i="346" s="1"/>
  <c r="AA60" i="346" s="1"/>
  <c r="AB60" i="346" s="1"/>
  <c r="T58" i="705"/>
  <c r="W58" i="705" s="1"/>
  <c r="AA58" i="705" s="1"/>
  <c r="M58" i="705"/>
  <c r="P58" i="705" s="1"/>
  <c r="I69" i="702"/>
  <c r="I35" i="702" s="1"/>
  <c r="T47" i="702"/>
  <c r="I71" i="702"/>
  <c r="I37" i="702" s="1"/>
  <c r="I70" i="702"/>
  <c r="I36" i="702" s="1"/>
  <c r="I68" i="702"/>
  <c r="I34" i="702" s="1"/>
  <c r="M47" i="702"/>
  <c r="I40" i="702"/>
  <c r="Z31" i="704"/>
  <c r="Z40" i="346"/>
  <c r="E12" i="52"/>
  <c r="W30" i="707"/>
  <c r="J29" i="346"/>
  <c r="P29" i="702"/>
  <c r="M49" i="346"/>
  <c r="P49" i="346" s="1"/>
  <c r="T49" i="346"/>
  <c r="W49" i="346" s="1"/>
  <c r="AA49" i="346" s="1"/>
  <c r="AB49" i="346" s="1"/>
  <c r="N29" i="707"/>
  <c r="N28" i="707"/>
  <c r="N34" i="707"/>
  <c r="N35" i="707"/>
  <c r="N31" i="707"/>
  <c r="N33" i="707"/>
  <c r="N30" i="707"/>
  <c r="N39" i="707"/>
  <c r="M46" i="707"/>
  <c r="R29" i="708"/>
  <c r="K31" i="346"/>
  <c r="J17" i="52"/>
  <c r="K20" i="706"/>
  <c r="K17" i="706"/>
  <c r="K19" i="706"/>
  <c r="K18" i="706"/>
  <c r="K28" i="706"/>
  <c r="AN27" i="346"/>
  <c r="V29" i="703"/>
  <c r="V30" i="703"/>
  <c r="V32" i="703"/>
  <c r="V31" i="703"/>
  <c r="T65" i="704"/>
  <c r="M65" i="704"/>
  <c r="P65" i="704" s="1"/>
  <c r="Z31" i="346"/>
  <c r="M60" i="701"/>
  <c r="P60" i="701" s="1"/>
  <c r="T60" i="701"/>
  <c r="W60" i="701" s="1"/>
  <c r="AA60" i="701" s="1"/>
  <c r="L32" i="704"/>
  <c r="L30" i="704"/>
  <c r="L31" i="704"/>
  <c r="L29" i="704"/>
  <c r="P31" i="702"/>
  <c r="D24" i="52"/>
  <c r="J24" i="52" s="1"/>
  <c r="H24" i="52"/>
  <c r="X30" i="703"/>
  <c r="X35" i="703" s="1"/>
  <c r="AD17" i="701"/>
  <c r="M59" i="701"/>
  <c r="P59" i="701" s="1"/>
  <c r="T59" i="701"/>
  <c r="M53" i="701"/>
  <c r="P53" i="701" s="1"/>
  <c r="T53" i="701"/>
  <c r="W53" i="701" s="1"/>
  <c r="AA53" i="701" s="1"/>
  <c r="I75" i="704"/>
  <c r="I35" i="704" s="1"/>
  <c r="X15" i="4"/>
  <c r="K30" i="707"/>
  <c r="AD9" i="346"/>
  <c r="E24" i="52"/>
  <c r="Y13" i="4"/>
  <c r="Q39" i="705"/>
  <c r="Q30" i="704"/>
  <c r="Q29" i="705"/>
  <c r="J21" i="52"/>
  <c r="M55" i="346"/>
  <c r="P55" i="346" s="1"/>
  <c r="T55" i="346"/>
  <c r="W55" i="346" s="1"/>
  <c r="AA55" i="346" s="1"/>
  <c r="AB55" i="346" s="1"/>
  <c r="O35" i="702"/>
  <c r="U29" i="708"/>
  <c r="M50" i="707"/>
  <c r="P50" i="707" s="1"/>
  <c r="T50" i="707"/>
  <c r="W50" i="707" s="1"/>
  <c r="AA50" i="707" s="1"/>
  <c r="S31" i="703"/>
  <c r="AC11" i="703"/>
  <c r="I26" i="708"/>
  <c r="AN11" i="704"/>
  <c r="M56" i="701"/>
  <c r="P56" i="701" s="1"/>
  <c r="T56" i="701"/>
  <c r="W56" i="701" s="1"/>
  <c r="AA56" i="701" s="1"/>
  <c r="T65" i="701"/>
  <c r="M65" i="701"/>
  <c r="P65" i="701" s="1"/>
  <c r="W31" i="705"/>
  <c r="L32" i="703"/>
  <c r="X18" i="4"/>
  <c r="S31" i="707"/>
  <c r="I70" i="703"/>
  <c r="I36" i="703" s="1"/>
  <c r="T52" i="702"/>
  <c r="W52" i="702" s="1"/>
  <c r="AA52" i="702" s="1"/>
  <c r="M52" i="702"/>
  <c r="P52" i="702" s="1"/>
  <c r="AI20" i="346"/>
  <c r="AR20" i="346"/>
  <c r="AN12" i="707"/>
  <c r="K29" i="704"/>
  <c r="Q35" i="4"/>
  <c r="T58" i="703"/>
  <c r="M58" i="703"/>
  <c r="P58" i="703" s="1"/>
  <c r="T44" i="708"/>
  <c r="M44" i="708"/>
  <c r="P44" i="708" s="1"/>
  <c r="M31" i="703"/>
  <c r="M32" i="703"/>
  <c r="M29" i="703"/>
  <c r="M30" i="703"/>
  <c r="AD25" i="705"/>
  <c r="N29" i="705"/>
  <c r="AN21" i="707"/>
  <c r="T47" i="346"/>
  <c r="Y30" i="703"/>
  <c r="Y35" i="703" s="1"/>
  <c r="AN23" i="703"/>
  <c r="AD13" i="706"/>
  <c r="R26" i="708"/>
  <c r="M56" i="346"/>
  <c r="P56" i="346" s="1"/>
  <c r="T56" i="346"/>
  <c r="W56" i="346" s="1"/>
  <c r="AA56" i="346" s="1"/>
  <c r="AB56" i="346" s="1"/>
  <c r="M56" i="703"/>
  <c r="P56" i="703" s="1"/>
  <c r="T56" i="703"/>
  <c r="W56" i="703" s="1"/>
  <c r="AA56" i="703" s="1"/>
  <c r="T51" i="702"/>
  <c r="W51" i="702" s="1"/>
  <c r="AA51" i="702" s="1"/>
  <c r="M51" i="702"/>
  <c r="P51" i="702" s="1"/>
  <c r="M58" i="346"/>
  <c r="P58" i="346" s="1"/>
  <c r="T58" i="346"/>
  <c r="W58" i="346" s="1"/>
  <c r="AA58" i="346" s="1"/>
  <c r="AB58" i="346" s="1"/>
  <c r="D12" i="52"/>
  <c r="J12" i="52" s="1"/>
  <c r="M48" i="706"/>
  <c r="P48" i="706" s="1"/>
  <c r="T48" i="706"/>
  <c r="W48" i="706" s="1"/>
  <c r="AA48" i="706" s="1"/>
  <c r="X18" i="708"/>
  <c r="X15" i="708"/>
  <c r="X17" i="708"/>
  <c r="X16" i="708"/>
  <c r="X26" i="708"/>
  <c r="X29" i="708"/>
  <c r="AN21" i="346"/>
  <c r="AW15" i="346"/>
  <c r="AX15" i="346" s="1"/>
  <c r="AY15" i="346" s="1"/>
  <c r="M51" i="705"/>
  <c r="P51" i="705" s="1"/>
  <c r="T51" i="705"/>
  <c r="W51" i="705" s="1"/>
  <c r="AA51" i="705" s="1"/>
  <c r="L32" i="701"/>
  <c r="N36" i="705"/>
  <c r="H29" i="4"/>
  <c r="C6" i="51" s="1"/>
  <c r="H30" i="4"/>
  <c r="C7" i="51" s="1"/>
  <c r="C14" i="51" s="1"/>
  <c r="H32" i="4"/>
  <c r="C9" i="51" s="1"/>
  <c r="C16" i="51" s="1"/>
  <c r="H31" i="4"/>
  <c r="C8" i="51" s="1"/>
  <c r="C13" i="51" s="1"/>
  <c r="Q39" i="707"/>
  <c r="Q31" i="707"/>
  <c r="Q30" i="707"/>
  <c r="Q29" i="707"/>
  <c r="M72" i="704"/>
  <c r="P72" i="704" s="1"/>
  <c r="T72" i="704"/>
  <c r="M29" i="702"/>
  <c r="M32" i="702"/>
  <c r="M31" i="702"/>
  <c r="M30" i="702"/>
  <c r="I31" i="704"/>
  <c r="I31" i="701"/>
  <c r="Y21" i="4"/>
  <c r="L31" i="707"/>
  <c r="L29" i="707"/>
  <c r="L30" i="707"/>
  <c r="L28" i="707"/>
  <c r="M65" i="707"/>
  <c r="P65" i="707" s="1"/>
  <c r="T65" i="707"/>
  <c r="L31" i="701"/>
  <c r="X29" i="705"/>
  <c r="X31" i="705"/>
  <c r="X36" i="705" s="1"/>
  <c r="X28" i="705"/>
  <c r="X33" i="705" s="1"/>
  <c r="AR11" i="346"/>
  <c r="AI11" i="346"/>
  <c r="T63" i="701"/>
  <c r="M63" i="701"/>
  <c r="P63" i="701" s="1"/>
  <c r="T36" i="706"/>
  <c r="M36" i="706"/>
  <c r="I57" i="706"/>
  <c r="I23" i="706" s="1"/>
  <c r="I56" i="706"/>
  <c r="I22" i="706" s="1"/>
  <c r="I59" i="706"/>
  <c r="I25" i="706" s="1"/>
  <c r="I58" i="706"/>
  <c r="I24" i="706" s="1"/>
  <c r="M66" i="346"/>
  <c r="P66" i="346" s="1"/>
  <c r="T66" i="346"/>
  <c r="H9" i="52"/>
  <c r="Q30" i="346"/>
  <c r="Q31" i="346"/>
  <c r="Q32" i="346"/>
  <c r="Q29" i="346"/>
  <c r="Q40" i="346"/>
  <c r="M29" i="707"/>
  <c r="L28" i="706"/>
  <c r="AD20" i="701"/>
  <c r="N29" i="704"/>
  <c r="B10" i="51"/>
  <c r="B17" i="51"/>
  <c r="O31" i="705"/>
  <c r="S32" i="704"/>
  <c r="S30" i="704"/>
  <c r="S31" i="704"/>
  <c r="S29" i="704"/>
  <c r="U8" i="704"/>
  <c r="N32" i="4"/>
  <c r="N30" i="4"/>
  <c r="X8" i="4"/>
  <c r="N29" i="4"/>
  <c r="N31" i="4"/>
  <c r="Z26" i="708"/>
  <c r="Z29" i="708"/>
  <c r="AD8" i="707"/>
  <c r="T30" i="707"/>
  <c r="T29" i="707"/>
  <c r="T31" i="707"/>
  <c r="T28" i="707"/>
  <c r="G23" i="52"/>
  <c r="Q31" i="705"/>
  <c r="U26" i="708"/>
  <c r="L39" i="707"/>
  <c r="M50" i="703"/>
  <c r="P50" i="703" s="1"/>
  <c r="T50" i="703"/>
  <c r="W50" i="703" s="1"/>
  <c r="AA50" i="703" s="1"/>
  <c r="S30" i="703"/>
  <c r="Y17" i="706"/>
  <c r="Y22" i="706" s="1"/>
  <c r="Y18" i="706"/>
  <c r="Y23" i="706" s="1"/>
  <c r="Y19" i="706"/>
  <c r="Y24" i="706" s="1"/>
  <c r="Y20" i="706"/>
  <c r="Y25" i="706" s="1"/>
  <c r="T61" i="702"/>
  <c r="M61" i="702"/>
  <c r="P61" i="702" s="1"/>
  <c r="AC11" i="704"/>
  <c r="X30" i="707"/>
  <c r="X28" i="707"/>
  <c r="X31" i="707"/>
  <c r="X29" i="707"/>
  <c r="X39" i="707"/>
  <c r="AA30" i="703"/>
  <c r="AA32" i="703"/>
  <c r="AA29" i="703"/>
  <c r="S40" i="703"/>
  <c r="S17" i="708"/>
  <c r="S18" i="708"/>
  <c r="S15" i="708"/>
  <c r="S16" i="708"/>
  <c r="O31" i="707"/>
  <c r="X29" i="346"/>
  <c r="X34" i="346" s="1"/>
  <c r="X31" i="346"/>
  <c r="X36" i="346" s="1"/>
  <c r="X32" i="346"/>
  <c r="X37" i="346" s="1"/>
  <c r="X30" i="346"/>
  <c r="X40" i="346"/>
  <c r="I44" i="704"/>
  <c r="AN26" i="346"/>
  <c r="L31" i="703"/>
  <c r="S28" i="707"/>
  <c r="AN16" i="346"/>
  <c r="R40" i="702"/>
  <c r="AN8" i="346"/>
  <c r="Q40" i="701"/>
  <c r="Q30" i="701"/>
  <c r="Q29" i="701"/>
  <c r="I29" i="346"/>
  <c r="C6" i="351" s="1"/>
  <c r="C15" i="351" s="1"/>
  <c r="I32" i="346"/>
  <c r="C9" i="351" s="1"/>
  <c r="C16" i="351" s="1"/>
  <c r="I30" i="346"/>
  <c r="C7" i="351" s="1"/>
  <c r="I31" i="346"/>
  <c r="C8" i="351" s="1"/>
  <c r="C13" i="351" s="1"/>
  <c r="T57" i="702"/>
  <c r="M57" i="702"/>
  <c r="P57" i="702" s="1"/>
  <c r="J29" i="707"/>
  <c r="I30" i="707"/>
  <c r="AC20" i="701"/>
  <c r="Y23" i="4"/>
  <c r="AC21" i="705"/>
  <c r="I68" i="346"/>
  <c r="I34" i="346" s="1"/>
  <c r="AN15" i="707"/>
  <c r="Y29" i="702"/>
  <c r="Y34" i="702" s="1"/>
  <c r="Y31" i="702"/>
  <c r="Y36" i="702" s="1"/>
  <c r="Y32" i="702"/>
  <c r="Y37" i="702" s="1"/>
  <c r="Y30" i="702"/>
  <c r="Y35" i="702" s="1"/>
  <c r="Y40" i="702"/>
  <c r="X29" i="701"/>
  <c r="X34" i="701" s="1"/>
  <c r="X30" i="701"/>
  <c r="X31" i="701"/>
  <c r="X36" i="701" s="1"/>
  <c r="X32" i="701"/>
  <c r="X37" i="701" s="1"/>
  <c r="X40" i="701"/>
  <c r="N32" i="704"/>
  <c r="AC9" i="703"/>
  <c r="P30" i="703"/>
  <c r="P32" i="703"/>
  <c r="Z32" i="701"/>
  <c r="AN24" i="707"/>
  <c r="Y8" i="4"/>
  <c r="P31" i="4"/>
  <c r="P32" i="4"/>
  <c r="P30" i="4"/>
  <c r="P29" i="4"/>
  <c r="R30" i="704"/>
  <c r="R31" i="704"/>
  <c r="R29" i="704"/>
  <c r="R32" i="704"/>
  <c r="AN18" i="346"/>
  <c r="AV18" i="346"/>
  <c r="AW18" i="346" s="1"/>
  <c r="AX18" i="346" s="1"/>
  <c r="AY18" i="346" s="1"/>
  <c r="N34" i="703"/>
  <c r="N31" i="703"/>
  <c r="N32" i="703"/>
  <c r="N35" i="703"/>
  <c r="N29" i="703"/>
  <c r="N37" i="703" s="1"/>
  <c r="N30" i="703"/>
  <c r="N36" i="703"/>
  <c r="Z32" i="704"/>
  <c r="O34" i="707"/>
  <c r="Z31" i="701"/>
  <c r="J29" i="702"/>
  <c r="J30" i="702"/>
  <c r="J31" i="702"/>
  <c r="J32" i="702"/>
  <c r="J40" i="702"/>
  <c r="K29" i="4"/>
  <c r="K32" i="4"/>
  <c r="K30" i="4"/>
  <c r="K31" i="4"/>
  <c r="T63" i="705"/>
  <c r="M63" i="705"/>
  <c r="P63" i="705" s="1"/>
  <c r="M60" i="704"/>
  <c r="P60" i="704" s="1"/>
  <c r="T60" i="704"/>
  <c r="W60" i="704" s="1"/>
  <c r="AA60" i="704" s="1"/>
  <c r="J15" i="52"/>
  <c r="AV50" i="2"/>
  <c r="AA28" i="708" s="1"/>
  <c r="W43" i="704"/>
  <c r="W28" i="708"/>
  <c r="AC28" i="708" s="1"/>
  <c r="M54" i="705"/>
  <c r="P54" i="705" s="1"/>
  <c r="T54" i="705"/>
  <c r="E6" i="52"/>
  <c r="R35" i="4"/>
  <c r="Y11" i="4"/>
  <c r="M59" i="705"/>
  <c r="P59" i="705" s="1"/>
  <c r="T59" i="705"/>
  <c r="AC24" i="707"/>
  <c r="O36" i="702"/>
  <c r="O31" i="702"/>
  <c r="O37" i="702" s="1"/>
  <c r="M58" i="701"/>
  <c r="P58" i="701" s="1"/>
  <c r="T58" i="701"/>
  <c r="W58" i="701" s="1"/>
  <c r="AA58" i="701" s="1"/>
  <c r="J29" i="4"/>
  <c r="J30" i="4"/>
  <c r="J32" i="4"/>
  <c r="J31" i="4"/>
  <c r="I68" i="705"/>
  <c r="I34" i="705" s="1"/>
  <c r="T46" i="705"/>
  <c r="I70" i="705"/>
  <c r="I36" i="705" s="1"/>
  <c r="I67" i="705"/>
  <c r="I33" i="705" s="1"/>
  <c r="I69" i="705"/>
  <c r="I35" i="705" s="1"/>
  <c r="M46" i="705"/>
  <c r="I39" i="705"/>
  <c r="M16" i="708"/>
  <c r="M18" i="708"/>
  <c r="M17" i="708"/>
  <c r="M15" i="708"/>
  <c r="X11" i="4"/>
  <c r="N36" i="704"/>
  <c r="U33" i="705"/>
  <c r="U30" i="705"/>
  <c r="U31" i="705"/>
  <c r="U34" i="705"/>
  <c r="U35" i="705"/>
  <c r="U29" i="705"/>
  <c r="U28" i="705"/>
  <c r="U36" i="705" s="1"/>
  <c r="U39" i="705"/>
  <c r="AD9" i="708"/>
  <c r="AC21" i="701"/>
  <c r="M62" i="701"/>
  <c r="P62" i="701" s="1"/>
  <c r="T62" i="701"/>
  <c r="W62" i="701" s="1"/>
  <c r="AA62" i="701" s="1"/>
  <c r="T46" i="708"/>
  <c r="M46" i="708"/>
  <c r="P46" i="708" s="1"/>
  <c r="T62" i="346"/>
  <c r="M62" i="346"/>
  <c r="P62" i="346" s="1"/>
  <c r="T39" i="708"/>
  <c r="M39" i="708"/>
  <c r="P39" i="708" s="1"/>
  <c r="O32" i="702"/>
  <c r="M32" i="704"/>
  <c r="T62" i="704"/>
  <c r="M62" i="704"/>
  <c r="P62" i="704" s="1"/>
  <c r="AD15" i="701"/>
  <c r="L40" i="702"/>
  <c r="AD15" i="346"/>
  <c r="Y20" i="4"/>
  <c r="Y18" i="4"/>
  <c r="M49" i="705"/>
  <c r="P49" i="705" s="1"/>
  <c r="T49" i="705"/>
  <c r="W49" i="705" s="1"/>
  <c r="AA49" i="705" s="1"/>
  <c r="AC13" i="702"/>
  <c r="X17" i="706"/>
  <c r="X22" i="706" s="1"/>
  <c r="X19" i="706"/>
  <c r="X24" i="706" s="1"/>
  <c r="X18" i="706"/>
  <c r="X23" i="706" s="1"/>
  <c r="X20" i="706"/>
  <c r="X25" i="706" s="1"/>
  <c r="U33" i="707"/>
  <c r="I28" i="706"/>
  <c r="AN9" i="701"/>
  <c r="AN32" i="701" s="1"/>
  <c r="L29" i="703"/>
  <c r="M56" i="704"/>
  <c r="P56" i="704" s="1"/>
  <c r="T56" i="704"/>
  <c r="W56" i="704" s="1"/>
  <c r="AA56" i="704" s="1"/>
  <c r="M29" i="346"/>
  <c r="X24" i="4"/>
  <c r="I40" i="703"/>
  <c r="R30" i="346"/>
  <c r="R29" i="346"/>
  <c r="R32" i="346"/>
  <c r="R31" i="346"/>
  <c r="R40" i="346"/>
  <c r="AA32" i="346"/>
  <c r="AA29" i="346"/>
  <c r="AA31" i="346"/>
  <c r="AA30" i="346"/>
  <c r="Y40" i="703"/>
  <c r="AN21" i="705"/>
  <c r="I71" i="346"/>
  <c r="I37" i="346" s="1"/>
  <c r="AD12" i="703"/>
  <c r="M58" i="704"/>
  <c r="P58" i="704" s="1"/>
  <c r="T58" i="704"/>
  <c r="N40" i="702"/>
  <c r="AD14" i="702"/>
  <c r="T52" i="346"/>
  <c r="W52" i="346" s="1"/>
  <c r="AA52" i="346" s="1"/>
  <c r="AB52" i="346" s="1"/>
  <c r="M52" i="346"/>
  <c r="P52" i="346" s="1"/>
  <c r="N35" i="702"/>
  <c r="O19" i="706"/>
  <c r="O20" i="706"/>
  <c r="O17" i="706"/>
  <c r="O18" i="706"/>
  <c r="K41" i="881"/>
  <c r="T64" i="703"/>
  <c r="W64" i="703" s="1"/>
  <c r="AA64" i="703" s="1"/>
  <c r="M64" i="703"/>
  <c r="P64" i="703" s="1"/>
  <c r="AC12" i="701"/>
  <c r="N34" i="702"/>
  <c r="H25" i="731"/>
  <c r="W30" i="704"/>
  <c r="W29" i="704"/>
  <c r="W31" i="704"/>
  <c r="W32" i="704"/>
  <c r="T54" i="707"/>
  <c r="M54" i="707"/>
  <c r="P54" i="707" s="1"/>
  <c r="N31" i="702"/>
  <c r="G25" i="731"/>
  <c r="AD23" i="705"/>
  <c r="N36" i="702"/>
  <c r="M41" i="881"/>
  <c r="M51" i="701"/>
  <c r="P51" i="701" s="1"/>
  <c r="T51" i="701"/>
  <c r="W51" i="701" s="1"/>
  <c r="AA51" i="701" s="1"/>
  <c r="AD22" i="707"/>
  <c r="AN25" i="707"/>
  <c r="AC13" i="703"/>
  <c r="M53" i="703"/>
  <c r="P53" i="703" s="1"/>
  <c r="T53" i="703"/>
  <c r="W53" i="703" s="1"/>
  <c r="AA53" i="703" s="1"/>
  <c r="J31" i="704"/>
  <c r="J30" i="704"/>
  <c r="J29" i="704"/>
  <c r="J32" i="704"/>
  <c r="AU44" i="346"/>
  <c r="AW9" i="346"/>
  <c r="AX9" i="346" s="1"/>
  <c r="AU43" i="346"/>
  <c r="Y29" i="705"/>
  <c r="Y31" i="705"/>
  <c r="Y36" i="705" s="1"/>
  <c r="Y28" i="705"/>
  <c r="Y33" i="705" s="1"/>
  <c r="Y30" i="705"/>
  <c r="Y35" i="705" s="1"/>
  <c r="Y39" i="705"/>
  <c r="T50" i="346"/>
  <c r="W50" i="346" s="1"/>
  <c r="AA50" i="346" s="1"/>
  <c r="AB50" i="346" s="1"/>
  <c r="M50" i="346"/>
  <c r="P50" i="346" s="1"/>
  <c r="S31" i="701"/>
  <c r="S32" i="701"/>
  <c r="S30" i="701"/>
  <c r="S29" i="701"/>
  <c r="S40" i="701"/>
  <c r="U8" i="701"/>
  <c r="AD13" i="701"/>
  <c r="AD10" i="703"/>
  <c r="AD40" i="703" s="1"/>
  <c r="AD22" i="705"/>
  <c r="T48" i="702"/>
  <c r="M48" i="702"/>
  <c r="P48" i="702" s="1"/>
  <c r="AC10" i="701"/>
  <c r="AI19" i="346"/>
  <c r="AR19" i="346"/>
  <c r="T53" i="702"/>
  <c r="W53" i="702" s="1"/>
  <c r="AA53" i="702" s="1"/>
  <c r="M53" i="702"/>
  <c r="P53" i="702" s="1"/>
  <c r="AD16" i="346"/>
  <c r="F71" i="706"/>
  <c r="F72" i="706"/>
  <c r="F73" i="706"/>
  <c r="F74" i="706"/>
  <c r="F75" i="706"/>
  <c r="F76" i="706"/>
  <c r="F77" i="706"/>
  <c r="F70" i="706"/>
  <c r="AI8" i="706"/>
  <c r="F65" i="706"/>
  <c r="F66" i="706"/>
  <c r="F67" i="706"/>
  <c r="F64" i="706"/>
  <c r="F68" i="706"/>
  <c r="F69" i="706"/>
  <c r="F63" i="706"/>
  <c r="K18" i="708"/>
  <c r="K15" i="708"/>
  <c r="K17" i="708"/>
  <c r="K16" i="708"/>
  <c r="AD18" i="704"/>
  <c r="AD9" i="707"/>
  <c r="AD39" i="707" s="1"/>
  <c r="AR18" i="346"/>
  <c r="AI18" i="346"/>
  <c r="M64" i="346"/>
  <c r="P64" i="346" s="1"/>
  <c r="T64" i="346"/>
  <c r="W64" i="346" s="1"/>
  <c r="AA64" i="346" s="1"/>
  <c r="AN19" i="346"/>
  <c r="AN12" i="706"/>
  <c r="AN25" i="705"/>
  <c r="AD20" i="703"/>
  <c r="AC13" i="701"/>
  <c r="AC11" i="346"/>
  <c r="X14" i="4"/>
  <c r="N29" i="702"/>
  <c r="N37" i="702" s="1"/>
  <c r="E25" i="840"/>
  <c r="M54" i="701"/>
  <c r="P54" i="701" s="1"/>
  <c r="T54" i="701"/>
  <c r="W54" i="701" s="1"/>
  <c r="AA54" i="701" s="1"/>
  <c r="T31" i="346"/>
  <c r="AD8" i="346"/>
  <c r="T30" i="346"/>
  <c r="T29" i="346"/>
  <c r="T32" i="346"/>
  <c r="AN23" i="705"/>
  <c r="M29" i="701"/>
  <c r="M30" i="701"/>
  <c r="M31" i="701"/>
  <c r="M32" i="701"/>
  <c r="T56" i="702"/>
  <c r="M56" i="702"/>
  <c r="P56" i="702" s="1"/>
  <c r="AD16" i="704"/>
  <c r="T35" i="4"/>
  <c r="T64" i="705"/>
  <c r="M64" i="705"/>
  <c r="P64" i="705" s="1"/>
  <c r="AN24" i="705"/>
  <c r="AD13" i="708"/>
  <c r="R28" i="705"/>
  <c r="R29" i="705"/>
  <c r="R31" i="705"/>
  <c r="R30" i="705"/>
  <c r="R39" i="705"/>
  <c r="J29" i="52"/>
  <c r="AD15" i="705"/>
  <c r="V50" i="2"/>
  <c r="AC21" i="702"/>
  <c r="AD17" i="346"/>
  <c r="AN10" i="705"/>
  <c r="AN30" i="705" s="1"/>
  <c r="AD19" i="705"/>
  <c r="I35" i="4"/>
  <c r="T66" i="704"/>
  <c r="W66" i="704" s="1"/>
  <c r="AA66" i="704" s="1"/>
  <c r="M66" i="704"/>
  <c r="P66" i="704" s="1"/>
  <c r="AC26" i="707"/>
  <c r="J28" i="707"/>
  <c r="E18" i="786"/>
  <c r="D25" i="786"/>
  <c r="F18" i="786"/>
  <c r="AD13" i="702"/>
  <c r="AR16" i="346"/>
  <c r="AI16" i="346"/>
  <c r="M58" i="707"/>
  <c r="P58" i="707" s="1"/>
  <c r="T58" i="707"/>
  <c r="W58" i="707" s="1"/>
  <c r="AA58" i="707" s="1"/>
  <c r="I18" i="708"/>
  <c r="I15" i="708"/>
  <c r="I17" i="708"/>
  <c r="I16" i="708"/>
  <c r="T66" i="701"/>
  <c r="M66" i="701"/>
  <c r="P66" i="701" s="1"/>
  <c r="AD11" i="701"/>
  <c r="Y9" i="4"/>
  <c r="K39" i="705"/>
  <c r="AN11" i="703"/>
  <c r="AD18" i="346"/>
  <c r="AC13" i="704"/>
  <c r="AN11" i="701"/>
  <c r="AD10" i="704"/>
  <c r="AD10" i="707"/>
  <c r="N36" i="707"/>
  <c r="AC21" i="704"/>
  <c r="AN13" i="703"/>
  <c r="D25" i="840"/>
  <c r="F18" i="840"/>
  <c r="AN24" i="701"/>
  <c r="AN29" i="701" s="1"/>
  <c r="X19" i="4"/>
  <c r="AC10" i="707"/>
  <c r="AC39" i="707" s="1"/>
  <c r="Q31" i="4"/>
  <c r="Q32" i="4"/>
  <c r="Q30" i="4"/>
  <c r="Q29" i="4"/>
  <c r="O22" i="708"/>
  <c r="O16" i="708"/>
  <c r="O15" i="708"/>
  <c r="O18" i="708"/>
  <c r="O21" i="708"/>
  <c r="O20" i="708"/>
  <c r="O17" i="708"/>
  <c r="Y18" i="708"/>
  <c r="Y15" i="708"/>
  <c r="Y17" i="708"/>
  <c r="Y16" i="708"/>
  <c r="AN11" i="706"/>
  <c r="AN27" i="703"/>
  <c r="X22" i="4"/>
  <c r="T63" i="704"/>
  <c r="W63" i="704" s="1"/>
  <c r="AA63" i="704" s="1"/>
  <c r="M63" i="704"/>
  <c r="P63" i="704" s="1"/>
  <c r="Z30" i="703"/>
  <c r="Z32" i="703"/>
  <c r="Z31" i="703"/>
  <c r="Z29" i="703"/>
  <c r="AN10" i="701"/>
  <c r="AN26" i="707"/>
  <c r="AN20" i="701"/>
  <c r="AN12" i="701"/>
  <c r="T62" i="703"/>
  <c r="M62" i="703"/>
  <c r="P62" i="703" s="1"/>
  <c r="T51" i="707"/>
  <c r="M51" i="707"/>
  <c r="P51" i="707" s="1"/>
  <c r="L29" i="4"/>
  <c r="L32" i="4"/>
  <c r="L31" i="4"/>
  <c r="L30" i="4"/>
  <c r="J41" i="881"/>
  <c r="J59" i="881"/>
  <c r="E25" i="732"/>
  <c r="AD17" i="702"/>
  <c r="N41" i="881"/>
  <c r="N59" i="881"/>
  <c r="D25" i="732"/>
  <c r="F18" i="732"/>
  <c r="AD9" i="702"/>
  <c r="AD24" i="705"/>
  <c r="AD17" i="705"/>
  <c r="AD16" i="705"/>
  <c r="AV10" i="346"/>
  <c r="AW10" i="346" s="1"/>
  <c r="AX10" i="346" s="1"/>
  <c r="AY10" i="346" s="1"/>
  <c r="AN10" i="346"/>
  <c r="T71" i="704"/>
  <c r="M71" i="704"/>
  <c r="P71" i="704" s="1"/>
  <c r="J30" i="346"/>
  <c r="M59" i="704"/>
  <c r="P59" i="704" s="1"/>
  <c r="T59" i="704"/>
  <c r="W59" i="704" s="1"/>
  <c r="AA59" i="704" s="1"/>
  <c r="W28" i="705"/>
  <c r="T49" i="701"/>
  <c r="M49" i="701"/>
  <c r="P49" i="701" s="1"/>
  <c r="AC18" i="703"/>
  <c r="AD13" i="704"/>
  <c r="AN26" i="703"/>
  <c r="N37" i="704"/>
  <c r="T31" i="702"/>
  <c r="AD8" i="702"/>
  <c r="T30" i="702"/>
  <c r="T32" i="702"/>
  <c r="T29" i="702"/>
  <c r="F41" i="881"/>
  <c r="F59" i="881"/>
  <c r="L41" i="881"/>
  <c r="L59" i="881"/>
  <c r="AD18" i="702"/>
  <c r="Y16" i="4"/>
  <c r="X29" i="704"/>
  <c r="X34" i="704" s="1"/>
  <c r="X31" i="704"/>
  <c r="X36" i="704" s="1"/>
  <c r="X30" i="704"/>
  <c r="X35" i="704" s="1"/>
  <c r="X32" i="704"/>
  <c r="X37" i="704" s="1"/>
  <c r="AN22" i="705"/>
  <c r="AN31" i="705" s="1"/>
  <c r="O32" i="4"/>
  <c r="D9" i="51" s="1"/>
  <c r="D16" i="51" s="1"/>
  <c r="O30" i="4"/>
  <c r="D7" i="51" s="1"/>
  <c r="D14" i="51" s="1"/>
  <c r="O29" i="4"/>
  <c r="D6" i="51" s="1"/>
  <c r="D15" i="51" s="1"/>
  <c r="O31" i="4"/>
  <c r="D8" i="51" s="1"/>
  <c r="D13" i="51" s="1"/>
  <c r="T49" i="702"/>
  <c r="M49" i="702"/>
  <c r="P49" i="702" s="1"/>
  <c r="AW17" i="346"/>
  <c r="AX17" i="346" s="1"/>
  <c r="AY17" i="346" s="1"/>
  <c r="M54" i="346"/>
  <c r="P54" i="346" s="1"/>
  <c r="T54" i="346"/>
  <c r="W54" i="346" s="1"/>
  <c r="AA54" i="346" s="1"/>
  <c r="AB54" i="346" s="1"/>
  <c r="V31" i="701"/>
  <c r="V30" i="701"/>
  <c r="V32" i="701"/>
  <c r="V29" i="701"/>
  <c r="AD15" i="702"/>
  <c r="AC11" i="705"/>
  <c r="Y29" i="346"/>
  <c r="Y34" i="346" s="1"/>
  <c r="Y30" i="346"/>
  <c r="Y31" i="346"/>
  <c r="Y36" i="346" s="1"/>
  <c r="Y32" i="346"/>
  <c r="Y37" i="346" s="1"/>
  <c r="Y40" i="346"/>
  <c r="M55" i="701"/>
  <c r="P55" i="701" s="1"/>
  <c r="T55" i="701"/>
  <c r="W55" i="701" s="1"/>
  <c r="AA55" i="701" s="1"/>
  <c r="N35" i="705"/>
  <c r="L35" i="4"/>
  <c r="J31" i="346"/>
  <c r="Y25" i="4"/>
  <c r="M48" i="703"/>
  <c r="P48" i="703" s="1"/>
  <c r="T48" i="703"/>
  <c r="T68" i="703" s="1"/>
  <c r="T34" i="703" s="1"/>
  <c r="M54" i="704"/>
  <c r="P54" i="704" s="1"/>
  <c r="T54" i="704"/>
  <c r="W54" i="704" s="1"/>
  <c r="AA54" i="704" s="1"/>
  <c r="D10" i="52"/>
  <c r="J10" i="52" s="1"/>
  <c r="I32" i="702"/>
  <c r="O29" i="703"/>
  <c r="O31" i="703"/>
  <c r="O32" i="703"/>
  <c r="O30" i="703"/>
  <c r="AC15" i="346"/>
  <c r="AD17" i="707"/>
  <c r="M61" i="707"/>
  <c r="P61" i="707" s="1"/>
  <c r="T61" i="707"/>
  <c r="N31" i="705"/>
  <c r="T63" i="702"/>
  <c r="M63" i="702"/>
  <c r="P63" i="702" s="1"/>
  <c r="AR15" i="346"/>
  <c r="AI15" i="346"/>
  <c r="AN14" i="346"/>
  <c r="E41" i="881"/>
  <c r="I41" i="881"/>
  <c r="U37" i="702"/>
  <c r="I31" i="702"/>
  <c r="AR9" i="346"/>
  <c r="AI9" i="346"/>
  <c r="AD20" i="346"/>
  <c r="AC22" i="705"/>
  <c r="Z18" i="708"/>
  <c r="Z15" i="708"/>
  <c r="Z16" i="708"/>
  <c r="Z17" i="708"/>
  <c r="N28" i="705"/>
  <c r="M68" i="704"/>
  <c r="P68" i="704" s="1"/>
  <c r="T68" i="704"/>
  <c r="W68" i="704" s="1"/>
  <c r="AA68" i="704" s="1"/>
  <c r="AN22" i="702"/>
  <c r="AD19" i="346"/>
  <c r="AN25" i="346"/>
  <c r="T51" i="346"/>
  <c r="M51" i="346"/>
  <c r="P51" i="346" s="1"/>
  <c r="AC10" i="704"/>
  <c r="E25" i="729"/>
  <c r="E25" i="731"/>
  <c r="AD15" i="703"/>
  <c r="AC12" i="702"/>
  <c r="AC32" i="702" s="1"/>
  <c r="T44" i="706"/>
  <c r="M44" i="706"/>
  <c r="P44" i="706" s="1"/>
  <c r="M42" i="706"/>
  <c r="P42" i="706" s="1"/>
  <c r="T42" i="706"/>
  <c r="W42" i="706" s="1"/>
  <c r="AA42" i="706" s="1"/>
  <c r="M67" i="704"/>
  <c r="P67" i="704" s="1"/>
  <c r="T67" i="704"/>
  <c r="AD20" i="704"/>
  <c r="AC13" i="706"/>
  <c r="T52" i="701"/>
  <c r="W52" i="701" s="1"/>
  <c r="AA52" i="701" s="1"/>
  <c r="M52" i="701"/>
  <c r="P52" i="701" s="1"/>
  <c r="X23" i="4"/>
  <c r="D25" i="729"/>
  <c r="F18" i="729"/>
  <c r="I18" i="731"/>
  <c r="D25" i="731"/>
  <c r="E8" i="900"/>
  <c r="D17" i="729" a="1"/>
  <c r="D14" i="840" a="1"/>
  <c r="D14" i="778" a="1"/>
  <c r="D14" i="786" a="1"/>
  <c r="D14" i="732" a="1"/>
  <c r="I5" i="900" a="1"/>
  <c r="D16" i="840" a="1"/>
  <c r="D16" i="778" a="1"/>
  <c r="D16" i="786" a="1"/>
  <c r="D16" i="732" a="1"/>
  <c r="D15" i="731" a="1"/>
  <c r="D17" i="840" a="1"/>
  <c r="D17" i="778" a="1"/>
  <c r="D17" i="786" a="1"/>
  <c r="D17" i="732" a="1"/>
  <c r="D14" i="731" a="1"/>
  <c r="I6" i="900" a="1"/>
  <c r="D17" i="731" a="1"/>
  <c r="M34" i="881" a="1"/>
  <c r="D16" i="715" a="1"/>
  <c r="F5" i="900" a="1"/>
  <c r="F6" i="900" a="1"/>
  <c r="D14" i="715" a="1"/>
  <c r="D16" i="731" a="1"/>
  <c r="D15" i="715" a="1"/>
  <c r="D17" i="715" a="1"/>
  <c r="G14" i="731" a="1"/>
  <c r="F7" i="900" a="1"/>
  <c r="D15" i="840" a="1"/>
  <c r="D15" i="778" a="1"/>
  <c r="D15" i="786" a="1"/>
  <c r="D15" i="732" a="1"/>
  <c r="G17" i="731" a="1"/>
  <c r="D16" i="730" a="1"/>
  <c r="G15" i="731" a="1"/>
  <c r="G16" i="731" a="1"/>
  <c r="D15" i="729" a="1"/>
  <c r="D14" i="730" a="1"/>
  <c r="D17" i="730" a="1"/>
  <c r="I7" i="900" a="1"/>
  <c r="D16" i="729" a="1"/>
  <c r="H15" i="739" a="1"/>
  <c r="I15" i="739" a="1"/>
  <c r="F8" i="900" a="1"/>
  <c r="K7" i="739" l="1"/>
  <c r="W46" i="708"/>
  <c r="U23" i="708"/>
  <c r="V23" i="708"/>
  <c r="N23" i="708"/>
  <c r="O23" i="708"/>
  <c r="K10" i="739"/>
  <c r="K11" i="739"/>
  <c r="K9" i="739"/>
  <c r="I15" i="739"/>
  <c r="H15" i="739"/>
  <c r="D16" i="729"/>
  <c r="D21" i="729" s="1"/>
  <c r="I7" i="900"/>
  <c r="J7" i="900" s="1"/>
  <c r="D17" i="730"/>
  <c r="D24" i="730" s="1"/>
  <c r="D14" i="730"/>
  <c r="D15" i="729"/>
  <c r="D23" i="729" s="1"/>
  <c r="G16" i="731"/>
  <c r="G21" i="731" s="1"/>
  <c r="G15" i="731"/>
  <c r="D16" i="730"/>
  <c r="D21" i="730" s="1"/>
  <c r="G17" i="731"/>
  <c r="G24" i="731" s="1"/>
  <c r="D15" i="732"/>
  <c r="D15" i="786"/>
  <c r="D15" i="778"/>
  <c r="D15" i="840"/>
  <c r="F7" i="900"/>
  <c r="G7" i="900" s="1"/>
  <c r="G14" i="731"/>
  <c r="D17" i="715"/>
  <c r="D24" i="715" s="1"/>
  <c r="D15" i="715"/>
  <c r="D16" i="731"/>
  <c r="D21" i="731" s="1"/>
  <c r="D14" i="715"/>
  <c r="F6" i="900"/>
  <c r="G6" i="900" s="1"/>
  <c r="F5" i="900"/>
  <c r="G5" i="900" s="1"/>
  <c r="D16" i="715"/>
  <c r="D21" i="715" s="1"/>
  <c r="M34" i="881"/>
  <c r="D17" i="731"/>
  <c r="D24" i="731" s="1"/>
  <c r="I6" i="900"/>
  <c r="J6" i="900" s="1"/>
  <c r="D14" i="731"/>
  <c r="D17" i="732"/>
  <c r="D24" i="732" s="1"/>
  <c r="D17" i="786"/>
  <c r="D24" i="786" s="1"/>
  <c r="D17" i="778"/>
  <c r="D24" i="778" s="1"/>
  <c r="D17" i="840"/>
  <c r="D24" i="840" s="1"/>
  <c r="D15" i="731"/>
  <c r="D16" i="732"/>
  <c r="D21" i="732" s="1"/>
  <c r="D16" i="786"/>
  <c r="D16" i="778"/>
  <c r="D16" i="840"/>
  <c r="D21" i="840" s="1"/>
  <c r="I5" i="900"/>
  <c r="J5" i="900" s="1"/>
  <c r="D14" i="732"/>
  <c r="D14" i="786"/>
  <c r="D14" i="778"/>
  <c r="D14" i="840"/>
  <c r="D17" i="729"/>
  <c r="D24" i="729" s="1"/>
  <c r="AC44" i="704"/>
  <c r="AD44" i="704"/>
  <c r="AC30" i="704"/>
  <c r="AC42" i="704" s="1"/>
  <c r="AN28" i="705"/>
  <c r="T69" i="707"/>
  <c r="T35" i="707" s="1"/>
  <c r="W48" i="702"/>
  <c r="AA48" i="702" s="1"/>
  <c r="AN30" i="346"/>
  <c r="AN32" i="346"/>
  <c r="AN29" i="346"/>
  <c r="AN31" i="346"/>
  <c r="W63" i="701"/>
  <c r="AA63" i="701" s="1"/>
  <c r="W47" i="702"/>
  <c r="T71" i="702"/>
  <c r="T37" i="702" s="1"/>
  <c r="T68" i="702"/>
  <c r="T34" i="702" s="1"/>
  <c r="T69" i="702"/>
  <c r="T35" i="702" s="1"/>
  <c r="T70" i="702"/>
  <c r="T36" i="702" s="1"/>
  <c r="T40" i="702"/>
  <c r="J7" i="52"/>
  <c r="W66" i="702"/>
  <c r="AA66" i="702" s="1"/>
  <c r="W63" i="346"/>
  <c r="AA63" i="346" s="1"/>
  <c r="Y35" i="4"/>
  <c r="AC32" i="704"/>
  <c r="AC40" i="702"/>
  <c r="M77" i="704"/>
  <c r="M37" i="704" s="1"/>
  <c r="J23" i="52"/>
  <c r="AN29" i="705"/>
  <c r="E25" i="786"/>
  <c r="T58" i="706"/>
  <c r="T24" i="706" s="1"/>
  <c r="T59" i="706"/>
  <c r="T25" i="706" s="1"/>
  <c r="T57" i="706"/>
  <c r="T23" i="706" s="1"/>
  <c r="T56" i="706"/>
  <c r="T22" i="706" s="1"/>
  <c r="T28" i="706"/>
  <c r="AC31" i="704"/>
  <c r="AD30" i="702"/>
  <c r="AD32" i="702"/>
  <c r="AD29" i="702"/>
  <c r="AD31" i="702"/>
  <c r="AD40" i="702"/>
  <c r="W61" i="703"/>
  <c r="AA61" i="703" s="1"/>
  <c r="Y34" i="705"/>
  <c r="T70" i="707"/>
  <c r="T36" i="707" s="1"/>
  <c r="AD32" i="346"/>
  <c r="AD29" i="346"/>
  <c r="AD31" i="346"/>
  <c r="AD30" i="346"/>
  <c r="AD40" i="346"/>
  <c r="W58" i="704"/>
  <c r="AA58" i="704" s="1"/>
  <c r="W59" i="705"/>
  <c r="AA59" i="705" s="1"/>
  <c r="W57" i="704"/>
  <c r="AA57" i="704" s="1"/>
  <c r="AC29" i="704"/>
  <c r="W70" i="704"/>
  <c r="AA70" i="704" s="1"/>
  <c r="T70" i="703"/>
  <c r="T36" i="703" s="1"/>
  <c r="AC31" i="702"/>
  <c r="W48" i="705"/>
  <c r="AA48" i="705" s="1"/>
  <c r="M76" i="704"/>
  <c r="M36" i="704" s="1"/>
  <c r="AX45" i="346"/>
  <c r="AY9" i="346"/>
  <c r="M67" i="705"/>
  <c r="M33" i="705" s="1"/>
  <c r="M69" i="705"/>
  <c r="M35" i="705" s="1"/>
  <c r="M70" i="705"/>
  <c r="M36" i="705" s="1"/>
  <c r="M68" i="705"/>
  <c r="M34" i="705" s="1"/>
  <c r="P46" i="705"/>
  <c r="M39" i="705"/>
  <c r="X29" i="4"/>
  <c r="X30" i="4"/>
  <c r="X31" i="4"/>
  <c r="X32" i="4"/>
  <c r="AD26" i="708"/>
  <c r="W60" i="703"/>
  <c r="AA60" i="703" s="1"/>
  <c r="T69" i="703"/>
  <c r="T35" i="703" s="1"/>
  <c r="AC29" i="703"/>
  <c r="AC31" i="703"/>
  <c r="AC30" i="703"/>
  <c r="AC32" i="703"/>
  <c r="W59" i="346"/>
  <c r="AA59" i="346" s="1"/>
  <c r="AB59" i="346" s="1"/>
  <c r="AC29" i="702"/>
  <c r="P75" i="704"/>
  <c r="P35" i="704" s="1"/>
  <c r="P77" i="704"/>
  <c r="P37" i="704" s="1"/>
  <c r="P74" i="704"/>
  <c r="P34" i="704" s="1"/>
  <c r="P76" i="704"/>
  <c r="P36" i="704" s="1"/>
  <c r="P40" i="704"/>
  <c r="P44" i="704"/>
  <c r="P42" i="704"/>
  <c r="W52" i="703"/>
  <c r="AA52" i="703" s="1"/>
  <c r="E34" i="732"/>
  <c r="E34" i="786"/>
  <c r="E34" i="840"/>
  <c r="AA46" i="708"/>
  <c r="T68" i="707"/>
  <c r="T34" i="707" s="1"/>
  <c r="AP30" i="701"/>
  <c r="AK30" i="701"/>
  <c r="AO30" i="701"/>
  <c r="M71" i="701"/>
  <c r="M37" i="701" s="1"/>
  <c r="M69" i="701"/>
  <c r="M35" i="701" s="1"/>
  <c r="M70" i="701"/>
  <c r="M36" i="701" s="1"/>
  <c r="P47" i="701"/>
  <c r="M68" i="701"/>
  <c r="M34" i="701" s="1"/>
  <c r="M40" i="701"/>
  <c r="AD16" i="708"/>
  <c r="AD18" i="708"/>
  <c r="AD15" i="708"/>
  <c r="AD17" i="708"/>
  <c r="AA47" i="703"/>
  <c r="AC30" i="702"/>
  <c r="AC30" i="701"/>
  <c r="AC32" i="701"/>
  <c r="AC29" i="701"/>
  <c r="AC31" i="701"/>
  <c r="M75" i="704"/>
  <c r="M35" i="704" s="1"/>
  <c r="M42" i="704"/>
  <c r="T58" i="708"/>
  <c r="T22" i="708" s="1"/>
  <c r="T57" i="708"/>
  <c r="T21" i="708" s="1"/>
  <c r="T56" i="708"/>
  <c r="T20" i="708" s="1"/>
  <c r="T59" i="708"/>
  <c r="T23" i="708" s="1"/>
  <c r="T29" i="708"/>
  <c r="T26" i="708"/>
  <c r="W63" i="702"/>
  <c r="AA63" i="702" s="1"/>
  <c r="L28" i="708"/>
  <c r="L43" i="704"/>
  <c r="L44" i="704" s="1"/>
  <c r="W64" i="705"/>
  <c r="AA64" i="705" s="1"/>
  <c r="U36" i="701"/>
  <c r="U31" i="701"/>
  <c r="U32" i="701"/>
  <c r="U29" i="701"/>
  <c r="U34" i="701"/>
  <c r="U30" i="701"/>
  <c r="U35" i="701"/>
  <c r="U40" i="701"/>
  <c r="W72" i="704"/>
  <c r="AA72" i="704" s="1"/>
  <c r="W44" i="708"/>
  <c r="W65" i="701"/>
  <c r="AA65" i="701" s="1"/>
  <c r="D17" i="51"/>
  <c r="D19" i="51"/>
  <c r="E15" i="51"/>
  <c r="W39" i="706"/>
  <c r="AA39" i="706" s="1"/>
  <c r="T71" i="703"/>
  <c r="T37" i="703" s="1"/>
  <c r="AN30" i="703"/>
  <c r="AK30" i="703"/>
  <c r="W37" i="708"/>
  <c r="W54" i="703"/>
  <c r="AA54" i="703" s="1"/>
  <c r="AC29" i="707"/>
  <c r="AC31" i="707"/>
  <c r="AC30" i="707"/>
  <c r="AC28" i="707"/>
  <c r="M74" i="704"/>
  <c r="M34" i="704" s="1"/>
  <c r="F27" i="52"/>
  <c r="W56" i="707"/>
  <c r="AA56" i="707" s="1"/>
  <c r="W38" i="706"/>
  <c r="AA38" i="706" s="1"/>
  <c r="AC32" i="346"/>
  <c r="AC29" i="346"/>
  <c r="AC31" i="346"/>
  <c r="AC30" i="346"/>
  <c r="AC40" i="346"/>
  <c r="AD29" i="701"/>
  <c r="AD30" i="701"/>
  <c r="AD31" i="701"/>
  <c r="AD32" i="701"/>
  <c r="W62" i="703"/>
  <c r="AA62" i="703" s="1"/>
  <c r="T67" i="707"/>
  <c r="T33" i="707" s="1"/>
  <c r="AN30" i="704"/>
  <c r="AK30" i="704"/>
  <c r="AW8" i="346"/>
  <c r="AX8" i="346" s="1"/>
  <c r="AU47" i="346"/>
  <c r="AU48" i="346"/>
  <c r="W44" i="706"/>
  <c r="AA44" i="706" s="1"/>
  <c r="W63" i="705"/>
  <c r="AA63" i="705" s="1"/>
  <c r="M44" i="704"/>
  <c r="W48" i="703"/>
  <c r="AA48" i="703" s="1"/>
  <c r="T40" i="703"/>
  <c r="E27" i="52"/>
  <c r="U36" i="704"/>
  <c r="U32" i="704"/>
  <c r="U29" i="704"/>
  <c r="U30" i="704"/>
  <c r="U31" i="704"/>
  <c r="U34" i="704"/>
  <c r="U35" i="704"/>
  <c r="U44" i="704"/>
  <c r="T53" i="704"/>
  <c r="U42" i="704"/>
  <c r="U40" i="704"/>
  <c r="X34" i="705"/>
  <c r="AC40" i="704"/>
  <c r="W61" i="707"/>
  <c r="AA61" i="707" s="1"/>
  <c r="W49" i="701"/>
  <c r="AA49" i="701" s="1"/>
  <c r="W51" i="707"/>
  <c r="AA51" i="707" s="1"/>
  <c r="W62" i="704"/>
  <c r="AA62" i="704" s="1"/>
  <c r="T67" i="705"/>
  <c r="T33" i="705" s="1"/>
  <c r="T70" i="705"/>
  <c r="T36" i="705" s="1"/>
  <c r="T68" i="705"/>
  <c r="T34" i="705" s="1"/>
  <c r="T69" i="705"/>
  <c r="T35" i="705" s="1"/>
  <c r="T39" i="705"/>
  <c r="W54" i="705"/>
  <c r="AA54" i="705" s="1"/>
  <c r="W58" i="703"/>
  <c r="AA58" i="703" s="1"/>
  <c r="C17" i="51"/>
  <c r="C19" i="51"/>
  <c r="W47" i="707"/>
  <c r="AA47" i="707" s="1"/>
  <c r="T39" i="707"/>
  <c r="AD40" i="704"/>
  <c r="AN30" i="701"/>
  <c r="E9" i="351"/>
  <c r="E16" i="351" s="1"/>
  <c r="W58" i="702"/>
  <c r="AA58" i="702" s="1"/>
  <c r="W66" i="346"/>
  <c r="AA66" i="346" s="1"/>
  <c r="W65" i="707"/>
  <c r="AA65" i="707" s="1"/>
  <c r="T47" i="701"/>
  <c r="W62" i="705"/>
  <c r="AA62" i="705" s="1"/>
  <c r="W63" i="707"/>
  <c r="AA63" i="707" s="1"/>
  <c r="W51" i="703"/>
  <c r="AA51" i="703" s="1"/>
  <c r="W60" i="705"/>
  <c r="AA60" i="705" s="1"/>
  <c r="AN31" i="701"/>
  <c r="W50" i="701"/>
  <c r="AA50" i="701" s="1"/>
  <c r="J9" i="52"/>
  <c r="J25" i="52"/>
  <c r="W55" i="705"/>
  <c r="AA55" i="705" s="1"/>
  <c r="E7" i="351"/>
  <c r="AK30" i="346"/>
  <c r="AO30" i="346"/>
  <c r="AP30" i="346"/>
  <c r="M40" i="703"/>
  <c r="AC40" i="701"/>
  <c r="AD17" i="706"/>
  <c r="AD20" i="706"/>
  <c r="AD19" i="706"/>
  <c r="AD18" i="706"/>
  <c r="G14" i="739" s="1"/>
  <c r="D15" i="351"/>
  <c r="W57" i="703"/>
  <c r="AA57" i="703" s="1"/>
  <c r="W65" i="705"/>
  <c r="AA65" i="705" s="1"/>
  <c r="X35" i="4"/>
  <c r="E6" i="351"/>
  <c r="M71" i="703"/>
  <c r="M37" i="703" s="1"/>
  <c r="W56" i="702"/>
  <c r="AA56" i="702" s="1"/>
  <c r="X35" i="701"/>
  <c r="W57" i="702"/>
  <c r="AA57" i="702" s="1"/>
  <c r="X35" i="346"/>
  <c r="P36" i="708"/>
  <c r="W36" i="708" s="1"/>
  <c r="M59" i="708"/>
  <c r="M23" i="708" s="1"/>
  <c r="M57" i="708"/>
  <c r="M21" i="708" s="1"/>
  <c r="M56" i="708"/>
  <c r="M20" i="708" s="1"/>
  <c r="M58" i="708"/>
  <c r="M22" i="708" s="1"/>
  <c r="M29" i="708"/>
  <c r="M26" i="708"/>
  <c r="E8" i="351"/>
  <c r="E13" i="351" s="1"/>
  <c r="F32" i="778"/>
  <c r="AA52" i="707"/>
  <c r="M69" i="703"/>
  <c r="M35" i="703" s="1"/>
  <c r="W51" i="346"/>
  <c r="AA51" i="346" s="1"/>
  <c r="AB51" i="346" s="1"/>
  <c r="W49" i="702"/>
  <c r="AA49" i="702" s="1"/>
  <c r="O59" i="881"/>
  <c r="W66" i="701"/>
  <c r="AA66" i="701" s="1"/>
  <c r="D18" i="778"/>
  <c r="AH49" i="704"/>
  <c r="AD43" i="704"/>
  <c r="AC43" i="704"/>
  <c r="W67" i="704"/>
  <c r="AA67" i="704" s="1"/>
  <c r="W54" i="707"/>
  <c r="W39" i="708"/>
  <c r="C14" i="351"/>
  <c r="C19" i="351"/>
  <c r="P46" i="707"/>
  <c r="M67" i="707"/>
  <c r="M33" i="707" s="1"/>
  <c r="M68" i="707"/>
  <c r="M34" i="707" s="1"/>
  <c r="M69" i="707"/>
  <c r="M35" i="707" s="1"/>
  <c r="M70" i="707"/>
  <c r="M36" i="707" s="1"/>
  <c r="M39" i="707"/>
  <c r="E17" i="51"/>
  <c r="E19" i="51"/>
  <c r="W61" i="705"/>
  <c r="AA61" i="705" s="1"/>
  <c r="W60" i="707"/>
  <c r="AA60" i="707" s="1"/>
  <c r="J20" i="52"/>
  <c r="M40" i="704"/>
  <c r="AC17" i="706"/>
  <c r="AC19" i="706"/>
  <c r="AC18" i="706"/>
  <c r="F14" i="739" s="1"/>
  <c r="AC20" i="706"/>
  <c r="W53" i="346"/>
  <c r="AA53" i="346" s="1"/>
  <c r="AB53" i="346" s="1"/>
  <c r="W48" i="707"/>
  <c r="AV47" i="346"/>
  <c r="AV48" i="346"/>
  <c r="AC29" i="705"/>
  <c r="F13" i="739" s="1"/>
  <c r="AC31" i="705"/>
  <c r="AC30" i="705"/>
  <c r="AC28" i="705"/>
  <c r="AC39" i="705"/>
  <c r="Y35" i="701"/>
  <c r="W61" i="704"/>
  <c r="AA61" i="704" s="1"/>
  <c r="M70" i="703"/>
  <c r="M36" i="703" s="1"/>
  <c r="W65" i="704"/>
  <c r="AA65" i="704" s="1"/>
  <c r="P47" i="702"/>
  <c r="M69" i="702"/>
  <c r="M35" i="702" s="1"/>
  <c r="M71" i="702"/>
  <c r="M37" i="702" s="1"/>
  <c r="M68" i="702"/>
  <c r="M34" i="702" s="1"/>
  <c r="M70" i="702"/>
  <c r="M36" i="702" s="1"/>
  <c r="M40" i="702"/>
  <c r="W64" i="701"/>
  <c r="AA64" i="701" s="1"/>
  <c r="W61" i="701"/>
  <c r="AA61" i="701" s="1"/>
  <c r="AN17" i="706"/>
  <c r="AD29" i="704"/>
  <c r="AD31" i="704"/>
  <c r="AD32" i="704"/>
  <c r="AD30" i="704"/>
  <c r="AD42" i="704" s="1"/>
  <c r="W60" i="702"/>
  <c r="AA60" i="702" s="1"/>
  <c r="W64" i="704"/>
  <c r="AA64" i="704" s="1"/>
  <c r="W47" i="708"/>
  <c r="W63" i="703"/>
  <c r="AA63" i="703" s="1"/>
  <c r="D27" i="52"/>
  <c r="J6" i="52"/>
  <c r="P71" i="703"/>
  <c r="P37" i="703" s="1"/>
  <c r="P69" i="703"/>
  <c r="P35" i="703" s="1"/>
  <c r="P70" i="703"/>
  <c r="P36" i="703" s="1"/>
  <c r="P68" i="703"/>
  <c r="P34" i="703" s="1"/>
  <c r="P40" i="703"/>
  <c r="T70" i="346"/>
  <c r="T36" i="346" s="1"/>
  <c r="W47" i="346"/>
  <c r="T69" i="346"/>
  <c r="T35" i="346" s="1"/>
  <c r="T68" i="346"/>
  <c r="T34" i="346" s="1"/>
  <c r="T71" i="346"/>
  <c r="T37" i="346" s="1"/>
  <c r="T40" i="346"/>
  <c r="M69" i="346"/>
  <c r="M35" i="346" s="1"/>
  <c r="M71" i="346"/>
  <c r="M37" i="346" s="1"/>
  <c r="P47" i="346"/>
  <c r="M70" i="346"/>
  <c r="M36" i="346" s="1"/>
  <c r="M68" i="346"/>
  <c r="M34" i="346" s="1"/>
  <c r="M40" i="346"/>
  <c r="AC16" i="708"/>
  <c r="AC18" i="708"/>
  <c r="AC17" i="708"/>
  <c r="AC15" i="708"/>
  <c r="D14" i="351"/>
  <c r="D19" i="351"/>
  <c r="AO18" i="706"/>
  <c r="AD28" i="708"/>
  <c r="M68" i="703"/>
  <c r="M34" i="703" s="1"/>
  <c r="W71" i="704"/>
  <c r="AA71" i="704" s="1"/>
  <c r="AN31" i="704"/>
  <c r="W62" i="346"/>
  <c r="AA62" i="346" s="1"/>
  <c r="W61" i="702"/>
  <c r="AA61" i="702" s="1"/>
  <c r="Y35" i="346"/>
  <c r="Y29" i="4"/>
  <c r="Y30" i="4"/>
  <c r="Y31" i="4"/>
  <c r="Y32" i="4"/>
  <c r="AD29" i="707"/>
  <c r="AD30" i="707"/>
  <c r="AD31" i="707"/>
  <c r="AD28" i="707"/>
  <c r="P36" i="706"/>
  <c r="W36" i="706" s="1"/>
  <c r="M58" i="706"/>
  <c r="M24" i="706" s="1"/>
  <c r="M59" i="706"/>
  <c r="M25" i="706" s="1"/>
  <c r="M56" i="706"/>
  <c r="M22" i="706" s="1"/>
  <c r="M57" i="706"/>
  <c r="M23" i="706" s="1"/>
  <c r="M28" i="706"/>
  <c r="C15" i="51"/>
  <c r="W59" i="701"/>
  <c r="AA59" i="701" s="1"/>
  <c r="J22" i="52"/>
  <c r="W53" i="705"/>
  <c r="AA53" i="705" s="1"/>
  <c r="W65" i="703"/>
  <c r="AA65" i="703" s="1"/>
  <c r="AD28" i="705"/>
  <c r="AD31" i="705"/>
  <c r="AD30" i="705"/>
  <c r="AD29" i="705"/>
  <c r="G13" i="739" s="1"/>
  <c r="AD39" i="705"/>
  <c r="AD30" i="703"/>
  <c r="AD29" i="703"/>
  <c r="AD31" i="703"/>
  <c r="AD32" i="703"/>
  <c r="F15" i="730"/>
  <c r="F17" i="730"/>
  <c r="D27" i="730"/>
  <c r="F8" i="900"/>
  <c r="G8" i="900" s="1"/>
  <c r="G8" i="739" a="1"/>
  <c r="F9" i="739" a="1"/>
  <c r="G12" i="739" a="1"/>
  <c r="G11" i="739" a="1"/>
  <c r="G10" i="739" a="1"/>
  <c r="F12" i="739" a="1"/>
  <c r="F11" i="739" a="1"/>
  <c r="F10" i="739" a="1"/>
  <c r="G7" i="739" a="1"/>
  <c r="F8" i="739" a="1"/>
  <c r="F6" i="739" a="1"/>
  <c r="F15" i="739" a="1"/>
  <c r="G15" i="739" a="1"/>
  <c r="G9" i="739" a="1"/>
  <c r="G6" i="739" a="1"/>
  <c r="F7" i="739" a="1"/>
  <c r="H8" i="900" a="1"/>
  <c r="AC29" i="708" l="1"/>
  <c r="AD29" i="708"/>
  <c r="D23" i="731"/>
  <c r="K15" i="739"/>
  <c r="D23" i="732"/>
  <c r="F7" i="739"/>
  <c r="G6" i="739"/>
  <c r="G9" i="739"/>
  <c r="G15" i="739"/>
  <c r="F15" i="739"/>
  <c r="F6" i="739"/>
  <c r="F8" i="739"/>
  <c r="G7" i="739"/>
  <c r="F10" i="739"/>
  <c r="F11" i="739"/>
  <c r="F12" i="739"/>
  <c r="G10" i="739"/>
  <c r="G11" i="739"/>
  <c r="G12" i="739"/>
  <c r="F9" i="739"/>
  <c r="G8" i="739"/>
  <c r="E30" i="732"/>
  <c r="E30" i="786"/>
  <c r="E30" i="840"/>
  <c r="AA36" i="708"/>
  <c r="W58" i="708"/>
  <c r="W22" i="708" s="1"/>
  <c r="W59" i="708"/>
  <c r="W23" i="708" s="1"/>
  <c r="W57" i="708"/>
  <c r="W21" i="708" s="1"/>
  <c r="W56" i="708"/>
  <c r="W20" i="708" s="1"/>
  <c r="W26" i="708"/>
  <c r="W29" i="708"/>
  <c r="AA36" i="706"/>
  <c r="W58" i="706"/>
  <c r="W24" i="706" s="1"/>
  <c r="W56" i="706"/>
  <c r="W22" i="706" s="1"/>
  <c r="W57" i="706"/>
  <c r="W23" i="706" s="1"/>
  <c r="W59" i="706"/>
  <c r="W25" i="706" s="1"/>
  <c r="W28" i="706"/>
  <c r="W40" i="703"/>
  <c r="F15" i="786"/>
  <c r="D22" i="786"/>
  <c r="D27" i="786"/>
  <c r="F17" i="786"/>
  <c r="W71" i="346"/>
  <c r="W37" i="346" s="1"/>
  <c r="W68" i="346"/>
  <c r="W34" i="346" s="1"/>
  <c r="W70" i="346"/>
  <c r="W36" i="346" s="1"/>
  <c r="W69" i="346"/>
  <c r="W35" i="346" s="1"/>
  <c r="AA47" i="346"/>
  <c r="W40" i="346"/>
  <c r="T77" i="704"/>
  <c r="T37" i="704" s="1"/>
  <c r="T74" i="704"/>
  <c r="T34" i="704" s="1"/>
  <c r="T75" i="704"/>
  <c r="T35" i="704" s="1"/>
  <c r="T76" i="704"/>
  <c r="T36" i="704" s="1"/>
  <c r="W53" i="704"/>
  <c r="T42" i="704"/>
  <c r="T44" i="704"/>
  <c r="T40" i="704"/>
  <c r="W71" i="703"/>
  <c r="W37" i="703" s="1"/>
  <c r="F15" i="732"/>
  <c r="D22" i="732"/>
  <c r="F17" i="732"/>
  <c r="D27" i="732"/>
  <c r="W69" i="703"/>
  <c r="W35" i="703" s="1"/>
  <c r="AA47" i="702"/>
  <c r="W69" i="702"/>
  <c r="W35" i="702" s="1"/>
  <c r="W71" i="702"/>
  <c r="W37" i="702" s="1"/>
  <c r="W70" i="702"/>
  <c r="W36" i="702" s="1"/>
  <c r="W68" i="702"/>
  <c r="W34" i="702" s="1"/>
  <c r="AC35" i="702" s="1"/>
  <c r="W40" i="702"/>
  <c r="F15" i="729"/>
  <c r="D22" i="729"/>
  <c r="F17" i="729"/>
  <c r="D27" i="729"/>
  <c r="P69" i="705"/>
  <c r="P35" i="705" s="1"/>
  <c r="P70" i="705"/>
  <c r="P36" i="705" s="1"/>
  <c r="P67" i="705"/>
  <c r="P33" i="705" s="1"/>
  <c r="P68" i="705"/>
  <c r="P34" i="705" s="1"/>
  <c r="P39" i="705"/>
  <c r="AA68" i="703"/>
  <c r="AA34" i="703" s="1"/>
  <c r="AA70" i="703"/>
  <c r="AA36" i="703" s="1"/>
  <c r="AA71" i="703"/>
  <c r="AA37" i="703" s="1"/>
  <c r="AA69" i="703"/>
  <c r="AA35" i="703" s="1"/>
  <c r="AA40" i="703"/>
  <c r="J13" i="739"/>
  <c r="E33" i="732"/>
  <c r="E33" i="786"/>
  <c r="E33" i="840"/>
  <c r="AA44" i="708"/>
  <c r="E31" i="778"/>
  <c r="AA48" i="707"/>
  <c r="U37" i="704"/>
  <c r="D34" i="730"/>
  <c r="D23" i="730"/>
  <c r="D23" i="840"/>
  <c r="W68" i="703"/>
  <c r="W34" i="703" s="1"/>
  <c r="P68" i="707"/>
  <c r="P34" i="707" s="1"/>
  <c r="P70" i="707"/>
  <c r="P36" i="707" s="1"/>
  <c r="P67" i="707"/>
  <c r="P33" i="707" s="1"/>
  <c r="P69" i="707"/>
  <c r="P35" i="707" s="1"/>
  <c r="P39" i="707"/>
  <c r="W46" i="707"/>
  <c r="D34" i="715"/>
  <c r="D23" i="715"/>
  <c r="F15" i="840"/>
  <c r="D22" i="840"/>
  <c r="F17" i="840"/>
  <c r="D27" i="840"/>
  <c r="L15" i="731"/>
  <c r="G22" i="731"/>
  <c r="G27" i="731"/>
  <c r="L17" i="731"/>
  <c r="W70" i="703"/>
  <c r="W36" i="703" s="1"/>
  <c r="E14" i="351"/>
  <c r="E19" i="351"/>
  <c r="G16" i="778"/>
  <c r="D21" i="778"/>
  <c r="AY8" i="346"/>
  <c r="AX49" i="346"/>
  <c r="P59" i="708"/>
  <c r="P23" i="708" s="1"/>
  <c r="P58" i="708"/>
  <c r="P22" i="708" s="1"/>
  <c r="P57" i="708"/>
  <c r="P21" i="708" s="1"/>
  <c r="P56" i="708"/>
  <c r="P20" i="708" s="1"/>
  <c r="P29" i="708"/>
  <c r="P26" i="708"/>
  <c r="D23" i="786"/>
  <c r="J14" i="739"/>
  <c r="U37" i="701"/>
  <c r="G16" i="786"/>
  <c r="D21" i="786"/>
  <c r="F15" i="715"/>
  <c r="D22" i="715"/>
  <c r="D27" i="715"/>
  <c r="F17" i="715"/>
  <c r="F15" i="778"/>
  <c r="D22" i="778"/>
  <c r="W46" i="705"/>
  <c r="T70" i="701"/>
  <c r="T36" i="701" s="1"/>
  <c r="T68" i="701"/>
  <c r="T34" i="701" s="1"/>
  <c r="W47" i="701"/>
  <c r="T71" i="701"/>
  <c r="T37" i="701" s="1"/>
  <c r="T69" i="701"/>
  <c r="T35" i="701" s="1"/>
  <c r="T40" i="701"/>
  <c r="F17" i="778"/>
  <c r="D25" i="778"/>
  <c r="F18" i="778"/>
  <c r="E18" i="778"/>
  <c r="D28" i="778"/>
  <c r="D27" i="778"/>
  <c r="D23" i="778"/>
  <c r="P70" i="346"/>
  <c r="P36" i="346" s="1"/>
  <c r="P68" i="346"/>
  <c r="P34" i="346" s="1"/>
  <c r="P71" i="346"/>
  <c r="P37" i="346" s="1"/>
  <c r="P69" i="346"/>
  <c r="P35" i="346" s="1"/>
  <c r="P40" i="346"/>
  <c r="D22" i="730"/>
  <c r="P68" i="702"/>
  <c r="P34" i="702" s="1"/>
  <c r="P71" i="702"/>
  <c r="P37" i="702" s="1"/>
  <c r="P69" i="702"/>
  <c r="P35" i="702" s="1"/>
  <c r="P70" i="702"/>
  <c r="P36" i="702" s="1"/>
  <c r="P40" i="702"/>
  <c r="E32" i="732"/>
  <c r="E32" i="786"/>
  <c r="E32" i="840"/>
  <c r="AA39" i="708"/>
  <c r="E15" i="351"/>
  <c r="E31" i="732"/>
  <c r="E31" i="786"/>
  <c r="E31" i="840"/>
  <c r="AA37" i="708"/>
  <c r="P57" i="706"/>
  <c r="P23" i="706" s="1"/>
  <c r="P59" i="706"/>
  <c r="P25" i="706" s="1"/>
  <c r="P56" i="706"/>
  <c r="P22" i="706" s="1"/>
  <c r="P58" i="706"/>
  <c r="P24" i="706" s="1"/>
  <c r="P28" i="706"/>
  <c r="E35" i="732"/>
  <c r="E35" i="786"/>
  <c r="E35" i="840"/>
  <c r="AA47" i="708"/>
  <c r="E33" i="778"/>
  <c r="AA54" i="707"/>
  <c r="P68" i="701"/>
  <c r="P34" i="701" s="1"/>
  <c r="P71" i="701"/>
  <c r="P37" i="701" s="1"/>
  <c r="P69" i="701"/>
  <c r="P35" i="701" s="1"/>
  <c r="P70" i="701"/>
  <c r="P36" i="701" s="1"/>
  <c r="P40" i="701"/>
  <c r="I15" i="731"/>
  <c r="D22" i="731"/>
  <c r="I17" i="731"/>
  <c r="D27" i="731"/>
  <c r="G23" i="731"/>
  <c r="H8" i="900"/>
  <c r="K42" i="881" a="1"/>
  <c r="I42" i="881" a="1"/>
  <c r="K31" i="881" a="1"/>
  <c r="H17" i="731" a="1"/>
  <c r="L42" i="881" a="1"/>
  <c r="C42" i="881" a="1"/>
  <c r="C31" i="881" a="1"/>
  <c r="E17" i="715" a="1"/>
  <c r="L30" i="881" a="1"/>
  <c r="C28" i="881" a="1"/>
  <c r="E14" i="715" a="1"/>
  <c r="C30" i="881" a="1"/>
  <c r="E16" i="715" a="1"/>
  <c r="L31" i="881" a="1"/>
  <c r="C29" i="881" a="1"/>
  <c r="E15" i="715" a="1"/>
  <c r="K29" i="881" a="1"/>
  <c r="H15" i="731" a="1"/>
  <c r="L28" i="881" a="1"/>
  <c r="K28" i="881" a="1"/>
  <c r="H14" i="731" a="1"/>
  <c r="K30" i="881" a="1"/>
  <c r="H16" i="731" a="1"/>
  <c r="I29" i="881" a="1"/>
  <c r="E15" i="731" a="1"/>
  <c r="I31" i="881" a="1"/>
  <c r="E17" i="731" a="1"/>
  <c r="I30" i="881" a="1"/>
  <c r="E16" i="731" a="1"/>
  <c r="L29" i="881" a="1"/>
  <c r="I28" i="881" a="1"/>
  <c r="E14" i="731" a="1"/>
  <c r="I8" i="900" a="1"/>
  <c r="J9" i="739" l="1"/>
  <c r="J6" i="739"/>
  <c r="E14" i="731"/>
  <c r="I28" i="881"/>
  <c r="L29" i="881"/>
  <c r="E16" i="731"/>
  <c r="E21" i="731" s="1"/>
  <c r="I30" i="881"/>
  <c r="I37" i="881" s="1"/>
  <c r="E17" i="731"/>
  <c r="E24" i="731" s="1"/>
  <c r="I31" i="881"/>
  <c r="I40" i="881" s="1"/>
  <c r="E15" i="731"/>
  <c r="I29" i="881"/>
  <c r="H16" i="731"/>
  <c r="H21" i="731" s="1"/>
  <c r="K30" i="881"/>
  <c r="K37" i="881" s="1"/>
  <c r="H14" i="731"/>
  <c r="K28" i="881"/>
  <c r="L28" i="881"/>
  <c r="H15" i="731"/>
  <c r="K29" i="881"/>
  <c r="E15" i="715"/>
  <c r="C29" i="881"/>
  <c r="L31" i="881"/>
  <c r="E16" i="715"/>
  <c r="E21" i="715" s="1"/>
  <c r="C30" i="881"/>
  <c r="C37" i="881" s="1"/>
  <c r="E14" i="715"/>
  <c r="C28" i="881"/>
  <c r="L30" i="881"/>
  <c r="E17" i="715"/>
  <c r="E24" i="715" s="1"/>
  <c r="C31" i="881"/>
  <c r="C40" i="881" s="1"/>
  <c r="C42" i="881"/>
  <c r="L42" i="881"/>
  <c r="H17" i="731"/>
  <c r="H24" i="731" s="1"/>
  <c r="K31" i="881"/>
  <c r="K40" i="881" s="1"/>
  <c r="I42" i="881"/>
  <c r="K42" i="881"/>
  <c r="E30" i="778"/>
  <c r="W69" i="707"/>
  <c r="W35" i="707" s="1"/>
  <c r="AA46" i="707"/>
  <c r="W70" i="707"/>
  <c r="W36" i="707" s="1"/>
  <c r="W68" i="707"/>
  <c r="W34" i="707" s="1"/>
  <c r="W67" i="707"/>
  <c r="W33" i="707" s="1"/>
  <c r="W39" i="707"/>
  <c r="AA53" i="704"/>
  <c r="W76" i="704"/>
  <c r="W36" i="704" s="1"/>
  <c r="W77" i="704"/>
  <c r="W37" i="704" s="1"/>
  <c r="W75" i="704"/>
  <c r="W35" i="704" s="1"/>
  <c r="W74" i="704"/>
  <c r="W34" i="704" s="1"/>
  <c r="W42" i="704"/>
  <c r="W40" i="704"/>
  <c r="W44" i="704"/>
  <c r="W31" i="706"/>
  <c r="W30" i="706"/>
  <c r="J11" i="739"/>
  <c r="W43" i="703"/>
  <c r="W42" i="703"/>
  <c r="W43" i="346"/>
  <c r="W42" i="346"/>
  <c r="J10" i="739"/>
  <c r="J12" i="739"/>
  <c r="T43" i="346"/>
  <c r="J8" i="739"/>
  <c r="E25" i="778"/>
  <c r="AA71" i="702"/>
  <c r="AA69" i="702"/>
  <c r="AA68" i="702"/>
  <c r="AA70" i="702"/>
  <c r="AA40" i="702"/>
  <c r="J15" i="739"/>
  <c r="AA57" i="708"/>
  <c r="AA16" i="708" s="1"/>
  <c r="AA59" i="708"/>
  <c r="AA18" i="708" s="1"/>
  <c r="AA56" i="708"/>
  <c r="AA15" i="708" s="1"/>
  <c r="AA58" i="708"/>
  <c r="AA17" i="708" s="1"/>
  <c r="AA26" i="708"/>
  <c r="AA29" i="708"/>
  <c r="W42" i="702"/>
  <c r="W43" i="702"/>
  <c r="AA59" i="706"/>
  <c r="AA25" i="706" s="1"/>
  <c r="AA57" i="706"/>
  <c r="AA23" i="706" s="1"/>
  <c r="AA56" i="706"/>
  <c r="AA22" i="706" s="1"/>
  <c r="AA58" i="706"/>
  <c r="AA24" i="706" s="1"/>
  <c r="AA28" i="706"/>
  <c r="W68" i="701"/>
  <c r="W34" i="701" s="1"/>
  <c r="W70" i="701"/>
  <c r="W36" i="701" s="1"/>
  <c r="AA47" i="701"/>
  <c r="W69" i="701"/>
  <c r="W35" i="701" s="1"/>
  <c r="W71" i="701"/>
  <c r="W37" i="701" s="1"/>
  <c r="W40" i="701"/>
  <c r="W70" i="705"/>
  <c r="W36" i="705" s="1"/>
  <c r="W68" i="705"/>
  <c r="W34" i="705" s="1"/>
  <c r="W67" i="705"/>
  <c r="W33" i="705" s="1"/>
  <c r="W69" i="705"/>
  <c r="W35" i="705" s="1"/>
  <c r="AA46" i="705"/>
  <c r="W39" i="705"/>
  <c r="AA71" i="346"/>
  <c r="AA37" i="346" s="1"/>
  <c r="AA69" i="346"/>
  <c r="AA35" i="346" s="1"/>
  <c r="AB47" i="346"/>
  <c r="AA70" i="346"/>
  <c r="AA36" i="346" s="1"/>
  <c r="AA68" i="346"/>
  <c r="AA34" i="346" s="1"/>
  <c r="AA40" i="346"/>
  <c r="J7" i="739"/>
  <c r="I8" i="900"/>
  <c r="J8" i="900" s="1"/>
  <c r="E28" i="881" a="1"/>
  <c r="E14" i="729" a="1"/>
  <c r="D28" i="881" a="1"/>
  <c r="D42" i="881" a="1"/>
  <c r="E30" i="881" a="1"/>
  <c r="E16" i="729" a="1"/>
  <c r="E29" i="881" a="1"/>
  <c r="E15" i="729" a="1"/>
  <c r="G30" i="881" a="1"/>
  <c r="E16" i="730" a="1"/>
  <c r="M42" i="881" a="1"/>
  <c r="M30" i="881" a="1"/>
  <c r="E16" i="840" a="1"/>
  <c r="E16" i="778" a="1"/>
  <c r="E16" i="786" a="1"/>
  <c r="E16" i="732" a="1"/>
  <c r="J31" i="881" a="1"/>
  <c r="D29" i="881" a="1"/>
  <c r="J42" i="881" a="1"/>
  <c r="E31" i="881" a="1"/>
  <c r="E17" i="729" a="1"/>
  <c r="G31" i="881" a="1"/>
  <c r="E17" i="730" a="1"/>
  <c r="G42" i="881" a="1"/>
  <c r="E42" i="881" a="1"/>
  <c r="M31" i="881" a="1"/>
  <c r="E17" i="840" a="1"/>
  <c r="E17" i="778" a="1"/>
  <c r="E17" i="786" a="1"/>
  <c r="E17" i="732" a="1"/>
  <c r="D31" i="881" a="1"/>
  <c r="J28" i="881" a="1"/>
  <c r="J29" i="881" a="1"/>
  <c r="J30" i="881" a="1"/>
  <c r="D30" i="881" a="1"/>
  <c r="G29" i="881" a="1"/>
  <c r="E15" i="730" a="1"/>
  <c r="G28" i="881" a="1"/>
  <c r="E14" i="730" a="1"/>
  <c r="M29" i="881" a="1"/>
  <c r="E15" i="840" a="1"/>
  <c r="E15" i="778" a="1"/>
  <c r="E15" i="786" a="1"/>
  <c r="E15" i="732" a="1"/>
  <c r="M43" i="881" a="1"/>
  <c r="M44" i="881" a="1"/>
  <c r="M28" i="881" a="1"/>
  <c r="E14" i="840" a="1"/>
  <c r="E14" i="778" a="1"/>
  <c r="E14" i="786" a="1"/>
  <c r="E14" i="732" a="1"/>
  <c r="D9" i="900" a="1"/>
  <c r="C39" i="881" l="1"/>
  <c r="E23" i="715"/>
  <c r="E14" i="732"/>
  <c r="E14" i="786"/>
  <c r="E14" i="778"/>
  <c r="E14" i="840"/>
  <c r="M28" i="881"/>
  <c r="M44" i="881"/>
  <c r="M43" i="881"/>
  <c r="E15" i="732"/>
  <c r="E15" i="786"/>
  <c r="E15" i="778"/>
  <c r="E15" i="840"/>
  <c r="M29" i="881"/>
  <c r="E14" i="730"/>
  <c r="G28" i="881"/>
  <c r="E15" i="730"/>
  <c r="G29" i="881"/>
  <c r="D30" i="881"/>
  <c r="J30" i="881"/>
  <c r="J29" i="881"/>
  <c r="J28" i="881"/>
  <c r="D31" i="881"/>
  <c r="E17" i="732"/>
  <c r="E24" i="732" s="1"/>
  <c r="E17" i="786"/>
  <c r="E24" i="786" s="1"/>
  <c r="E17" i="778"/>
  <c r="E24" i="778" s="1"/>
  <c r="E17" i="840"/>
  <c r="E24" i="840" s="1"/>
  <c r="M31" i="881"/>
  <c r="M40" i="881" s="1"/>
  <c r="E42" i="881"/>
  <c r="G42" i="881"/>
  <c r="E17" i="730"/>
  <c r="E24" i="730" s="1"/>
  <c r="G31" i="881"/>
  <c r="G40" i="881" s="1"/>
  <c r="E17" i="729"/>
  <c r="E24" i="729" s="1"/>
  <c r="E31" i="881"/>
  <c r="E40" i="881" s="1"/>
  <c r="J42" i="881"/>
  <c r="D29" i="881"/>
  <c r="J31" i="881"/>
  <c r="E16" i="732"/>
  <c r="E21" i="732" s="1"/>
  <c r="E16" i="786"/>
  <c r="E21" i="786" s="1"/>
  <c r="E16" i="778"/>
  <c r="E16" i="840"/>
  <c r="E21" i="840" s="1"/>
  <c r="M30" i="881"/>
  <c r="M37" i="881" s="1"/>
  <c r="M42" i="881"/>
  <c r="E16" i="730"/>
  <c r="E21" i="730" s="1"/>
  <c r="G30" i="881"/>
  <c r="G37" i="881" s="1"/>
  <c r="E15" i="729"/>
  <c r="E29" i="881"/>
  <c r="E16" i="729"/>
  <c r="E21" i="729" s="1"/>
  <c r="E30" i="881"/>
  <c r="E37" i="881" s="1"/>
  <c r="D42" i="881"/>
  <c r="D28" i="881"/>
  <c r="E14" i="729"/>
  <c r="E28" i="881"/>
  <c r="H23" i="731"/>
  <c r="W48" i="704"/>
  <c r="W49" i="704"/>
  <c r="W41" i="705"/>
  <c r="W42" i="705"/>
  <c r="AA74" i="704"/>
  <c r="AA34" i="704" s="1"/>
  <c r="AA76" i="704"/>
  <c r="AA36" i="704" s="1"/>
  <c r="AA77" i="704"/>
  <c r="AA37" i="704" s="1"/>
  <c r="AA75" i="704"/>
  <c r="AA35" i="704" s="1"/>
  <c r="AA40" i="704"/>
  <c r="AB40" i="704"/>
  <c r="N45" i="881" s="1"/>
  <c r="L37" i="881"/>
  <c r="L57" i="881"/>
  <c r="L61" i="881" s="1"/>
  <c r="J15" i="731"/>
  <c r="E22" i="731"/>
  <c r="J17" i="731"/>
  <c r="E27" i="731"/>
  <c r="K38" i="881"/>
  <c r="K46" i="881"/>
  <c r="K39" i="881"/>
  <c r="AA70" i="705"/>
  <c r="AA36" i="705" s="1"/>
  <c r="AA68" i="705"/>
  <c r="AA34" i="705" s="1"/>
  <c r="AA67" i="705"/>
  <c r="AA33" i="705" s="1"/>
  <c r="AA69" i="705"/>
  <c r="AA35" i="705" s="1"/>
  <c r="AA39" i="705"/>
  <c r="AA30" i="702"/>
  <c r="AA35" i="702"/>
  <c r="M15" i="731"/>
  <c r="H22" i="731"/>
  <c r="M17" i="731"/>
  <c r="H27" i="731"/>
  <c r="AB35" i="346"/>
  <c r="P49" i="704"/>
  <c r="P48" i="704"/>
  <c r="U48" i="704"/>
  <c r="U49" i="704"/>
  <c r="I38" i="881"/>
  <c r="I46" i="881"/>
  <c r="L39" i="881"/>
  <c r="L55" i="881"/>
  <c r="W42" i="701"/>
  <c r="W43" i="701"/>
  <c r="AA69" i="701"/>
  <c r="AA35" i="701" s="1"/>
  <c r="AA71" i="701"/>
  <c r="AA37" i="701" s="1"/>
  <c r="AA68" i="701"/>
  <c r="AA34" i="701" s="1"/>
  <c r="AA70" i="701"/>
  <c r="AA36" i="701" s="1"/>
  <c r="AA40" i="701"/>
  <c r="AA70" i="707"/>
  <c r="AA31" i="707" s="1"/>
  <c r="AA68" i="707"/>
  <c r="AA29" i="707" s="1"/>
  <c r="AA67" i="707"/>
  <c r="AA28" i="707" s="1"/>
  <c r="AA69" i="707"/>
  <c r="AA30" i="707" s="1"/>
  <c r="AA39" i="707"/>
  <c r="L40" i="881"/>
  <c r="L58" i="881"/>
  <c r="L38" i="881"/>
  <c r="L56" i="881"/>
  <c r="L60" i="881" s="1"/>
  <c r="L46" i="881"/>
  <c r="C38" i="881"/>
  <c r="C46" i="881"/>
  <c r="I39" i="881"/>
  <c r="AA34" i="702"/>
  <c r="AA29" i="702"/>
  <c r="AA32" i="702"/>
  <c r="AA37" i="702"/>
  <c r="AC35" i="701"/>
  <c r="AA36" i="702"/>
  <c r="AA31" i="702"/>
  <c r="E22" i="715"/>
  <c r="E27" i="715"/>
  <c r="E23" i="731"/>
  <c r="D9" i="900"/>
  <c r="F30" i="881" a="1"/>
  <c r="H29" i="881" a="1"/>
  <c r="F42" i="881" a="1"/>
  <c r="N30" i="881" a="1"/>
  <c r="N42" i="881" a="1"/>
  <c r="F31" i="881" a="1"/>
  <c r="N31" i="881" a="1"/>
  <c r="F28" i="881" a="1"/>
  <c r="N28" i="881" a="1"/>
  <c r="H42" i="881" a="1"/>
  <c r="H28" i="881" a="1"/>
  <c r="N29" i="881" a="1"/>
  <c r="F29" i="881" a="1"/>
  <c r="H31" i="881" a="1"/>
  <c r="H30" i="881" a="1"/>
  <c r="E9" i="900" a="1"/>
  <c r="H30" i="881" l="1"/>
  <c r="H31" i="881"/>
  <c r="F29" i="881"/>
  <c r="N29" i="881"/>
  <c r="H28" i="881"/>
  <c r="H42" i="881"/>
  <c r="N28" i="881"/>
  <c r="F28" i="881"/>
  <c r="N31" i="881"/>
  <c r="F31" i="881"/>
  <c r="N42" i="881"/>
  <c r="N30" i="881"/>
  <c r="F42" i="881"/>
  <c r="H29" i="881"/>
  <c r="F30" i="881"/>
  <c r="E23" i="730"/>
  <c r="E22" i="732"/>
  <c r="E27" i="732"/>
  <c r="AB35" i="701"/>
  <c r="G39" i="881"/>
  <c r="E22" i="778"/>
  <c r="E27" i="778"/>
  <c r="E21" i="778"/>
  <c r="E28" i="778"/>
  <c r="F28" i="778" s="1"/>
  <c r="E22" i="840"/>
  <c r="E27" i="840"/>
  <c r="D40" i="881"/>
  <c r="D58" i="881"/>
  <c r="M39" i="881"/>
  <c r="J39" i="881"/>
  <c r="J55" i="881"/>
  <c r="E23" i="840"/>
  <c r="E39" i="881"/>
  <c r="J40" i="881"/>
  <c r="J58" i="881"/>
  <c r="J38" i="881"/>
  <c r="J56" i="881"/>
  <c r="J60" i="881" s="1"/>
  <c r="J46" i="881"/>
  <c r="E23" i="778"/>
  <c r="G38" i="881"/>
  <c r="G46" i="881"/>
  <c r="E22" i="730"/>
  <c r="E27" i="730"/>
  <c r="E38" i="881"/>
  <c r="E46" i="881"/>
  <c r="E22" i="729"/>
  <c r="E27" i="729"/>
  <c r="M38" i="881"/>
  <c r="M46" i="881"/>
  <c r="E23" i="729"/>
  <c r="D38" i="881"/>
  <c r="D56" i="881"/>
  <c r="D46" i="881"/>
  <c r="J37" i="881"/>
  <c r="J57" i="881"/>
  <c r="J61" i="881" s="1"/>
  <c r="E23" i="786"/>
  <c r="AB34" i="705"/>
  <c r="E22" i="786"/>
  <c r="E27" i="786"/>
  <c r="D39" i="881"/>
  <c r="D55" i="881"/>
  <c r="D37" i="881"/>
  <c r="D57" i="881"/>
  <c r="E23" i="732"/>
  <c r="E9" i="900"/>
  <c r="F9" i="900" a="1"/>
  <c r="F37" i="881" l="1"/>
  <c r="F57" i="881"/>
  <c r="F61" i="881" s="1"/>
  <c r="H38" i="881"/>
  <c r="H56" i="881"/>
  <c r="H60" i="881" s="1"/>
  <c r="H46" i="881"/>
  <c r="N37" i="881"/>
  <c r="N57" i="881"/>
  <c r="N61" i="881" s="1"/>
  <c r="F40" i="881"/>
  <c r="F58" i="881"/>
  <c r="F39" i="881"/>
  <c r="F55" i="881"/>
  <c r="N40" i="881"/>
  <c r="N58" i="881"/>
  <c r="N39" i="881"/>
  <c r="N55" i="881"/>
  <c r="H39" i="881"/>
  <c r="H55" i="881"/>
  <c r="D60" i="881"/>
  <c r="N38" i="881"/>
  <c r="N56" i="881"/>
  <c r="N60" i="881" s="1"/>
  <c r="N46" i="881"/>
  <c r="F38" i="881"/>
  <c r="F56" i="881"/>
  <c r="F60" i="881" s="1"/>
  <c r="F46" i="881"/>
  <c r="D61" i="881"/>
  <c r="H40" i="881"/>
  <c r="H58" i="881"/>
  <c r="H37" i="881"/>
  <c r="H57" i="881"/>
  <c r="H61" i="881" s="1"/>
  <c r="F9" i="900"/>
  <c r="G9" i="900" s="1"/>
  <c r="H9" i="900" a="1"/>
  <c r="O58" i="881" l="1"/>
  <c r="O55" i="881"/>
  <c r="O57" i="881"/>
  <c r="O56" i="881"/>
  <c r="H9" i="900"/>
  <c r="I9" i="900" a="1"/>
  <c r="I9" i="900"/>
  <c r="J9" i="900" s="1"/>
  <c r="D10" i="900" a="1"/>
  <c r="D10" i="900"/>
  <c r="E10" i="900" a="1"/>
  <c r="E10" i="900"/>
  <c r="F10" i="900" a="1"/>
  <c r="F10" i="900"/>
  <c r="G10" i="900" s="1"/>
  <c r="H10" i="900" a="1"/>
  <c r="H10" i="900"/>
  <c r="I10" i="900" a="1"/>
  <c r="I10" i="900"/>
  <c r="J10" i="90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tc={17FD1D1E-A6E1-4641-8202-4D06E8BA3CA3}</author>
    <author>tc={ECB9D6BF-C46D-48E7-8E02-814AC1DBDF50}</author>
    <author>tc={523ABB12-9820-4EF3-B81A-049C8E08C1EB}</author>
    <author>tc={5662FBD7-0627-4E08-993F-465D89F5B19E}</author>
    <author>tc={FFB3BECF-6DE1-4E3B-B423-88AB541AD594}</author>
    <author>tc={01509358-0E9C-42E5-8543-CD412BA33533}</author>
    <author>tc={CBDD3867-7599-47CC-9E77-57F0480C43D6}</author>
    <author>tc={3897AA5C-717E-4807-A91B-F8AFF8451B8C}</author>
    <author>tc={6F85C89A-CAA0-4E23-BA15-AB7C0C7B2B8E}</author>
    <author>tc={A59DB50C-53A0-4744-A095-25EE42E95734}</author>
    <author>tc={7DE98285-41D6-4623-96F2-4175662720A2}</author>
    <author>tc={ADE0473B-AD13-474B-A9AC-314DD14F03D7}</author>
    <author>tc={CCAEDD98-564E-45B0-A648-D01709B389CA}</author>
    <author>tc={80487819-98F8-4545-8A62-253348C668DA}</author>
    <author>tc={DD0D8569-A0AF-4BE6-B212-D2C1A061BDCF}</author>
    <author>tc={D37063B3-7F99-4301-B7BF-0D5B2E7F094C}</author>
    <author>tc={1ABE3305-59EE-430C-94B4-CEE78B2F4854}</author>
    <author>tc={C81B8905-FA38-4D2A-86EB-64AF82F53D39}</author>
    <author>tc={E1F0B48A-586B-4604-9BE3-A8EDA21B728B}</author>
    <author>tc={2F4AE565-3113-4D74-9936-3B2A0768C304}</author>
    <author>tc={1EA5E0D0-94A5-4C09-90C4-EFABEA954DCB}</author>
    <author>tc={66FD5F50-FC73-4D9A-A4E8-62B316435DCA}</author>
    <author>tc={FAA9198A-14FB-4F02-A062-9A75A74636E5}</author>
    <author>tc={68542A90-3B0E-4B22-BBCE-862D1CE0DE55}</author>
    <author>tc={8CA805BF-3006-49B8-9C2A-CB55E0CE291F}</author>
    <author>tc={5DCB6D16-8575-4786-A855-892BB109453E}</author>
    <author>tc={8B9459B3-B544-42A5-80E4-8F1BB39B0DEA}</author>
    <author>tc={6FE14CB1-35C1-4F0D-AD35-89C0AC6A3375}</author>
    <author>tc={F71D5FE3-BD93-42E1-A0B5-5FD11B42E4E8}</author>
    <author>tc={72ED62B6-EDC0-4786-AE34-BAA849BE6182}</author>
    <author>tc={090DF4C2-CE72-4C14-8752-124164DD9BDB}</author>
    <author>tc={B4E9BDE4-2DFA-42B5-A785-E91FFCB03336}</author>
    <author>tc={17628767-951A-4483-AAEE-B0BD0FF68249}</author>
    <author>tc={DEA75540-D869-4343-8F0C-DC945C8EBED9}</author>
    <author>tc={6ADDF070-456F-473C-A359-B3DD346A28BD}</author>
    <author>tc={9DF6C94D-70D3-48EC-8867-22950C30BE93}</author>
    <author>tc={2A054FF0-C28C-4B08-8A0F-2985F67D4F32}</author>
    <author>tc={DF37C0F9-677D-4480-A171-4A53D8BF769B}</author>
    <author>tc={7BA38929-B00D-497C-925B-54FEE5804F66}</author>
    <author>tc={80A5DBCD-0B9C-4A62-A5A3-68ED454AC983}</author>
    <author>tc={09B3AED3-1082-4B44-B9AF-13CDCC50B437}</author>
    <author>tc={585D4ACE-D596-44BB-B989-715C12A21E9B}</author>
    <author>tc={7988433E-FCFE-48F8-9A8F-8DBB05A6D793}</author>
    <author>tc={FD856A67-60CF-4A06-9C1B-5FAC2128B3E9}</author>
    <author>tc={049A6CB1-D144-46D5-BDF7-881BDAA7CBA1}</author>
    <author>tc={9B65457D-2516-40C9-809D-2152D5C9060E}</author>
    <author>tc={6F6517C1-B916-4D97-87BD-039B3FCCCE37}</author>
    <author>tc={87CBE170-8024-4B8A-B179-0807EA796EED}</author>
    <author>tc={F91C0019-924E-4397-819C-5289E708E88F}</author>
    <author>tc={B831CBBA-C188-4078-A0BD-30793447C2DA}</author>
    <author>tc={5629068B-2EBD-4D77-AA6F-368FBF929B84}</author>
    <author>tc={65AE8081-7F9E-4327-BEC5-4D031118E93D}</author>
    <author>tc={F1BF6D92-77E8-422E-84E3-28E24D375039}</author>
    <author>tc={B757492B-79FF-4277-98EE-F1E5AD6D950D}</author>
    <author>tc={3F937A43-5EBD-44E1-A863-FFE5CE6F83CA}</author>
    <author>tc={73A7C8C1-2563-421A-B985-B0B9691278B0}</author>
    <author>tc={57E51622-AABD-4156-A0E6-DF4D7EB71064}</author>
    <author>tc={114446C3-E236-467B-8B75-512879D80DE4}</author>
    <author>tc={7ADFCC26-4D8C-4EE6-A5AE-E3F7A62666C8}</author>
    <author>tc={BE8C0C4C-6BD7-4415-B3E8-049F08F159CF}</author>
    <author>tc={7C17BBD9-A187-4822-9DF7-DE75B3B4C8F6}</author>
    <author>tc={A11467B2-5383-45AA-B4FF-D437500ACC50}</author>
    <author>tc={3D6FAF2B-DE11-4D26-B3A4-73E7A8AA0FC6}</author>
    <author>tc={B5741C17-DED8-4C4D-B487-8295C4F104E6}</author>
    <author>tc={F9C342B5-5F88-4885-B168-834E7BF3FA8A}</author>
    <author>tc={867C0D64-6A8C-4CD3-A788-8026B98C6B02}</author>
    <author>tc={675AABAC-EEAB-4F66-B73C-E40F4EE51C54}</author>
    <author>tc={8BDB56EC-14F5-4F82-84C7-512D06CCEBE2}</author>
    <author>tc={EF5D9D08-81A7-4344-B90E-07FC783363F8}</author>
    <author>tc={D1181EE9-F32B-44BD-8B9D-F9D966F7EEEF}</author>
    <author>tc={2E65090D-FF3C-41A1-9CA3-2B3DE8B7F400}</author>
    <author>tc={8DBDF42B-D016-402C-BD86-75BF89ED2A43}</author>
    <author>tc={0B787761-2214-49D4-8B63-8765FCE355B6}</author>
    <author>tc={5FA2897B-3724-4BF6-AAFA-FB8796400A0C}</author>
  </authors>
  <commentList>
    <comment ref="R53" authorId="0" shapeId="0" xr:uid="{17FD1D1E-A6E1-4641-8202-4D06E8BA3CA3}">
      <text>
        <t>[Threaded comment]
Your version of Excel allows you to read this threaded comment; however, any edits to it will get removed if the file is opened in a newer version of Excel. Learn more: https://go.microsoft.com/fwlink/?linkid=870924
Comment:
    Disclosed in CAD</t>
      </text>
    </comment>
    <comment ref="AA53" authorId="1" shapeId="0" xr:uid="{ECB9D6BF-C46D-48E7-8E02-814AC1DBDF50}">
      <text>
        <t>[Threaded comment]
Your version of Excel allows you to read this threaded comment; however, any edits to it will get removed if the file is opened in a newer version of Excel. Learn more: https://go.microsoft.com/fwlink/?linkid=870924
Comment:
    55% PSUs, 45% RSUs</t>
      </text>
    </comment>
    <comment ref="S64" authorId="2" shapeId="0" xr:uid="{523ABB12-9820-4EF3-B81A-049C8E08C1EB}">
      <text>
        <t>[Threaded comment]
Your version of Excel allows you to read this threaded comment; however, any edits to it will get removed if the file is opened in a newer version of Excel. Learn more: https://go.microsoft.com/fwlink/?linkid=870924
Comment:
    Removed $75k CAD one-time award</t>
      </text>
    </comment>
    <comment ref="AB68" authorId="3" shapeId="0" xr:uid="{5662FBD7-0627-4E08-993F-465D89F5B19E}">
      <text>
        <t>[Threaded comment]
Your version of Excel allows you to read this threaded comment; however, any edits to it will get removed if the file is opened in a newer version of Excel. Learn more: https://go.microsoft.com/fwlink/?linkid=870924
Comment:
    New mix: 50/50 Options/PSUs</t>
      </text>
    </comment>
    <comment ref="AI68" authorId="4" shapeId="0" xr:uid="{FFB3BECF-6DE1-4E3B-B423-88AB541AD594}">
      <text>
        <t>[Threaded comment]
Your version of Excel allows you to read this threaded comment; however, any edits to it will get removed if the file is opened in a newer version of Excel. Learn more: https://go.microsoft.com/fwlink/?linkid=870924
Comment:
    2025 target</t>
      </text>
    </comment>
    <comment ref="AN68" authorId="5" shapeId="0" xr:uid="{01509358-0E9C-42E5-8543-CD412BA33533}">
      <text>
        <t>[Threaded comment]
Your version of Excel allows you to read this threaded comment; however, any edits to it will get removed if the file is opened in a newer version of Excel. Learn more: https://go.microsoft.com/fwlink/?linkid=870924
Comment:
    No pension plan</t>
      </text>
    </comment>
    <comment ref="AA73" authorId="6" shapeId="0" xr:uid="{CBDD3867-7599-47CC-9E77-57F0480C43D6}">
      <text>
        <t>[Threaded comment]
Your version of Excel allows you to read this threaded comment; however, any edits to it will get removed if the file is opened in a newer version of Excel. Learn more: https://go.microsoft.com/fwlink/?linkid=870924
Comment:
    Consistent with last year - exclude one-time award (hire)</t>
      </text>
    </comment>
    <comment ref="AA76" authorId="7" shapeId="0" xr:uid="{3897AA5C-717E-4807-A91B-F8AFF8451B8C}">
      <text>
        <t>[Threaded comment]
Your version of Excel allows you to read this threaded comment; however, any edits to it will get removed if the file is opened in a newer version of Excel. Learn more: https://go.microsoft.com/fwlink/?linkid=870924
Comment:
    Consistent with last year - exclude one-time award (hire)</t>
      </text>
    </comment>
    <comment ref="AA83" authorId="8" shapeId="0" xr:uid="{6F85C89A-CAA0-4E23-BA15-AB7C0C7B2B8E}">
      <text>
        <t>[Threaded comment]
Your version of Excel allows you to read this threaded comment; however, any edits to it will get removed if the file is opened in a newer version of Excel. Learn more: https://go.microsoft.com/fwlink/?linkid=870924
Comment:
    25% RSUs, 50% PSUs, 25% Options</t>
      </text>
    </comment>
    <comment ref="AI83" authorId="9" shapeId="0" xr:uid="{A59DB50C-53A0-4744-A095-25EE42E95734}">
      <text>
        <t>[Threaded comment]
Your version of Excel allows you to read this threaded comment; however, any edits to it will get removed if the file is opened in a newer version of Excel. Learn more: https://go.microsoft.com/fwlink/?linkid=870924
Comment:
    Taken from last year’s benchmarking - no mention of change in this report</t>
      </text>
    </comment>
    <comment ref="AA85" authorId="10" shapeId="0" xr:uid="{7DE98285-41D6-4623-96F2-4175662720A2}">
      <text>
        <t>[Threaded comment]
Your version of Excel allows you to read this threaded comment; however, any edits to it will get removed if the file is opened in a newer version of Excel. Learn more: https://go.microsoft.com/fwlink/?linkid=870924
Comment:
    Adj ltip mix to reflect last year's approach</t>
      </text>
    </comment>
    <comment ref="AA97" authorId="11" shapeId="0" xr:uid="{ADE0473B-AD13-474B-A9AC-314DD14F03D7}">
      <text>
        <t>[Threaded comment]
Your version of Excel allows you to read this threaded comment; however, any edits to it will get removed if the file is opened in a newer version of Excel. Learn more: https://go.microsoft.com/fwlink/?linkid=870924
Comment:
    Adj ltip mix to reflect last year's approach</t>
      </text>
    </comment>
    <comment ref="AA99" authorId="12" shapeId="0" xr:uid="{CCAEDD98-564E-45B0-A648-D01709B389CA}">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99" authorId="13" shapeId="0" xr:uid="{80487819-98F8-4545-8A62-253348C668DA}">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99" authorId="14" shapeId="0" xr:uid="{DD0D8569-A0AF-4BE6-B212-D2C1A061BDCF}">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99" authorId="15" shapeId="0" xr:uid="{D37063B3-7F99-4301-B7BF-0D5B2E7F094C}">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0" authorId="16" shapeId="0" xr:uid="{1ABE3305-59EE-430C-94B4-CEE78B2F4854}">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0" authorId="17" shapeId="0" xr:uid="{C81B8905-FA38-4D2A-86EB-64AF82F53D39}">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0" authorId="18" shapeId="0" xr:uid="{E1F0B48A-586B-4604-9BE3-A8EDA21B728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0" authorId="19" shapeId="0" xr:uid="{2F4AE565-3113-4D74-9936-3B2A0768C304}">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2" authorId="20" shapeId="0" xr:uid="{1EA5E0D0-94A5-4C09-90C4-EFABEA954DC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2" authorId="21" shapeId="0" xr:uid="{66FD5F50-FC73-4D9A-A4E8-62B316435DCA}">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2" authorId="22" shapeId="0" xr:uid="{FAA9198A-14FB-4F02-A062-9A75A74636E5}">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2" authorId="23" shapeId="0" xr:uid="{68542A90-3B0E-4B22-BBCE-862D1CE0DE55}">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3" authorId="24" shapeId="0" xr:uid="{8CA805BF-3006-49B8-9C2A-CB55E0CE291F}">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3" authorId="25" shapeId="0" xr:uid="{5DCB6D16-8575-4786-A855-892BB109453E}">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3" authorId="26" shapeId="0" xr:uid="{8B9459B3-B544-42A5-80E4-8F1BB39B0DEA}">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3" authorId="27" shapeId="0" xr:uid="{6FE14CB1-35C1-4F0D-AD35-89C0AC6A3375}">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5" authorId="28" shapeId="0" xr:uid="{F71D5FE3-BD93-42E1-A0B5-5FD11B42E4E8}">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5" authorId="29" shapeId="0" xr:uid="{72ED62B6-EDC0-4786-AE34-BAA849BE6182}">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5" authorId="30" shapeId="0" xr:uid="{090DF4C2-CE72-4C14-8752-124164DD9BD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5" authorId="31" shapeId="0" xr:uid="{B4E9BDE4-2DFA-42B5-A785-E91FFCB0333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6" authorId="32" shapeId="0" xr:uid="{17628767-951A-4483-AAEE-B0BD0FF68249}">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6" authorId="33" shapeId="0" xr:uid="{DEA75540-D869-4343-8F0C-DC945C8EBED9}">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6" authorId="34" shapeId="0" xr:uid="{6ADDF070-456F-473C-A359-B3DD346A28BD}">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6" authorId="35" shapeId="0" xr:uid="{9DF6C94D-70D3-48EC-8867-22950C30BE93}">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8" authorId="36" shapeId="0" xr:uid="{2A054FF0-C28C-4B08-8A0F-2985F67D4F32}">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8" authorId="37" shapeId="0" xr:uid="{DF37C0F9-677D-4480-A171-4A53D8BF769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8" authorId="38" shapeId="0" xr:uid="{7BA38929-B00D-497C-925B-54FEE5804F6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8" authorId="39" shapeId="0" xr:uid="{80A5DBCD-0B9C-4A62-A5A3-68ED454AC983}">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09" authorId="40" shapeId="0" xr:uid="{09B3AED3-1082-4B44-B9AF-13CDCC50B437}">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09" authorId="41" shapeId="0" xr:uid="{585D4ACE-D596-44BB-B989-715C12A21E9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09" authorId="42" shapeId="0" xr:uid="{7988433E-FCFE-48F8-9A8F-8DBB05A6D793}">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09" authorId="43" shapeId="0" xr:uid="{FD856A67-60CF-4A06-9C1B-5FAC2128B3E9}">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11" authorId="44" shapeId="0" xr:uid="{049A6CB1-D144-46D5-BDF7-881BDAA7CBA1}">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11" authorId="45" shapeId="0" xr:uid="{9B65457D-2516-40C9-809D-2152D5C9060E}">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11" authorId="46" shapeId="0" xr:uid="{6F6517C1-B916-4D97-87BD-039B3FCCCE37}">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11" authorId="47" shapeId="0" xr:uid="{87CBE170-8024-4B8A-B179-0807EA796EED}">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A112" authorId="48" shapeId="0" xr:uid="{F91C0019-924E-4397-819C-5289E708E88F}">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B112" authorId="49" shapeId="0" xr:uid="{B831CBBA-C188-4078-A0BD-30793447C2DA}">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112" authorId="50" shapeId="0" xr:uid="{5629068B-2EBD-4D77-AA6F-368FBF929B84}">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112" authorId="51" shapeId="0" xr:uid="{65AE8081-7F9E-4327-BEC5-4D031118E93D}">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N113" authorId="52" shapeId="0" xr:uid="{F1BF6D92-77E8-422E-84E3-28E24D375039}">
      <text>
        <t>[Threaded comment]
Your version of Excel allows you to read this threaded comment; however, any edits to it will get removed if the file is opened in a newer version of Excel. Learn more: https://go.microsoft.com/fwlink/?linkid=870924
Comment:
    No pension</t>
      </text>
    </comment>
    <comment ref="AA114" authorId="53" shapeId="0" xr:uid="{B757492B-79FF-4277-98EE-F1E5AD6D950D}">
      <text>
        <t>[Threaded comment]
Your version of Excel allows you to read this threaded comment; however, any edits to it will get removed if the file is opened in a newer version of Excel. Learn more: https://go.microsoft.com/fwlink/?linkid=870924
Comment:
    50% PSU, 25%  RSU, 25% options
Reply:
    Used 1/3 and 2/3 of total share based awards to calculate RSUs and PSUs respectively</t>
      </text>
    </comment>
    <comment ref="AA118" authorId="54" shapeId="0" xr:uid="{3F937A43-5EBD-44E1-A863-FFE5CE6F83CA}">
      <text>
        <t>[Threaded comment]
Your version of Excel allows you to read this threaded comment; however, any edits to it will get removed if the file is opened in a newer version of Excel. Learn more: https://go.microsoft.com/fwlink/?linkid=870924
Comment:
    See incumbent note
Reply:
    Aligned with last year approach</t>
      </text>
    </comment>
    <comment ref="T123" authorId="55" shapeId="0" xr:uid="{73A7C8C1-2563-421A-B985-B0B9691278B0}">
      <text>
        <t>[Threaded comment]
Your version of Excel allows you to read this threaded comment; however, any edits to it will get removed if the file is opened in a newer version of Excel. Learn more: https://go.microsoft.com/fwlink/?linkid=870924
Comment:
    Mr. Whittaker was eligible to full  year bonus payout.</t>
      </text>
    </comment>
    <comment ref="AB128" authorId="56" shapeId="0" xr:uid="{57E51622-AABD-4156-A0E6-DF4D7EB71064}">
      <text>
        <t>[Threaded comment]
Your version of Excel allows you to read this threaded comment; however, any edits to it will get removed if the file is opened in a newer version of Excel. Learn more: https://go.microsoft.com/fwlink/?linkid=870924
Comment:
    Removed amortized award</t>
      </text>
    </comment>
    <comment ref="AB129" authorId="57" shapeId="0" xr:uid="{114446C3-E236-467B-8B75-512879D80DE4}">
      <text>
        <t>[Threaded comment]
Your version of Excel allows you to read this threaded comment; however, any edits to it will get removed if the file is opened in a newer version of Excel. Learn more: https://go.microsoft.com/fwlink/?linkid=870924
Comment:
    Flagging one-time award inclusion as there is no indication it was a "make-whole".
Reply:
    Given the misalignment between the EIP Award table and the value of share-based awards in the summary comp table, I aligned the PSU value so that it adds up to the value in the summary comp table
Reply:
    Amortized the 1MM PSU award and used the table on pg. 59 for RSU / PSU regular course awards</t>
      </text>
    </comment>
    <comment ref="AA143" authorId="58" shapeId="0" xr:uid="{7ADFCC26-4D8C-4EE6-A5AE-E3F7A62666C8}">
      <text>
        <t>[Threaded comment]
Your version of Excel allows you to read this threaded comment; however, any edits to it will get removed if the file is opened in a newer version of Excel. Learn more: https://go.microsoft.com/fwlink/?linkid=870924
Comment:
    50/50 PSUs/RSUs for all executives in 2024 aside from the CEO, which was granted 60/40 PSUs/RSUs</t>
      </text>
    </comment>
    <comment ref="AI143" authorId="59" shapeId="0" xr:uid="{BE8C0C4C-6BD7-4415-B3E8-049F08F159CF}">
      <text>
        <t>[Threaded comment]
Your version of Excel allows you to read this threaded comment; however, any edits to it will get removed if the file is opened in a newer version of Excel. Learn more: https://go.microsoft.com/fwlink/?linkid=870924
Comment:
    Calculated from visual on pg 64; only CEO disclosed separately</t>
      </text>
    </comment>
    <comment ref="AN143" authorId="60" shapeId="0" xr:uid="{7C17BBD9-A187-4822-9DF7-DE75B3B4C8F6}">
      <text>
        <t>[Threaded comment]
Your version of Excel allows you to read this threaded comment; however, any edits to it will get removed if the file is opened in a newer version of Excel. Learn more: https://go.microsoft.com/fwlink/?linkid=870924
Comment:
    No pension</t>
      </text>
    </comment>
    <comment ref="AR155" authorId="61" shapeId="0" xr:uid="{A11467B2-5383-45AA-B4FF-D437500ACC50}">
      <text>
        <t>[Threaded comment]
Your version of Excel allows you to read this threaded comment; however, any edits to it will get removed if the file is opened in a newer version of Excel. Learn more: https://go.microsoft.com/fwlink/?linkid=870924
Comment:
    Other compensation minus dividends accumulated = negative number, have dashed out for simplicity</t>
      </text>
    </comment>
    <comment ref="AA157" authorId="62" shapeId="0" xr:uid="{3D6FAF2B-DE11-4D26-B3A4-73E7A8AA0FC6}">
      <text>
        <t>[Threaded comment]
Your version of Excel allows you to read this threaded comment; however, any edits to it will get removed if the file is opened in a newer version of Excel. Learn more: https://go.microsoft.com/fwlink/?linkid=870924
Comment:
    Subtracted $200k RSU promotion award</t>
      </text>
    </comment>
    <comment ref="AN163" authorId="63" shapeId="0" xr:uid="{B5741C17-DED8-4C4D-B487-8295C4F104E6}">
      <text>
        <t>[Threaded comment]
Your version of Excel allows you to read this threaded comment; however, any edits to it will get removed if the file is opened in a newer version of Excel. Learn more: https://go.microsoft.com/fwlink/?linkid=870924
Comment:
    $0 instead of “-” because the plan existed before, they just didn’t get any compensatory value in 2022</t>
      </text>
    </comment>
    <comment ref="AN173" authorId="64" shapeId="0" xr:uid="{F9C342B5-5F88-4885-B168-834E7BF3FA8A}">
      <text>
        <t>[Threaded comment]
Your version of Excel allows you to read this threaded comment; however, any edits to it will get removed if the file is opened in a newer version of Excel. Learn more: https://go.microsoft.com/fwlink/?linkid=870924
Comment:
    No pension</t>
      </text>
    </comment>
    <comment ref="W185" authorId="65" shapeId="0" xr:uid="{867C0D64-6A8C-4CD3-A788-8026B98C6B02}">
      <text>
        <t>[Threaded comment]
Your version of Excel allows you to read this threaded comment; however, any edits to it will get removed if the file is opened in a newer version of Excel. Learn more: https://go.microsoft.com/fwlink/?linkid=870924
Comment:
    From last year's benchmarking</t>
      </text>
    </comment>
    <comment ref="H191" authorId="66" shapeId="0" xr:uid="{675AABAC-EEAB-4F66-B73C-E40F4EE51C54}">
      <text>
        <t>[Threaded comment]
Your version of Excel allows you to read this threaded comment; however, any edits to it will get removed if the file is opened in a newer version of Excel. Learn more: https://go.microsoft.com/fwlink/?linkid=870924
Comment:
    Changed back to 12 months as he did receive a full year of pay (with previous role) and annualization for Jan 2 start is immaterial</t>
      </text>
    </comment>
    <comment ref="AA204" authorId="67" shapeId="0" xr:uid="{8BDB56EC-14F5-4F82-84C7-512D06CCEBE2}">
      <text>
        <t>[Threaded comment]
Your version of Excel allows you to read this threaded comment; however, any edits to it will get removed if the file is opened in a newer version of Excel. Learn more: https://go.microsoft.com/fwlink/?linkid=870924
Comment:
    Represents previous 60/40 PSU/RSU split</t>
      </text>
    </comment>
    <comment ref="H206" authorId="68" shapeId="0" xr:uid="{EF5D9D08-81A7-4344-B90E-07FC783363F8}">
      <text>
        <t>[Threaded comment]
Your version of Excel allows you to read this threaded comment; however, any edits to it will get removed if the file is opened in a newer version of Excel. Learn more: https://go.microsoft.com/fwlink/?linkid=870924
Comment:
    Removed annualization</t>
      </text>
    </comment>
    <comment ref="AA210" authorId="69" shapeId="0" xr:uid="{D1181EE9-F32B-44BD-8B9D-F9D966F7EEEF}">
      <text>
        <t>[Threaded comment]
Your version of Excel allows you to read this threaded comment; however, any edits to it will get removed if the file is opened in a newer version of Excel. Learn more: https://go.microsoft.com/fwlink/?linkid=870924
Comment:
    Includes sign on bonus
Reply:
    Removed</t>
      </text>
    </comment>
    <comment ref="AA218" authorId="70" shapeId="0" xr:uid="{2E65090D-FF3C-41A1-9CA3-2B3DE8B7F400}">
      <text>
        <t>[Threaded comment]
Your version of Excel allows you to read this threaded comment; however, any edits to it will get removed if the file is opened in a newer version of Excel. Learn more: https://go.microsoft.com/fwlink/?linkid=870924
Comment:
    66/34 PSU/RS for CEO; 70/30 PSU/RSU for other NEOs</t>
      </text>
    </comment>
    <comment ref="AN218" authorId="71" shapeId="0" xr:uid="{8DBDF42B-D016-402C-BD86-75BF89ED2A43}">
      <text>
        <t>[Threaded comment]
Your version of Excel allows you to read this threaded comment; however, any edits to it will get removed if the file is opened in a newer version of Excel. Learn more: https://go.microsoft.com/fwlink/?linkid=870924
Comment:
    No pension
Reply:
    The proxy says no pension program in place but it appears company makes some contributions to certain retirement plans still</t>
      </text>
    </comment>
    <comment ref="AI233" authorId="72" shapeId="0" xr:uid="{0B787761-2214-49D4-8B63-8765FCE355B6}">
      <text>
        <t>[Threaded comment]
Your version of Excel allows you to read this threaded comment; however, any edits to it will get removed if the file is opened in a newer version of Excel. Learn more: https://go.microsoft.com/fwlink/?linkid=870924
Comment:
    Calculated based on pg 44 visual</t>
      </text>
    </comment>
    <comment ref="AN233" authorId="73" shapeId="0" xr:uid="{5FA2897B-3724-4BF6-AAFA-FB8796400A0C}">
      <text>
        <t>[Threaded comment]
Your version of Excel allows you to read this threaded comment; however, any edits to it will get removed if the file is opened in a newer version of Excel. Learn more: https://go.microsoft.com/fwlink/?linkid=870924
Comment:
    No pension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tc={272D3065-042A-4727-A35B-FCFA125297B0}</author>
  </authors>
  <commentList>
    <comment ref="N33" authorId="0" shapeId="0" xr:uid="{272D3065-042A-4727-A35B-FCFA125297B0}">
      <text>
        <t>[Threaded comment]
Your version of Excel allows you to read this threaded comment; however, any edits to it will get removed if the file is opened in a newer version of Excel. Learn more: https://go.microsoft.com/fwlink/?linkid=870924
Comment:
    Waiting for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tc={BFB19A27-0EBD-4931-9853-092CB127BEBD}</author>
    <author>tc={1D00F0A5-EE82-4768-AC36-153CFB3A32CE}</author>
    <author>tc={9BD7D91F-CFA6-4E01-ACCE-878405834D6C}</author>
    <author>tc={FF60C9AD-0171-45A2-8322-6E08A19F8DF7}</author>
    <author>tc={832390B7-4FFC-4A04-878C-24F8FD3D8212}</author>
  </authors>
  <commentList>
    <comment ref="AU8" authorId="0" shapeId="0" xr:uid="{BFB19A27-0EBD-4931-9853-092CB127BEBD}">
      <text>
        <t>[Threaded comment]
Your version of Excel allows you to read this threaded comment; however, any edits to it will get removed if the file is opened in a newer version of Excel. Learn more: https://go.microsoft.com/fwlink/?linkid=870924
Comment:
    BLANK OUT GIVEN TRANSITION?</t>
      </text>
    </comment>
    <comment ref="AS9" authorId="1" shapeId="0" xr:uid="{1D00F0A5-EE82-4768-AC36-153CFB3A32CE}">
      <text>
        <t>[Threaded comment]
Your version of Excel allows you to read this threaded comment; however, any edits to it will get removed if the file is opened in a newer version of Excel. Learn more: https://go.microsoft.com/fwlink/?linkid=870924
Comment:
    His compensation was converted from CAD to USD for disclosure</t>
      </text>
    </comment>
    <comment ref="AU10" authorId="2" shapeId="0" xr:uid="{9BD7D91F-CFA6-4E01-ACCE-878405834D6C}">
      <text>
        <t>[Threaded comment]
Your version of Excel allows you to read this threaded comment; however, any edits to it will get removed if the file is opened in a newer version of Excel. Learn more: https://go.microsoft.com/fwlink/?linkid=870924
Comment:
    Info no longer available on Capstone website given new role. 
Pulled from a chilean mining website:
https://www.reporteminero.cl/noticia/noticias/2023/09/james-whittaker-capstone-copper-chile</t>
      </text>
    </comment>
    <comment ref="AU12" authorId="3" shapeId="0" xr:uid="{FF60C9AD-0171-45A2-8322-6E08A19F8DF7}">
      <text>
        <t>[Threaded comment]
Your version of Excel allows you to read this threaded comment; however, any edits to it will get removed if the file is opened in a newer version of Excel. Learn more: https://go.microsoft.com/fwlink/?linkid=870924
Comment:
    Written by himself, per linkedin</t>
      </text>
    </comment>
    <comment ref="AU25" authorId="4" shapeId="0" xr:uid="{832390B7-4FFC-4A04-878C-24F8FD3D8212}">
      <text>
        <t xml:space="preserve">[Threaded comment]
Your version of Excel allows you to read this threaded comment; however, any edits to it will get removed if the file is opened in a newer version of Excel. Learn more: https://go.microsoft.com/fwlink/?linkid=870924
Comment:
    Written by himself, per his linkedin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<sst xmlns="http://schemas.openxmlformats.org/spreadsheetml/2006/main" count="8451" uniqueCount="946">
  <si>
    <t>Date</t>
  </si>
  <si>
    <t>Currency</t>
  </si>
  <si>
    <t>CAD</t>
  </si>
  <si>
    <t>Client Ticker</t>
  </si>
  <si>
    <t>Peer Ticker(s)</t>
  </si>
  <si>
    <t>Percent Rank</t>
  </si>
  <si>
    <t>Average</t>
  </si>
  <si>
    <t>25th Percentile</t>
  </si>
  <si>
    <t>Median</t>
  </si>
  <si>
    <t>75th Percentile</t>
  </si>
  <si>
    <t>Equity</t>
  </si>
  <si>
    <t>Cash</t>
  </si>
  <si>
    <t>Pay Mix</t>
  </si>
  <si>
    <t>Total Direct Compensation</t>
  </si>
  <si>
    <t>LTIP</t>
  </si>
  <si>
    <t>Total Cash Compensation</t>
  </si>
  <si>
    <t>STIP</t>
  </si>
  <si>
    <t>Base Salary</t>
  </si>
  <si>
    <t>Title</t>
  </si>
  <si>
    <t>Incumbent</t>
  </si>
  <si>
    <t>TEV</t>
  </si>
  <si>
    <t>Market Cap</t>
  </si>
  <si>
    <t>Company</t>
  </si>
  <si>
    <t>Year</t>
  </si>
  <si>
    <t>Position</t>
  </si>
  <si>
    <t>Ticker</t>
  </si>
  <si>
    <t>Months</t>
  </si>
  <si>
    <t>Currency of Disclosure</t>
  </si>
  <si>
    <t>FX Rate</t>
  </si>
  <si>
    <t>Position Title</t>
  </si>
  <si>
    <t>Long-Term Incentives</t>
  </si>
  <si>
    <t>Pension</t>
  </si>
  <si>
    <t>Incumbent Specific Notes:</t>
  </si>
  <si>
    <t>RSUs</t>
  </si>
  <si>
    <t>PSUs</t>
  </si>
  <si>
    <t>DSUs</t>
  </si>
  <si>
    <t>Data Recorder</t>
  </si>
  <si>
    <t>Peer Reviewer</t>
  </si>
  <si>
    <t>Actual Paid</t>
  </si>
  <si>
    <t>Annualized / Converted</t>
  </si>
  <si>
    <t>Actual $</t>
  </si>
  <si>
    <t>Target %</t>
  </si>
  <si>
    <t>Target $</t>
  </si>
  <si>
    <t>Stock Options</t>
  </si>
  <si>
    <t>LT Cash</t>
  </si>
  <si>
    <t>Total LTI %</t>
  </si>
  <si>
    <t>Target LTI %</t>
  </si>
  <si>
    <t>Total LTI
(Converted)</t>
  </si>
  <si>
    <t>Actual 
(base + actual bonus + actual LTIP)</t>
  </si>
  <si>
    <t>Other</t>
  </si>
  <si>
    <t>Target LTI $</t>
  </si>
  <si>
    <t>Actual %</t>
  </si>
  <si>
    <t>Actual%</t>
  </si>
  <si>
    <t>Actual  $</t>
  </si>
  <si>
    <t>Look-up</t>
  </si>
  <si>
    <t>Annualized/ Converted</t>
  </si>
  <si>
    <t>Actual STI %</t>
  </si>
  <si>
    <t>Target STI $</t>
  </si>
  <si>
    <t>Actual TCC</t>
  </si>
  <si>
    <t>Target TCC</t>
  </si>
  <si>
    <t>Target STI %</t>
  </si>
  <si>
    <t>Total LTI $</t>
  </si>
  <si>
    <t>Distance From Median</t>
  </si>
  <si>
    <t>75th</t>
  </si>
  <si>
    <t>50th</t>
  </si>
  <si>
    <t>25th</t>
  </si>
  <si>
    <t>LINK TO CHARTS</t>
  </si>
  <si>
    <t>LINK DATA HERE</t>
  </si>
  <si>
    <t>Target TDC</t>
  </si>
  <si>
    <t># of Companies using each Vehicle</t>
  </si>
  <si>
    <t>(% of Total LTI)</t>
  </si>
  <si>
    <t>Look-Up</t>
  </si>
  <si>
    <t>Input</t>
  </si>
  <si>
    <t>Raw Data</t>
  </si>
  <si>
    <t>Key Financials</t>
  </si>
  <si>
    <t>Master - Summary</t>
  </si>
  <si>
    <t>CAD/USD</t>
  </si>
  <si>
    <t>Summary Statistics</t>
  </si>
  <si>
    <t>-</t>
  </si>
  <si>
    <t>CEO</t>
  </si>
  <si>
    <t>Target 
(base + target bonus + Target LTIP)</t>
  </si>
  <si>
    <t>Position Match</t>
  </si>
  <si>
    <t>Latest (if disclosed)</t>
  </si>
  <si>
    <t>TSX:A</t>
  </si>
  <si>
    <t>TSX:B</t>
  </si>
  <si>
    <t>TSX:C</t>
  </si>
  <si>
    <t>TSX:D</t>
  </si>
  <si>
    <t>TSX:E</t>
  </si>
  <si>
    <t>TSX:F</t>
  </si>
  <si>
    <t>TSX:G</t>
  </si>
  <si>
    <t>TSX:H</t>
  </si>
  <si>
    <t>TSX:I</t>
  </si>
  <si>
    <t>TSX:J</t>
  </si>
  <si>
    <t>TSX:K</t>
  </si>
  <si>
    <t>TSX:L</t>
  </si>
  <si>
    <t>TSX:M</t>
  </si>
  <si>
    <t>TSX:N</t>
  </si>
  <si>
    <t>TSX:O</t>
  </si>
  <si>
    <t>TSX:P</t>
  </si>
  <si>
    <t>TSX:Q</t>
  </si>
  <si>
    <t>TSX:R</t>
  </si>
  <si>
    <t>TSX:S</t>
  </si>
  <si>
    <t>TSX:T</t>
  </si>
  <si>
    <t>TSX:RY</t>
  </si>
  <si>
    <t>3 Year Average STIP %</t>
  </si>
  <si>
    <t>3 Year Average LTIP %</t>
  </si>
  <si>
    <t>CFO</t>
  </si>
  <si>
    <t>NEO1</t>
  </si>
  <si>
    <t>NEO2</t>
  </si>
  <si>
    <t>NEO3</t>
  </si>
  <si>
    <t>DATA AGING</t>
  </si>
  <si>
    <t>Company Name</t>
  </si>
  <si>
    <t>Data Aging:</t>
  </si>
  <si>
    <t>Latest (if disclosed) - Annualized / Converted</t>
  </si>
  <si>
    <t>Next Year Base Salary (If Disclosed)</t>
  </si>
  <si>
    <t>Next Yr Salary</t>
  </si>
  <si>
    <t>Salary</t>
  </si>
  <si>
    <t>TCC</t>
  </si>
  <si>
    <t>TDC</t>
  </si>
  <si>
    <t>Age / Use Next Yr Salary?</t>
  </si>
  <si>
    <t>End Month
(Typically FYE)</t>
  </si>
  <si>
    <t>Remember:</t>
  </si>
  <si>
    <t>• Incumbents serving for partial years</t>
  </si>
  <si>
    <t>• NEO order</t>
  </si>
  <si>
    <t>• Currency</t>
  </si>
  <si>
    <t>• Date of fiscal year end</t>
  </si>
  <si>
    <t>DB or DC Pension?</t>
  </si>
  <si>
    <t>Effective Date</t>
  </si>
  <si>
    <t>Last Revised</t>
  </si>
  <si>
    <t>Executive Compensation Benchmarking Methodology</t>
  </si>
  <si>
    <t>Purpose</t>
  </si>
  <si>
    <t>Establish guidelines for executive compensation benchmarking in order to maintain consistency across client projects and teams, improve ease of training, and increase the efficiency of the benchmarking exercise</t>
  </si>
  <si>
    <t>Policy</t>
  </si>
  <si>
    <t>Roles</t>
  </si>
  <si>
    <r>
      <t>·</t>
    </r>
    <r>
      <rPr>
        <sz val="7"/>
        <color theme="1"/>
        <rFont val="Times New Roman"/>
        <family val="1"/>
      </rPr>
      <t xml:space="preserve">         </t>
    </r>
    <r>
      <rPr>
        <sz val="11"/>
        <color theme="1"/>
        <rFont val="Calibri"/>
        <family val="2"/>
        <scheme val="minor"/>
      </rPr>
      <t>Record each person’s entire name and role as disclosed in the proxy</t>
    </r>
  </si>
  <si>
    <r>
      <t>o</t>
    </r>
    <r>
      <rPr>
        <sz val="7"/>
        <color theme="1"/>
        <rFont val="Times New Roman"/>
        <family val="1"/>
      </rPr>
      <t xml:space="preserve">   </t>
    </r>
    <r>
      <rPr>
        <sz val="11"/>
        <color theme="1"/>
        <rFont val="Calibri"/>
        <family val="2"/>
        <scheme val="minor"/>
      </rPr>
      <t>Ignore “director” roles (i.e. assume that the CEO is on the Board of directors)</t>
    </r>
  </si>
  <si>
    <r>
      <t>·</t>
    </r>
    <r>
      <rPr>
        <sz val="7"/>
        <color theme="1"/>
        <rFont val="Times New Roman"/>
        <family val="1"/>
      </rPr>
      <t xml:space="preserve">         </t>
    </r>
    <r>
      <rPr>
        <sz val="11"/>
        <color theme="1"/>
        <rFont val="Calibri"/>
        <family val="2"/>
        <scheme val="minor"/>
      </rPr>
      <t>Capture Executive Chairman role if it is one of the top 5 NEOs, but do not use as a comparison to any of the NEOs, unless indicated by client team</t>
    </r>
  </si>
  <si>
    <r>
      <t>o</t>
    </r>
    <r>
      <rPr>
        <sz val="7"/>
        <color theme="1"/>
        <rFont val="Times New Roman"/>
        <family val="1"/>
      </rPr>
      <t xml:space="preserve">   </t>
    </r>
    <r>
      <rPr>
        <sz val="11"/>
        <color theme="1"/>
        <rFont val="Calibri"/>
        <family val="2"/>
        <scheme val="minor"/>
      </rPr>
      <t>Footnote and confirm with client team</t>
    </r>
  </si>
  <si>
    <r>
      <t>·</t>
    </r>
    <r>
      <rPr>
        <sz val="7"/>
        <color theme="1"/>
        <rFont val="Times New Roman"/>
        <family val="1"/>
      </rPr>
      <t xml:space="preserve">         </t>
    </r>
    <r>
      <rPr>
        <sz val="11"/>
        <color theme="1"/>
        <rFont val="Calibri"/>
        <family val="2"/>
        <scheme val="minor"/>
      </rPr>
      <t>Record the base salary in the Summary Compensation Table</t>
    </r>
  </si>
  <si>
    <r>
      <t>·</t>
    </r>
    <r>
      <rPr>
        <sz val="7"/>
        <color theme="1"/>
        <rFont val="Times New Roman"/>
        <family val="1"/>
      </rPr>
      <t xml:space="preserve">         </t>
    </r>
    <r>
      <rPr>
        <sz val="11"/>
        <color theme="1"/>
        <rFont val="Calibri"/>
        <family val="2"/>
        <scheme val="minor"/>
      </rPr>
      <t>If the incumbent has partial years of service, annualize the base salary</t>
    </r>
  </si>
  <si>
    <r>
      <t>·</t>
    </r>
    <r>
      <rPr>
        <sz val="7"/>
        <color theme="1"/>
        <rFont val="Times New Roman"/>
        <family val="1"/>
      </rPr>
      <t xml:space="preserve">         </t>
    </r>
    <r>
      <rPr>
        <sz val="11"/>
        <color theme="1"/>
        <rFont val="Calibri"/>
        <family val="2"/>
        <scheme val="minor"/>
      </rPr>
      <t>If the upcoming year’s salary is disclosed, record it in column O; it will be used in lieu of data aging</t>
    </r>
  </si>
  <si>
    <r>
      <t>o</t>
    </r>
    <r>
      <rPr>
        <sz val="7"/>
        <color theme="1"/>
        <rFont val="Times New Roman"/>
        <family val="1"/>
      </rPr>
      <t xml:space="preserve">   </t>
    </r>
    <r>
      <rPr>
        <sz val="11"/>
        <color theme="1"/>
        <rFont val="Calibri"/>
        <family val="2"/>
        <scheme val="minor"/>
      </rPr>
      <t>If the company discloses that they will not make any changes to salary in the upcoming year, that is considered next year’s salary disclosure</t>
    </r>
  </si>
  <si>
    <r>
      <t>·</t>
    </r>
    <r>
      <rPr>
        <sz val="7"/>
        <color theme="1"/>
        <rFont val="Times New Roman"/>
        <family val="1"/>
      </rPr>
      <t xml:space="preserve">         </t>
    </r>
    <r>
      <rPr>
        <sz val="11"/>
        <color theme="1"/>
        <rFont val="Calibri"/>
        <family val="2"/>
        <scheme val="minor"/>
      </rPr>
      <t>If the salary changes partway through the year, use the most recent salary annualized</t>
    </r>
  </si>
  <si>
    <r>
      <t>·</t>
    </r>
    <r>
      <rPr>
        <sz val="7"/>
        <color theme="1"/>
        <rFont val="Times New Roman"/>
        <family val="1"/>
      </rPr>
      <t xml:space="preserve">         </t>
    </r>
    <r>
      <rPr>
        <sz val="11"/>
        <color theme="1"/>
        <rFont val="Calibri"/>
        <family val="2"/>
        <scheme val="minor"/>
      </rPr>
      <t>If there is no STIP program in place, put “-”</t>
    </r>
  </si>
  <si>
    <r>
      <t>·</t>
    </r>
    <r>
      <rPr>
        <sz val="7"/>
        <color theme="1"/>
        <rFont val="Times New Roman"/>
        <family val="1"/>
      </rPr>
      <t xml:space="preserve">         </t>
    </r>
    <r>
      <rPr>
        <sz val="11"/>
        <color theme="1"/>
        <rFont val="Calibri"/>
        <family val="2"/>
        <scheme val="minor"/>
      </rPr>
      <t>If there is an STIP program in place, but there was no payout for the incumbent in that year, put “0”</t>
    </r>
  </si>
  <si>
    <r>
      <t>·</t>
    </r>
    <r>
      <rPr>
        <sz val="7"/>
        <color theme="1"/>
        <rFont val="Times New Roman"/>
        <family val="1"/>
      </rPr>
      <t xml:space="preserve">         </t>
    </r>
    <r>
      <rPr>
        <sz val="11"/>
        <color theme="1"/>
        <rFont val="Calibri"/>
        <family val="2"/>
        <scheme val="minor"/>
      </rPr>
      <t>If there is an STIP program in place, but the executive is not eligible to participate in the plan, put “-”</t>
    </r>
  </si>
  <si>
    <r>
      <t>·</t>
    </r>
    <r>
      <rPr>
        <sz val="7"/>
        <color theme="1"/>
        <rFont val="Times New Roman"/>
        <family val="1"/>
      </rPr>
      <t xml:space="preserve">         </t>
    </r>
    <r>
      <rPr>
        <sz val="11"/>
        <color theme="1"/>
        <rFont val="Calibri"/>
        <family val="2"/>
        <scheme val="minor"/>
      </rPr>
      <t>If STIP is automatically deferred into equity:</t>
    </r>
  </si>
  <si>
    <r>
      <t>o</t>
    </r>
    <r>
      <rPr>
        <sz val="7"/>
        <color theme="1"/>
        <rFont val="Times New Roman"/>
        <family val="1"/>
      </rPr>
      <t xml:space="preserve">   </t>
    </r>
    <r>
      <rPr>
        <sz val="11"/>
        <color theme="1"/>
        <rFont val="Calibri"/>
        <family val="2"/>
        <scheme val="minor"/>
      </rPr>
      <t>Capture cash bonus as STIP</t>
    </r>
  </si>
  <si>
    <r>
      <t>o</t>
    </r>
    <r>
      <rPr>
        <sz val="7"/>
        <color theme="1"/>
        <rFont val="Times New Roman"/>
        <family val="1"/>
      </rPr>
      <t xml:space="preserve">   </t>
    </r>
    <r>
      <rPr>
        <sz val="11"/>
        <color theme="1"/>
        <rFont val="Calibri"/>
        <family val="2"/>
        <scheme val="minor"/>
      </rPr>
      <t>Capture automatic deferral as STIP as an RSU in LTIP</t>
    </r>
  </si>
  <si>
    <r>
      <t>·</t>
    </r>
    <r>
      <rPr>
        <sz val="7"/>
        <color theme="1"/>
        <rFont val="Times New Roman"/>
        <family val="1"/>
      </rPr>
      <t xml:space="preserve">         </t>
    </r>
    <r>
      <rPr>
        <sz val="11"/>
        <color theme="1"/>
        <rFont val="Calibri"/>
        <family val="2"/>
        <scheme val="minor"/>
      </rPr>
      <t>If STIP has the option of being deferred into equity:</t>
    </r>
  </si>
  <si>
    <r>
      <t>o</t>
    </r>
    <r>
      <rPr>
        <sz val="7"/>
        <color theme="1"/>
        <rFont val="Times New Roman"/>
        <family val="1"/>
      </rPr>
      <t xml:space="preserve">   </t>
    </r>
    <r>
      <rPr>
        <sz val="11"/>
        <color theme="1"/>
        <rFont val="Calibri"/>
        <family val="2"/>
        <scheme val="minor"/>
      </rPr>
      <t>Capture the entire STIP award as STIP (cash)</t>
    </r>
  </si>
  <si>
    <r>
      <t>·</t>
    </r>
    <r>
      <rPr>
        <sz val="7"/>
        <color theme="1"/>
        <rFont val="Times New Roman"/>
        <family val="1"/>
      </rPr>
      <t xml:space="preserve">         </t>
    </r>
    <r>
      <rPr>
        <sz val="11"/>
        <color theme="1"/>
        <rFont val="Calibri"/>
        <family val="2"/>
        <scheme val="minor"/>
      </rPr>
      <t>If there is no LTIP program in place, put “-”</t>
    </r>
  </si>
  <si>
    <r>
      <t>·</t>
    </r>
    <r>
      <rPr>
        <sz val="7"/>
        <color theme="1"/>
        <rFont val="Times New Roman"/>
        <family val="1"/>
      </rPr>
      <t xml:space="preserve">         </t>
    </r>
    <r>
      <rPr>
        <sz val="11"/>
        <color theme="1"/>
        <rFont val="Calibri"/>
        <family val="2"/>
        <scheme val="minor"/>
      </rPr>
      <t>If there is an LTIP program in place, but there was no grant for the incumbent in that year, put “0”</t>
    </r>
  </si>
  <si>
    <r>
      <t>·</t>
    </r>
    <r>
      <rPr>
        <sz val="7"/>
        <color theme="1"/>
        <rFont val="Times New Roman"/>
        <family val="1"/>
      </rPr>
      <t xml:space="preserve">         </t>
    </r>
    <r>
      <rPr>
        <sz val="11"/>
        <color theme="1"/>
        <rFont val="Calibri"/>
        <family val="2"/>
        <scheme val="minor"/>
      </rPr>
      <t>If there is an LTIP program in place, but the executive is not eligible to participate in the plan, put “-”</t>
    </r>
  </si>
  <si>
    <r>
      <t>·</t>
    </r>
    <r>
      <rPr>
        <sz val="7"/>
        <color theme="1"/>
        <rFont val="Times New Roman"/>
        <family val="1"/>
      </rPr>
      <t xml:space="preserve">         </t>
    </r>
    <r>
      <rPr>
        <sz val="11"/>
        <color theme="1"/>
        <rFont val="Calibri"/>
        <family val="2"/>
        <scheme val="minor"/>
      </rPr>
      <t>Split up the LTIP by type of award</t>
    </r>
  </si>
  <si>
    <r>
      <t>o</t>
    </r>
    <r>
      <rPr>
        <sz val="7"/>
        <color theme="1"/>
        <rFont val="Times New Roman"/>
        <family val="1"/>
      </rPr>
      <t xml:space="preserve">   </t>
    </r>
    <r>
      <rPr>
        <sz val="11"/>
        <color theme="1"/>
        <rFont val="Calibri"/>
        <family val="2"/>
        <scheme val="minor"/>
      </rPr>
      <t>If it is challenging to split up the RSUs and PSUs, for example, can just record in one column and footnote (unless specifically requested for the client – check with your team)</t>
    </r>
  </si>
  <si>
    <r>
      <t>·</t>
    </r>
    <r>
      <rPr>
        <sz val="7"/>
        <color theme="1"/>
        <rFont val="Times New Roman"/>
        <family val="1"/>
      </rPr>
      <t xml:space="preserve">         </t>
    </r>
    <r>
      <rPr>
        <sz val="11"/>
        <color theme="1"/>
        <rFont val="Calibri"/>
        <family val="2"/>
        <scheme val="minor"/>
      </rPr>
      <t>Note that for Long Term Cash programs, the value in the summary compensation table is not accurate; the target value is disclosed elsewhere in the proxy and should be used instead</t>
    </r>
  </si>
  <si>
    <r>
      <t>o</t>
    </r>
    <r>
      <rPr>
        <sz val="7"/>
        <color theme="1"/>
        <rFont val="Times New Roman"/>
        <family val="1"/>
      </rPr>
      <t xml:space="preserve">   </t>
    </r>
    <r>
      <rPr>
        <sz val="11"/>
        <color theme="1"/>
        <rFont val="Calibri"/>
        <family val="2"/>
        <scheme val="minor"/>
      </rPr>
      <t>Judgement may be needed if the target value is not disclosed</t>
    </r>
  </si>
  <si>
    <t>Pensions</t>
  </si>
  <si>
    <r>
      <t>·</t>
    </r>
    <r>
      <rPr>
        <sz val="7"/>
        <color theme="1"/>
        <rFont val="Times New Roman"/>
        <family val="1"/>
      </rPr>
      <t xml:space="preserve">         </t>
    </r>
    <r>
      <rPr>
        <sz val="11"/>
        <color theme="1"/>
        <rFont val="Calibri"/>
        <family val="2"/>
        <scheme val="minor"/>
      </rPr>
      <t>No need to record pension unless requested</t>
    </r>
  </si>
  <si>
    <r>
      <t>·</t>
    </r>
    <r>
      <rPr>
        <sz val="7"/>
        <color theme="1"/>
        <rFont val="Times New Roman"/>
        <family val="1"/>
      </rPr>
      <t xml:space="preserve">         </t>
    </r>
    <r>
      <rPr>
        <sz val="11"/>
        <color theme="1"/>
        <rFont val="Calibri"/>
        <family val="2"/>
        <scheme val="minor"/>
      </rPr>
      <t>If pension is recorded, must record whether it’s DB or DC in column AM</t>
    </r>
  </si>
  <si>
    <r>
      <t>·</t>
    </r>
    <r>
      <rPr>
        <sz val="7"/>
        <color theme="1"/>
        <rFont val="Times New Roman"/>
        <family val="1"/>
      </rPr>
      <t xml:space="preserve">         </t>
    </r>
    <r>
      <rPr>
        <sz val="11"/>
        <color theme="1"/>
        <rFont val="Calibri"/>
        <family val="2"/>
        <scheme val="minor"/>
      </rPr>
      <t>If there is no pension program in place, put “-”</t>
    </r>
  </si>
  <si>
    <r>
      <t>·</t>
    </r>
    <r>
      <rPr>
        <sz val="7"/>
        <color theme="1"/>
        <rFont val="Times New Roman"/>
        <family val="1"/>
      </rPr>
      <t xml:space="preserve">         </t>
    </r>
    <r>
      <rPr>
        <sz val="11"/>
        <color theme="1"/>
        <rFont val="Calibri"/>
        <family val="2"/>
        <scheme val="minor"/>
      </rPr>
      <t>If there is a pension program in place, but there was no value for the incumbent in that year, put “0”</t>
    </r>
  </si>
  <si>
    <r>
      <t>·</t>
    </r>
    <r>
      <rPr>
        <sz val="7"/>
        <color theme="1"/>
        <rFont val="Times New Roman"/>
        <family val="1"/>
      </rPr>
      <t xml:space="preserve">         </t>
    </r>
    <r>
      <rPr>
        <sz val="11"/>
        <color theme="1"/>
        <rFont val="Calibri"/>
        <family val="2"/>
        <scheme val="minor"/>
      </rPr>
      <t>Calculate pension summary statistics using both the method above, as well as recording all “-“ as “0” to get summary statistics including zeros</t>
    </r>
  </si>
  <si>
    <t>Other Compensation</t>
  </si>
  <si>
    <r>
      <t>·</t>
    </r>
    <r>
      <rPr>
        <sz val="7"/>
        <color theme="1"/>
        <rFont val="Times New Roman"/>
        <family val="1"/>
      </rPr>
      <t xml:space="preserve">         </t>
    </r>
    <r>
      <rPr>
        <sz val="11"/>
        <color theme="1"/>
        <rFont val="Calibri"/>
        <family val="2"/>
        <scheme val="minor"/>
      </rPr>
      <t>No need to record other compensation unless requested</t>
    </r>
  </si>
  <si>
    <t>Target Pay</t>
  </si>
  <si>
    <r>
      <t>·</t>
    </r>
    <r>
      <rPr>
        <sz val="7"/>
        <color theme="1"/>
        <rFont val="Times New Roman"/>
        <family val="1"/>
      </rPr>
      <t xml:space="preserve">         </t>
    </r>
    <r>
      <rPr>
        <sz val="11"/>
        <color theme="1"/>
        <rFont val="Calibri"/>
        <family val="2"/>
        <scheme val="minor"/>
      </rPr>
      <t>Targets as a percentage of base salary should be used, if disclosed</t>
    </r>
  </si>
  <si>
    <r>
      <t>·</t>
    </r>
    <r>
      <rPr>
        <sz val="7"/>
        <color theme="1"/>
        <rFont val="Times New Roman"/>
        <family val="1"/>
      </rPr>
      <t xml:space="preserve">         </t>
    </r>
    <r>
      <rPr>
        <sz val="11"/>
        <color theme="1"/>
        <rFont val="Calibri"/>
        <family val="2"/>
        <scheme val="minor"/>
      </rPr>
      <t>If there are no targets disclosed other than a “Target Pay Mix” chart, the values can be used to “back into” an STIP and/or LTIP target as a percentage of base salary</t>
    </r>
  </si>
  <si>
    <r>
      <t>o</t>
    </r>
    <r>
      <rPr>
        <sz val="7"/>
        <color theme="1"/>
        <rFont val="Times New Roman"/>
        <family val="1"/>
      </rPr>
      <t xml:space="preserve">   </t>
    </r>
    <r>
      <rPr>
        <sz val="11"/>
        <color theme="1"/>
        <rFont val="Calibri"/>
        <family val="2"/>
        <scheme val="minor"/>
      </rPr>
      <t>Ensure that the values represented are targets, not actuals</t>
    </r>
  </si>
  <si>
    <r>
      <t>o</t>
    </r>
    <r>
      <rPr>
        <sz val="7"/>
        <color theme="1"/>
        <rFont val="Times New Roman"/>
        <family val="1"/>
      </rPr>
      <t xml:space="preserve">   </t>
    </r>
    <r>
      <rPr>
        <sz val="11"/>
        <color theme="1"/>
        <rFont val="Calibri"/>
        <family val="2"/>
        <scheme val="minor"/>
      </rPr>
      <t>The values must be specific to each NEO, rather than averages for the group</t>
    </r>
  </si>
  <si>
    <r>
      <t>o</t>
    </r>
    <r>
      <rPr>
        <sz val="7"/>
        <color theme="1"/>
        <rFont val="Times New Roman"/>
        <family val="1"/>
      </rPr>
      <t xml:space="preserve">   </t>
    </r>
    <r>
      <rPr>
        <sz val="11"/>
        <color theme="1"/>
        <rFont val="Calibri"/>
        <family val="2"/>
        <scheme val="minor"/>
      </rPr>
      <t>Compare the values to 3-year averages to as a “sanity check”</t>
    </r>
  </si>
  <si>
    <r>
      <t>o</t>
    </r>
    <r>
      <rPr>
        <sz val="7"/>
        <color theme="1"/>
        <rFont val="Times New Roman"/>
        <family val="1"/>
      </rPr>
      <t xml:space="preserve">   </t>
    </r>
    <r>
      <rPr>
        <sz val="11"/>
        <color theme="1"/>
        <rFont val="Calibri"/>
        <family val="2"/>
        <scheme val="minor"/>
      </rPr>
      <t>Do not use a “target pay mix” chart if the incumbent has been in the role for a partial year unless explicitly indicated that it represents an entire year</t>
    </r>
  </si>
  <si>
    <r>
      <t>·</t>
    </r>
    <r>
      <rPr>
        <sz val="7"/>
        <color theme="1"/>
        <rFont val="Times New Roman"/>
        <family val="1"/>
      </rPr>
      <t xml:space="preserve">         </t>
    </r>
    <r>
      <rPr>
        <sz val="11"/>
        <color theme="1"/>
        <rFont val="Calibri"/>
        <family val="2"/>
        <scheme val="minor"/>
      </rPr>
      <t>If targets are not disclosed, 3-year average is used instead</t>
    </r>
  </si>
  <si>
    <t>Role Matching</t>
  </si>
  <si>
    <r>
      <t>·</t>
    </r>
    <r>
      <rPr>
        <sz val="7"/>
        <color theme="1"/>
        <rFont val="Times New Roman"/>
        <family val="1"/>
      </rPr>
      <t xml:space="preserve">         </t>
    </r>
    <r>
      <rPr>
        <sz val="11"/>
        <color theme="1"/>
        <rFont val="Calibri"/>
        <family val="2"/>
        <scheme val="minor"/>
      </rPr>
      <t>Ensure that NEOs 1, 2, and 3 are properly ranked based on Target TDC after inputting the raw data (look at column AK)</t>
    </r>
  </si>
  <si>
    <t>New Incumbents</t>
  </si>
  <si>
    <t>In the following description, Year 1 means the most recent year of disclosure (e.g., 2017 data), Years 2 and 3 are the previous years (e.g., 2016 and 2015)</t>
  </si>
  <si>
    <r>
      <t>·</t>
    </r>
    <r>
      <rPr>
        <sz val="7"/>
        <color theme="1"/>
        <rFont val="Times New Roman"/>
        <family val="1"/>
      </rPr>
      <t xml:space="preserve">         </t>
    </r>
    <r>
      <rPr>
        <sz val="11"/>
        <color theme="1"/>
        <rFont val="Calibri"/>
        <family val="2"/>
        <scheme val="minor"/>
      </rPr>
      <t>Change of role partway through Year 2 or Year 3</t>
    </r>
  </si>
  <si>
    <r>
      <t>o</t>
    </r>
    <r>
      <rPr>
        <sz val="7"/>
        <color theme="1"/>
        <rFont val="Times New Roman"/>
        <family val="1"/>
      </rPr>
      <t xml:space="preserve">   </t>
    </r>
    <r>
      <rPr>
        <sz val="11"/>
        <color theme="1"/>
        <rFont val="Calibri"/>
        <family val="2"/>
        <scheme val="minor"/>
      </rPr>
      <t>Exclude year of role change and only include years in which the incumbent is in their current role for the full year</t>
    </r>
  </si>
  <si>
    <r>
      <t>·</t>
    </r>
    <r>
      <rPr>
        <sz val="7"/>
        <color theme="1"/>
        <rFont val="Times New Roman"/>
        <family val="1"/>
      </rPr>
      <t xml:space="preserve">         </t>
    </r>
    <r>
      <rPr>
        <sz val="11"/>
        <color theme="1"/>
        <rFont val="Calibri"/>
        <family val="2"/>
        <scheme val="minor"/>
      </rPr>
      <t>Change of role partway through Year 1</t>
    </r>
  </si>
  <si>
    <r>
      <t>o</t>
    </r>
    <r>
      <rPr>
        <sz val="7"/>
        <color theme="1"/>
        <rFont val="Times New Roman"/>
        <family val="1"/>
      </rPr>
      <t xml:space="preserve">   </t>
    </r>
    <r>
      <rPr>
        <sz val="11"/>
        <color theme="1"/>
        <rFont val="Calibri"/>
        <family val="2"/>
        <scheme val="minor"/>
      </rPr>
      <t>If target pay for the new role is disclosed (or it is otherwise possible to figure out), then use that</t>
    </r>
  </si>
  <si>
    <r>
      <t>o</t>
    </r>
    <r>
      <rPr>
        <sz val="7"/>
        <color theme="1"/>
        <rFont val="Times New Roman"/>
        <family val="1"/>
      </rPr>
      <t xml:space="preserve">   </t>
    </r>
    <r>
      <rPr>
        <sz val="11"/>
        <color theme="1"/>
        <rFont val="Calibri"/>
        <family val="2"/>
        <scheme val="minor"/>
      </rPr>
      <t>If it is not possible to determine the mix of pay between old role and new role, then pull the actual pay in Year 1 and footnote that pay for the year reflects time spent in role X and role Y</t>
    </r>
  </si>
  <si>
    <r>
      <t>o</t>
    </r>
    <r>
      <rPr>
        <sz val="7"/>
        <color theme="1"/>
        <rFont val="Times New Roman"/>
        <family val="1"/>
      </rPr>
      <t xml:space="preserve">   </t>
    </r>
    <r>
      <rPr>
        <sz val="11"/>
        <color theme="1"/>
        <rFont val="Calibri"/>
        <family val="2"/>
        <scheme val="minor"/>
      </rPr>
      <t>Do not capture data from Years 2 or 3</t>
    </r>
  </si>
  <si>
    <r>
      <t>·</t>
    </r>
    <r>
      <rPr>
        <sz val="7"/>
        <color theme="1"/>
        <rFont val="Times New Roman"/>
        <family val="1"/>
      </rPr>
      <t xml:space="preserve">         </t>
    </r>
    <r>
      <rPr>
        <sz val="11"/>
        <color theme="1"/>
        <rFont val="Calibri"/>
        <family val="2"/>
        <scheme val="minor"/>
      </rPr>
      <t>Longer-tenured incumbent leaves the company, new incumbent joins, and both are included in Year 1 disclosure</t>
    </r>
  </si>
  <si>
    <r>
      <t>o</t>
    </r>
    <r>
      <rPr>
        <sz val="7"/>
        <color theme="1"/>
        <rFont val="Times New Roman"/>
        <family val="1"/>
      </rPr>
      <t xml:space="preserve">   </t>
    </r>
    <r>
      <rPr>
        <sz val="11"/>
        <color theme="1"/>
        <rFont val="Calibri"/>
        <family val="2"/>
        <scheme val="minor"/>
      </rPr>
      <t>Default is to pull disclosure for the new incumbent and annualize, as needed; footnote that only a partial year of data is available</t>
    </r>
  </si>
  <si>
    <r>
      <t>o</t>
    </r>
    <r>
      <rPr>
        <sz val="7"/>
        <color theme="1"/>
        <rFont val="Times New Roman"/>
        <family val="1"/>
      </rPr>
      <t xml:space="preserve">   </t>
    </r>
    <r>
      <rPr>
        <sz val="11"/>
        <color theme="1"/>
        <rFont val="Calibri"/>
        <family val="2"/>
        <scheme val="minor"/>
      </rPr>
      <t>Only use the pay for the previous incumbent if data for the new incumbent is insufficient (e.g., was only in the role for 1 month of year 1 and annualizing is giving you weird numbers); footnote this &amp; ensure you discuss with your project team before capturing this data</t>
    </r>
  </si>
  <si>
    <r>
      <t>o</t>
    </r>
    <r>
      <rPr>
        <sz val="7"/>
        <color theme="1"/>
        <rFont val="Times New Roman"/>
        <family val="1"/>
      </rPr>
      <t xml:space="preserve">   </t>
    </r>
    <r>
      <rPr>
        <sz val="11"/>
        <color theme="1"/>
        <rFont val="Calibri"/>
        <family val="2"/>
        <scheme val="minor"/>
      </rPr>
      <t>Do not blend benchmarking for the roles (e.g., do not use base salary for new incumbent and target STIP % for old incumbent)</t>
    </r>
  </si>
  <si>
    <r>
      <t>o</t>
    </r>
    <r>
      <rPr>
        <sz val="7"/>
        <color theme="1"/>
        <rFont val="Times New Roman"/>
        <family val="1"/>
      </rPr>
      <t xml:space="preserve">   </t>
    </r>
    <r>
      <rPr>
        <sz val="11"/>
        <color theme="1"/>
        <rFont val="Calibri"/>
        <family val="2"/>
        <scheme val="minor"/>
      </rPr>
      <t>This only applies if target pay is not disclosed for the new incumbent (otherwise, target pay would be used)</t>
    </r>
  </si>
  <si>
    <r>
      <t>·</t>
    </r>
    <r>
      <rPr>
        <sz val="7"/>
        <color theme="1"/>
        <rFont val="Times New Roman"/>
        <family val="1"/>
      </rPr>
      <t xml:space="preserve">         </t>
    </r>
    <r>
      <rPr>
        <sz val="11"/>
        <color theme="1"/>
        <rFont val="Calibri"/>
        <family val="2"/>
        <scheme val="minor"/>
      </rPr>
      <t>For discussion on a new incumbent, who has not previously worked at the company, include all of their data that is available (see “Annualization” below)</t>
    </r>
  </si>
  <si>
    <t>Annualization</t>
  </si>
  <si>
    <r>
      <t>·</t>
    </r>
    <r>
      <rPr>
        <sz val="7"/>
        <color theme="1"/>
        <rFont val="Times New Roman"/>
        <family val="1"/>
      </rPr>
      <t xml:space="preserve">         </t>
    </r>
    <r>
      <rPr>
        <sz val="11"/>
        <color theme="1"/>
        <rFont val="Calibri"/>
        <family val="2"/>
        <scheme val="minor"/>
      </rPr>
      <t>To annualize the base salary, insert the month beginning / end into the relevant columns (E &amp; F)</t>
    </r>
  </si>
  <si>
    <r>
      <t>·</t>
    </r>
    <r>
      <rPr>
        <sz val="7"/>
        <color theme="1"/>
        <rFont val="Times New Roman"/>
        <family val="1"/>
      </rPr>
      <t xml:space="preserve">         </t>
    </r>
    <r>
      <rPr>
        <sz val="11"/>
        <color theme="1"/>
        <rFont val="Calibri"/>
        <family val="2"/>
        <scheme val="minor"/>
      </rPr>
      <t>Check for the year end to accurately track the number of months from the fiscal year</t>
    </r>
  </si>
  <si>
    <r>
      <t>·</t>
    </r>
    <r>
      <rPr>
        <sz val="7"/>
        <color theme="1"/>
        <rFont val="Times New Roman"/>
        <family val="1"/>
      </rPr>
      <t xml:space="preserve">         </t>
    </r>
    <r>
      <rPr>
        <sz val="11"/>
        <color theme="1"/>
        <rFont val="Calibri"/>
        <family val="2"/>
        <scheme val="minor"/>
      </rPr>
      <t>Ensure that annualization calculations result in a number that makes sense (i.e. NEO3 TDC is not higher than CEO)</t>
    </r>
  </si>
  <si>
    <r>
      <t>·</t>
    </r>
    <r>
      <rPr>
        <sz val="7"/>
        <color theme="1"/>
        <rFont val="Times New Roman"/>
        <family val="1"/>
      </rPr>
      <t xml:space="preserve">         </t>
    </r>
    <r>
      <rPr>
        <sz val="11"/>
        <color theme="1"/>
        <rFont val="Calibri"/>
        <family val="2"/>
        <scheme val="minor"/>
      </rPr>
      <t>Note that our template automatically annualizes actual STIP awards, but does not annualize LTIP awards</t>
    </r>
  </si>
  <si>
    <r>
      <t>o</t>
    </r>
    <r>
      <rPr>
        <sz val="7"/>
        <color theme="1"/>
        <rFont val="Times New Roman"/>
        <family val="1"/>
      </rPr>
      <t xml:space="preserve">   </t>
    </r>
    <r>
      <rPr>
        <sz val="11"/>
        <color theme="1"/>
        <rFont val="Calibri"/>
        <family val="2"/>
        <scheme val="minor"/>
      </rPr>
      <t>Confirm that the automatic annualization makes sense; always flag for the peer reviewer</t>
    </r>
  </si>
  <si>
    <t>One Time Awards</t>
  </si>
  <si>
    <r>
      <t>·</t>
    </r>
    <r>
      <rPr>
        <sz val="7"/>
        <color theme="1"/>
        <rFont val="Times New Roman"/>
        <family val="1"/>
      </rPr>
      <t xml:space="preserve">         </t>
    </r>
    <r>
      <rPr>
        <sz val="11"/>
        <color theme="1"/>
        <rFont val="Calibri"/>
        <family val="2"/>
        <scheme val="minor"/>
      </rPr>
      <t>In all cases, should review disclosure related to one-time awards and apply judgement based on the specific circumstances. Flag the award and assumptions for the peer reviewer</t>
    </r>
  </si>
  <si>
    <r>
      <t>·</t>
    </r>
    <r>
      <rPr>
        <sz val="7"/>
        <color theme="1"/>
        <rFont val="Times New Roman"/>
        <family val="1"/>
      </rPr>
      <t xml:space="preserve">         </t>
    </r>
    <r>
      <rPr>
        <sz val="11"/>
        <color theme="1"/>
        <rFont val="Calibri"/>
        <family val="2"/>
        <scheme val="minor"/>
      </rPr>
      <t xml:space="preserve"> “Make-whole” award (An award to compensate for unvested LTIP that executive is forfeiting from their previous employer to join this Company):</t>
    </r>
  </si>
  <si>
    <r>
      <t>o</t>
    </r>
    <r>
      <rPr>
        <sz val="7"/>
        <color theme="1"/>
        <rFont val="Times New Roman"/>
        <family val="1"/>
      </rPr>
      <t xml:space="preserve">   </t>
    </r>
    <r>
      <rPr>
        <sz val="11"/>
        <color theme="1"/>
        <rFont val="Calibri"/>
        <family val="2"/>
        <scheme val="minor"/>
      </rPr>
      <t>Exclude and footnote</t>
    </r>
  </si>
  <si>
    <r>
      <t>·</t>
    </r>
    <r>
      <rPr>
        <sz val="7"/>
        <color theme="1"/>
        <rFont val="Times New Roman"/>
        <family val="1"/>
      </rPr>
      <t xml:space="preserve">         </t>
    </r>
    <r>
      <rPr>
        <sz val="11"/>
        <color theme="1"/>
        <rFont val="Calibri"/>
        <family val="2"/>
        <scheme val="minor"/>
      </rPr>
      <t>One-time awards tied to a transaction/performance-based, or for retention purposes, etc.:</t>
    </r>
  </si>
  <si>
    <r>
      <t>o</t>
    </r>
    <r>
      <rPr>
        <sz val="7"/>
        <color theme="1"/>
        <rFont val="Times New Roman"/>
        <family val="1"/>
      </rPr>
      <t xml:space="preserve">   </t>
    </r>
    <r>
      <rPr>
        <sz val="11"/>
        <color theme="1"/>
        <rFont val="Calibri"/>
        <family val="2"/>
        <scheme val="minor"/>
      </rPr>
      <t xml:space="preserve"> Include and footnote</t>
    </r>
  </si>
  <si>
    <r>
      <t>o</t>
    </r>
    <r>
      <rPr>
        <sz val="7"/>
        <color theme="1"/>
        <rFont val="Times New Roman"/>
        <family val="1"/>
      </rPr>
      <t xml:space="preserve">   </t>
    </r>
    <r>
      <rPr>
        <sz val="11"/>
        <color theme="1"/>
        <rFont val="Calibri"/>
        <family val="2"/>
        <scheme val="minor"/>
      </rPr>
      <t>If cash, include in “actual STIP” in the year</t>
    </r>
  </si>
  <si>
    <r>
      <t>o</t>
    </r>
    <r>
      <rPr>
        <sz val="7"/>
        <color theme="1"/>
        <rFont val="Times New Roman"/>
        <family val="1"/>
      </rPr>
      <t xml:space="preserve">   </t>
    </r>
    <r>
      <rPr>
        <sz val="11"/>
        <color theme="1"/>
        <rFont val="Calibri"/>
        <family val="2"/>
        <scheme val="minor"/>
      </rPr>
      <t>If equity, amortize over the vesting period (e.g., if 3-year RSUs, include 1/3 in the year of grant and 1/3 each in the two years thereafter)</t>
    </r>
  </si>
  <si>
    <r>
      <t>§</t>
    </r>
    <r>
      <rPr>
        <sz val="7"/>
        <color theme="1"/>
        <rFont val="Times New Roman"/>
        <family val="1"/>
      </rPr>
      <t xml:space="preserve">  </t>
    </r>
    <r>
      <rPr>
        <sz val="11"/>
        <color theme="1"/>
        <rFont val="Calibri"/>
        <family val="2"/>
        <scheme val="minor"/>
      </rPr>
      <t>If equity award vesting is not disclosed, look for text about the typical equity plan; if there is nothing disclosed, amortize over 3 years for RSUs and 4 years for stock options</t>
    </r>
  </si>
  <si>
    <r>
      <t>·</t>
    </r>
    <r>
      <rPr>
        <sz val="7"/>
        <color theme="1"/>
        <rFont val="Times New Roman"/>
        <family val="1"/>
      </rPr>
      <t xml:space="preserve">         </t>
    </r>
    <r>
      <rPr>
        <sz val="11"/>
        <color theme="1"/>
        <rFont val="Calibri"/>
        <family val="2"/>
        <scheme val="minor"/>
      </rPr>
      <t>One-time awards tied to a sign-on, promotion, or change in role:</t>
    </r>
  </si>
  <si>
    <r>
      <t>o</t>
    </r>
    <r>
      <rPr>
        <sz val="7"/>
        <color theme="1"/>
        <rFont val="Times New Roman"/>
        <family val="1"/>
      </rPr>
      <t xml:space="preserve">   </t>
    </r>
    <r>
      <rPr>
        <sz val="11"/>
        <color theme="1"/>
        <rFont val="Calibri"/>
        <family val="2"/>
        <scheme val="minor"/>
      </rPr>
      <t>Include and footnote</t>
    </r>
  </si>
  <si>
    <r>
      <t>o</t>
    </r>
    <r>
      <rPr>
        <sz val="7"/>
        <color theme="1"/>
        <rFont val="Times New Roman"/>
        <family val="1"/>
      </rPr>
      <t xml:space="preserve">   </t>
    </r>
    <r>
      <rPr>
        <sz val="11"/>
        <color theme="1"/>
        <rFont val="Calibri"/>
        <family val="2"/>
        <scheme val="minor"/>
      </rPr>
      <t>In the absence of evidence that a sign-on award is a “make-whole” award, then include it</t>
    </r>
  </si>
  <si>
    <t>Data Aging</t>
  </si>
  <si>
    <r>
      <t>·</t>
    </r>
    <r>
      <rPr>
        <sz val="7"/>
        <color theme="1"/>
        <rFont val="Times New Roman"/>
        <family val="1"/>
      </rPr>
      <t xml:space="preserve">         </t>
    </r>
    <r>
      <rPr>
        <sz val="11"/>
        <color theme="1"/>
        <rFont val="Calibri"/>
        <family val="2"/>
        <scheme val="minor"/>
      </rPr>
      <t>Below the output tables for each role, there is a “Data Aging” section where you can select “Y” or “N” for whether the data should be aged</t>
    </r>
  </si>
  <si>
    <r>
      <t>o</t>
    </r>
    <r>
      <rPr>
        <sz val="7"/>
        <color theme="1"/>
        <rFont val="Times New Roman"/>
        <family val="1"/>
      </rPr>
      <t xml:space="preserve">   </t>
    </r>
    <r>
      <rPr>
        <sz val="11"/>
        <color theme="1"/>
        <rFont val="Calibri"/>
        <family val="2"/>
        <scheme val="minor"/>
      </rPr>
      <t>Footnote whether a go-forward salary has been used</t>
    </r>
  </si>
  <si>
    <t>Footnotes</t>
  </si>
  <si>
    <r>
      <t>·</t>
    </r>
    <r>
      <rPr>
        <sz val="7"/>
        <color theme="1"/>
        <rFont val="Times New Roman"/>
        <family val="1"/>
      </rPr>
      <t xml:space="preserve">         </t>
    </r>
    <r>
      <rPr>
        <sz val="11"/>
        <color theme="1"/>
        <rFont val="Calibri"/>
        <family val="2"/>
        <scheme val="minor"/>
      </rPr>
      <t>Footnotes may go in either column AO or a word document/email, depending on the peer reviewer’s preference</t>
    </r>
  </si>
  <si>
    <r>
      <t>·</t>
    </r>
    <r>
      <rPr>
        <sz val="7"/>
        <color theme="1"/>
        <rFont val="Times New Roman"/>
        <family val="1"/>
      </rPr>
      <t xml:space="preserve">         </t>
    </r>
    <r>
      <rPr>
        <sz val="11"/>
        <color theme="1"/>
        <rFont val="Calibri"/>
        <family val="2"/>
        <scheme val="minor"/>
      </rPr>
      <t>Ensure each footnote is concise, complete, grammatically correct, and follows a consistent format</t>
    </r>
  </si>
  <si>
    <r>
      <t>·</t>
    </r>
    <r>
      <rPr>
        <sz val="7"/>
        <color theme="1"/>
        <rFont val="Times New Roman"/>
        <family val="1"/>
      </rPr>
      <t xml:space="preserve">         </t>
    </r>
    <r>
      <rPr>
        <sz val="11"/>
        <color theme="1"/>
        <rFont val="Calibri"/>
        <family val="2"/>
        <scheme val="minor"/>
      </rPr>
      <t>Do not footnote anything that isn’t standard to the benchmarking methodology covered above (i.e. only value-add, unique circumstances footnoted)</t>
    </r>
  </si>
  <si>
    <r>
      <t>·</t>
    </r>
    <r>
      <rPr>
        <sz val="7"/>
        <color theme="1"/>
        <rFont val="Times New Roman"/>
        <family val="1"/>
      </rPr>
      <t xml:space="preserve">         </t>
    </r>
    <r>
      <rPr>
        <sz val="11"/>
        <color theme="1"/>
        <rFont val="Calibri"/>
        <family val="2"/>
        <scheme val="minor"/>
      </rPr>
      <t>Be consistent with how the incumbent’s name is footnoted (i.e. only last name, first name &amp; last name, or name &amp; role)</t>
    </r>
  </si>
  <si>
    <t>Process</t>
  </si>
  <si>
    <r>
      <t>·</t>
    </r>
    <r>
      <rPr>
        <sz val="7"/>
        <color theme="1"/>
        <rFont val="Times New Roman"/>
        <family val="1"/>
      </rPr>
      <t xml:space="preserve">         </t>
    </r>
    <r>
      <rPr>
        <sz val="11"/>
        <color theme="1"/>
        <rFont val="Calibri"/>
        <family val="2"/>
        <scheme val="minor"/>
      </rPr>
      <t>Ensure all proxies are saved in the drive and are highlighted</t>
    </r>
  </si>
  <si>
    <r>
      <t>o</t>
    </r>
    <r>
      <rPr>
        <sz val="7"/>
        <color theme="1"/>
        <rFont val="Times New Roman"/>
        <family val="1"/>
      </rPr>
      <t xml:space="preserve">   </t>
    </r>
    <r>
      <rPr>
        <sz val="11"/>
        <color theme="1"/>
        <rFont val="Calibri"/>
        <family val="2"/>
        <scheme val="minor"/>
      </rPr>
      <t>Questions should be clearly noted either in the proxy or in a tracking word document or email</t>
    </r>
  </si>
  <si>
    <r>
      <t>o</t>
    </r>
    <r>
      <rPr>
        <sz val="7"/>
        <color theme="1"/>
        <rFont val="Times New Roman"/>
        <family val="1"/>
      </rPr>
      <t xml:space="preserve">   </t>
    </r>
    <r>
      <rPr>
        <sz val="11"/>
        <color theme="1"/>
        <rFont val="Calibri"/>
        <family val="2"/>
        <scheme val="minor"/>
      </rPr>
      <t>Ensure that a new benchmarking review is from a new proxy / uses a new highlight colour</t>
    </r>
  </si>
  <si>
    <r>
      <t>·</t>
    </r>
    <r>
      <rPr>
        <sz val="7"/>
        <color theme="1"/>
        <rFont val="Times New Roman"/>
        <family val="1"/>
      </rPr>
      <t xml:space="preserve">         </t>
    </r>
    <r>
      <rPr>
        <sz val="11"/>
        <color theme="1"/>
        <rFont val="Calibri"/>
        <family val="2"/>
        <scheme val="minor"/>
      </rPr>
      <t>Ensure that all changes to formulas in cells is tracked with a comment on the cell</t>
    </r>
  </si>
  <si>
    <r>
      <t>o</t>
    </r>
    <r>
      <rPr>
        <sz val="7"/>
        <color theme="1"/>
        <rFont val="Times New Roman"/>
        <family val="1"/>
      </rPr>
      <t xml:space="preserve">   </t>
    </r>
    <r>
      <rPr>
        <sz val="11"/>
        <color theme="1"/>
        <rFont val="Calibri"/>
        <family val="2"/>
        <scheme val="minor"/>
      </rPr>
      <t>Also change the cell colour to be consistent with the colour text convention</t>
    </r>
  </si>
  <si>
    <r>
      <t>·</t>
    </r>
    <r>
      <rPr>
        <sz val="7"/>
        <color theme="1"/>
        <rFont val="Times New Roman"/>
        <family val="1"/>
      </rPr>
      <t xml:space="preserve">         </t>
    </r>
    <r>
      <rPr>
        <sz val="11"/>
        <color theme="1"/>
        <rFont val="Calibri"/>
        <family val="2"/>
        <scheme val="minor"/>
      </rPr>
      <t>Confirm the currency of disclosure</t>
    </r>
  </si>
  <si>
    <r>
      <t>o</t>
    </r>
    <r>
      <rPr>
        <sz val="7"/>
        <color theme="1"/>
        <rFont val="Times New Roman"/>
        <family val="1"/>
      </rPr>
      <t xml:space="preserve">   </t>
    </r>
    <r>
      <rPr>
        <sz val="11"/>
        <color theme="1"/>
        <rFont val="Calibri"/>
        <family val="2"/>
        <scheme val="minor"/>
      </rPr>
      <t>If the disclosure is in one currency (i.e. USD), but the footnotes disclose that it was originally set or paid in another currency (i.e. CAD), use the disclosed FX rate inputted into column I</t>
    </r>
  </si>
  <si>
    <r>
      <t>·</t>
    </r>
    <r>
      <rPr>
        <sz val="7"/>
        <color theme="1"/>
        <rFont val="Times New Roman"/>
        <family val="1"/>
      </rPr>
      <t xml:space="preserve">         </t>
    </r>
    <r>
      <rPr>
        <sz val="11"/>
        <color theme="1"/>
        <rFont val="Calibri"/>
        <family val="2"/>
        <scheme val="minor"/>
      </rPr>
      <t>Particularly if work is being split up, ensure that “data recorder” is recorded in column AP</t>
    </r>
  </si>
  <si>
    <r>
      <t>·</t>
    </r>
    <r>
      <rPr>
        <sz val="7"/>
        <color theme="1"/>
        <rFont val="Times New Roman"/>
        <family val="1"/>
      </rPr>
      <t xml:space="preserve">         </t>
    </r>
    <r>
      <rPr>
        <sz val="11"/>
        <color theme="1"/>
        <rFont val="Calibri"/>
        <family val="2"/>
        <scheme val="minor"/>
      </rPr>
      <t xml:space="preserve">Ensure that all formulas are in </t>
    </r>
    <r>
      <rPr>
        <b/>
        <sz val="11"/>
        <color theme="1"/>
        <rFont val="Calibri"/>
        <family val="2"/>
        <scheme val="minor"/>
      </rPr>
      <t>black</t>
    </r>
    <r>
      <rPr>
        <sz val="11"/>
        <color theme="1"/>
        <rFont val="Calibri"/>
        <family val="2"/>
        <scheme val="minor"/>
      </rPr>
      <t xml:space="preserve"> text, and all hard-coded numbers are in </t>
    </r>
    <r>
      <rPr>
        <b/>
        <sz val="11"/>
        <color rgb="FF0070C0"/>
        <rFont val="Calibri"/>
        <family val="2"/>
        <scheme val="minor"/>
      </rPr>
      <t>blue</t>
    </r>
    <r>
      <rPr>
        <sz val="11"/>
        <color theme="1"/>
        <rFont val="Calibri"/>
        <family val="2"/>
        <scheme val="minor"/>
      </rPr>
      <t xml:space="preserve"> text in the Raw Data tab</t>
    </r>
  </si>
  <si>
    <t>Peer Reviewing</t>
  </si>
  <si>
    <r>
      <t>·</t>
    </r>
    <r>
      <rPr>
        <sz val="7"/>
        <color theme="1"/>
        <rFont val="Times New Roman"/>
        <family val="1"/>
      </rPr>
      <t xml:space="preserve">         </t>
    </r>
    <r>
      <rPr>
        <sz val="11"/>
        <color theme="1"/>
        <rFont val="Calibri"/>
        <family val="2"/>
        <scheme val="minor"/>
      </rPr>
      <t>Track changes that are made by company and send back to the data recorder for their knowledge</t>
    </r>
  </si>
  <si>
    <r>
      <t>o</t>
    </r>
    <r>
      <rPr>
        <sz val="7"/>
        <color theme="1"/>
        <rFont val="Times New Roman"/>
        <family val="1"/>
      </rPr>
      <t xml:space="preserve">   </t>
    </r>
    <r>
      <rPr>
        <sz val="11"/>
        <color theme="1"/>
        <rFont val="Calibri"/>
        <family val="2"/>
        <scheme val="minor"/>
      </rPr>
      <t>If there’s a typo, that’s not important to include; if there’s a misinterpretation, then that’s important to share</t>
    </r>
  </si>
  <si>
    <r>
      <t>·</t>
    </r>
    <r>
      <rPr>
        <sz val="7"/>
        <color theme="1"/>
        <rFont val="Times New Roman"/>
        <family val="1"/>
      </rPr>
      <t xml:space="preserve">         </t>
    </r>
    <r>
      <rPr>
        <sz val="11"/>
        <color theme="1"/>
        <rFont val="Calibri"/>
        <family val="2"/>
        <scheme val="minor"/>
      </rPr>
      <t>Assume that the peer reviewer has made all of the necessary changes to the raw data sheet</t>
    </r>
  </si>
  <si>
    <t xml:space="preserve">Incumbent Start Month </t>
  </si>
  <si>
    <t>Headquarters</t>
  </si>
  <si>
    <t>Total Enterprise Value ($MM)</t>
  </si>
  <si>
    <t>Market Cap ($MM)</t>
  </si>
  <si>
    <t>Total Assets ($MM)</t>
  </si>
  <si>
    <t>Revenue ($MM)</t>
  </si>
  <si>
    <t>P75</t>
  </si>
  <si>
    <t>P50</t>
  </si>
  <si>
    <t>P25</t>
  </si>
  <si>
    <r>
      <t>·</t>
    </r>
    <r>
      <rPr>
        <sz val="7"/>
        <color theme="1"/>
        <rFont val="Times New Roman"/>
        <family val="1"/>
      </rPr>
      <t xml:space="preserve">         </t>
    </r>
    <r>
      <rPr>
        <sz val="11"/>
        <color theme="1"/>
        <rFont val="Calibri"/>
        <family val="2"/>
        <scheme val="minor"/>
      </rPr>
      <t>Ensure that all output tables are sorted in a consistent manner (i.e. sorted by TEV, market cap, or alphabetically)</t>
    </r>
  </si>
  <si>
    <r>
      <t>·</t>
    </r>
    <r>
      <rPr>
        <sz val="7"/>
        <color theme="1"/>
        <rFont val="Times New Roman"/>
        <family val="1"/>
      </rPr>
      <t xml:space="preserve">         </t>
    </r>
    <r>
      <rPr>
        <sz val="11"/>
        <color theme="1"/>
        <rFont val="Calibri"/>
        <family val="2"/>
        <scheme val="minor"/>
      </rPr>
      <t>Column J can be rearranged to match the order in the summary compensation table</t>
    </r>
  </si>
  <si>
    <r>
      <t>o</t>
    </r>
    <r>
      <rPr>
        <sz val="7"/>
        <color theme="1"/>
        <rFont val="Times New Roman"/>
        <family val="1"/>
      </rPr>
      <t xml:space="preserve">   </t>
    </r>
    <r>
      <rPr>
        <sz val="11"/>
        <color theme="1"/>
        <rFont val="Calibri"/>
        <family val="2"/>
        <scheme val="minor"/>
      </rPr>
      <t>Label proxies in the order that they are entered into the Raw Data tab (01., 02., etc.)</t>
    </r>
  </si>
  <si>
    <r>
      <t>o</t>
    </r>
    <r>
      <rPr>
        <sz val="7"/>
        <color theme="1"/>
        <rFont val="Times New Roman"/>
        <family val="1"/>
      </rPr>
      <t xml:space="preserve">   </t>
    </r>
    <r>
      <rPr>
        <sz val="11"/>
        <color theme="1"/>
        <rFont val="Calibri"/>
        <family val="2"/>
        <scheme val="minor"/>
      </rPr>
      <t xml:space="preserve">Record any override formulas in </t>
    </r>
    <r>
      <rPr>
        <b/>
        <sz val="11"/>
        <color rgb="FF0070C0"/>
        <rFont val="Calibri"/>
        <family val="2"/>
        <scheme val="minor"/>
      </rPr>
      <t>blue</t>
    </r>
  </si>
  <si>
    <t>Source: Company Proxy Data</t>
  </si>
  <si>
    <t>Total Compensation</t>
  </si>
  <si>
    <t xml:space="preserve">Other </t>
  </si>
  <si>
    <t>TC</t>
  </si>
  <si>
    <t>Actual 
(Actual TDC + Pension + Other)</t>
  </si>
  <si>
    <t>Target 
(Target TDC + Pension + Other)</t>
  </si>
  <si>
    <t>Check with client team 1) whether this benchmarking is necessary and 2) how to treat pension &amp; other in the output tables (i.e., actual, 3-year average)</t>
  </si>
  <si>
    <t>Pension Converted</t>
  </si>
  <si>
    <t>Other Converted</t>
  </si>
  <si>
    <t>Pension 3 Year Average</t>
  </si>
  <si>
    <t>Other 3 Year Average</t>
  </si>
  <si>
    <t>Pension &amp; Other</t>
  </si>
  <si>
    <t>INPUTS</t>
  </si>
  <si>
    <r>
      <t>·</t>
    </r>
    <r>
      <rPr>
        <sz val="7"/>
        <color theme="1"/>
        <rFont val="Times New Roman"/>
        <family val="1"/>
      </rPr>
      <t xml:space="preserve">         </t>
    </r>
    <r>
      <rPr>
        <sz val="11"/>
        <color theme="1"/>
        <rFont val="Calibri"/>
        <family val="2"/>
        <scheme val="minor"/>
      </rPr>
      <t>The template will age all data 3% (or any other value entered into the “Input” section of the "Raw Data" tab), unless the upcoming year’s salary is disclosed, in which case that will be used instead</t>
    </r>
  </si>
  <si>
    <r>
      <t>·</t>
    </r>
    <r>
      <rPr>
        <sz val="7"/>
        <color theme="1"/>
        <rFont val="Times New Roman"/>
        <family val="1"/>
      </rPr>
      <t xml:space="preserve">         </t>
    </r>
    <r>
      <rPr>
        <sz val="11"/>
        <color theme="1"/>
        <rFont val="Calibri"/>
        <family val="2"/>
        <scheme val="minor"/>
      </rPr>
      <t>The years in the raw data (column D) should always be the same for every peer in order to facilitate the correct INDEX-MATCH formulas</t>
    </r>
  </si>
  <si>
    <t>TSX:PAAS</t>
  </si>
  <si>
    <t>TSX:LUN</t>
  </si>
  <si>
    <t>TSX:AGI</t>
  </si>
  <si>
    <t>TSX:BTO</t>
  </si>
  <si>
    <t>TSX:CS</t>
  </si>
  <si>
    <t>NYSE:HL</t>
  </si>
  <si>
    <t>TSX:SSRM</t>
  </si>
  <si>
    <t>TSX:ELD</t>
  </si>
  <si>
    <t>TSX:IMG</t>
  </si>
  <si>
    <t xml:space="preserve">TSX:OGC
</t>
  </si>
  <si>
    <t>TSX:NGD</t>
  </si>
  <si>
    <t>TSX:CG</t>
  </si>
  <si>
    <t>TSX:ERO</t>
  </si>
  <si>
    <t>TSX:HBM</t>
  </si>
  <si>
    <t>President &amp; CEO</t>
  </si>
  <si>
    <t>Peter Kukielski</t>
  </si>
  <si>
    <t>DC</t>
  </si>
  <si>
    <t>JM</t>
  </si>
  <si>
    <t>AX</t>
  </si>
  <si>
    <t>COO</t>
  </si>
  <si>
    <t>Andre Lauzon</t>
  </si>
  <si>
    <t>Eugene Lei</t>
  </si>
  <si>
    <t>DB &amp; DC</t>
  </si>
  <si>
    <t>SVP, Legal and Organizational Effectiveness</t>
  </si>
  <si>
    <t>Patrick Donnelly</t>
  </si>
  <si>
    <t>DB</t>
  </si>
  <si>
    <t>SVP, US Business Unit</t>
  </si>
  <si>
    <t>Javier Del Rio</t>
  </si>
  <si>
    <t>Renaud Adams</t>
  </si>
  <si>
    <t>Maarten Theunissen</t>
  </si>
  <si>
    <t xml:space="preserve">Mr. Theunissen was appointed CFO March 6, 2023 from his previous position at the Company. </t>
  </si>
  <si>
    <t>Bruno Lemelin</t>
  </si>
  <si>
    <t xml:space="preserve">Mr. Lemelin was appointed COO September 13, 2023 from his previous position at the Company. </t>
  </si>
  <si>
    <t>Chief People Officer</t>
  </si>
  <si>
    <t>Dorena Quinn</t>
  </si>
  <si>
    <t xml:space="preserve"> Effective January 1, 2025, Ms. Quinn was appointed Chief People Officer at IAMGOLD. Her STIP Target as a % of base salary increased to 70% and LTIP target % increased to 150% - go-forward targets have been captured for this year's benchmarking.</t>
  </si>
  <si>
    <t>SVP, General Counsel &amp; Corporate Secretary</t>
  </si>
  <si>
    <t>Tim Bradburn</t>
  </si>
  <si>
    <t>Mr. Bradburn served as SVP, General Counsel and Corporate Secretary on a 5-year contract. Given that 2024 was his last year in this role, he was not eligible to receive and STIP or LTIP. Given he received these incentive awards in previous years, target values reflect those in 2023.</t>
  </si>
  <si>
    <t>USD</t>
  </si>
  <si>
    <t>Rob Krcmarov</t>
  </si>
  <si>
    <t>SVP &amp; CFO</t>
  </si>
  <si>
    <t>Russell D. Lawlar</t>
  </si>
  <si>
    <t>SVP &amp; Chief Administrative Officer</t>
  </si>
  <si>
    <t>Michael L. Clary</t>
  </si>
  <si>
    <t>SVP &amp; General Counsel and Corporate Secretary</t>
  </si>
  <si>
    <t>David C. Sienko</t>
  </si>
  <si>
    <t>VP, Corporate Development</t>
  </si>
  <si>
    <t>Robert D. Brown</t>
  </si>
  <si>
    <t>Mr. Brown receives compensation in $CAD but amount were converted to $USD for reporting purposes. The exchange rates used are undisclosed.</t>
  </si>
  <si>
    <t>George Burns</t>
  </si>
  <si>
    <t>EVP &amp; CFO</t>
  </si>
  <si>
    <t>Paul Fernehough</t>
  </si>
  <si>
    <t>Target LTIP for the EVP, CFO was increased to 175% from 150% effective January 1, 2025.</t>
  </si>
  <si>
    <t>Mr. Ferneyhough was appointed EVP, CFO effective January 2, 2024 from his previous role as SVP, Chief Growth &amp; Integration Officer. Benchmarking includes solely his pay in 2024.</t>
  </si>
  <si>
    <t>EVP, Development, Greece</t>
  </si>
  <si>
    <t>Louw Smith</t>
  </si>
  <si>
    <t>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t>
  </si>
  <si>
    <t>EVP, General Counsel &amp; Chief Compliance Officer</t>
  </si>
  <si>
    <t>Frank Herbert</t>
  </si>
  <si>
    <t>Mr. Herbert joined Eldorado as an employee starting January 2023.</t>
  </si>
  <si>
    <t>EVP, Technical Services &amp; Operations</t>
  </si>
  <si>
    <t>Simon Hille</t>
  </si>
  <si>
    <t>Mr. Hille was appointed EVP, Technical Services &amp; Operations effective November 1, 2023  from his previous role as SVP, Technical Services &amp; Operations. Benchmarking includes solely his pay in 2024.</t>
  </si>
  <si>
    <t>Executive Chairman</t>
  </si>
  <si>
    <t>Rodney Antal</t>
  </si>
  <si>
    <t>Mr. Antal was appointed Executive Chairman of the Company in 2023.</t>
  </si>
  <si>
    <t>Michael Sparks</t>
  </si>
  <si>
    <t>Mr. Sparks was appointed EVP &amp; CFO on March 8, 2024; he previously served as Chief Legal &amp; Administrative Officer prior to this. 2024 compensation disclosed in the proxy reflects a mix of compensation granted for both roles - in order to not inflate pay values of the year, amoutns have not been annualized.</t>
  </si>
  <si>
    <t>EVP, Operations and Sustainability</t>
  </si>
  <si>
    <t>Bill MacNevin</t>
  </si>
  <si>
    <t>EVP &amp; Chief Strategy Officer</t>
  </si>
  <si>
    <t>F. Edward Farid</t>
  </si>
  <si>
    <t>EVP, Growth and Innovation</t>
  </si>
  <si>
    <t>John Ebbett</t>
  </si>
  <si>
    <t>Mr. Ebbett was appointed EVP, Growth &amp; Innovation August 22, 2022. His compensation for the 2022 has not been recorded.</t>
  </si>
  <si>
    <t>Paul Tomory</t>
  </si>
  <si>
    <t>Centerra's CEO joined on May 1, 2023; data has been annualized and interim CEO pay has been excluded.</t>
  </si>
  <si>
    <t>EVP, CFO</t>
  </si>
  <si>
    <t>Ryan Snyder</t>
  </si>
  <si>
    <t>EVP, COO</t>
  </si>
  <si>
    <t>Paul Chawrun</t>
  </si>
  <si>
    <t>Mr. Chawrun was appointed Executive Vice President, Chief Operating Officer on September 6, 2022. His 2022 base salary is an annualized amount, he received a pro-rated portion of it in 2022.</t>
  </si>
  <si>
    <t>EVP, Legal &amp; Public Affairs</t>
  </si>
  <si>
    <t>Yousef Rehman</t>
  </si>
  <si>
    <t>EVP, People, Technology &amp; Supply Chain</t>
  </si>
  <si>
    <t>Claudio D'Orazio</t>
  </si>
  <si>
    <t>Mr. Adams was appointed CEO April 1, 2023. He received a one-time PSU award of $1MM in 2023 that has been excluded from the benchmarking</t>
  </si>
  <si>
    <t>Mr. MacNevin was appointed EVP, Operations and Sustainability January 1, 2023. Compensation for the previous year has not been recorded. Upon appointment, he received a one-time RSU award of $1,050,000; this award has been excluded from the benchmarking.</t>
  </si>
  <si>
    <t>J. Paul Rollinson</t>
  </si>
  <si>
    <t>Andrea S. Freeborough</t>
  </si>
  <si>
    <t>Geoffrey P. Gold</t>
  </si>
  <si>
    <t>Claude J.S. Schimper</t>
  </si>
  <si>
    <t>William D. Dunford</t>
  </si>
  <si>
    <t>President</t>
  </si>
  <si>
    <t>EVP &amp; COO</t>
  </si>
  <si>
    <t>SVP, Technical Services</t>
  </si>
  <si>
    <t>Mr. Gold’s 2024 STI calculated on formula would have been US$1,116,517. However, the human resources and compensation committee decided to reduce his STI payment by C$200,000 and increase his long-term incentive by the same amount to better align to the company’s target pay mix.</t>
  </si>
  <si>
    <t>Ms. Freeborough’s 2024 STI calculated on formula would have been US$518,383. However, the human resources and compensation committee decided to reduce her STI payment by C$41,000 and increase her long-term incentive by the same amount to better align to the company’s target pay mix.</t>
  </si>
  <si>
    <t>Mr. Schimper received a one-time performance-based cash award in the amount of C$75,000, awarded in 2021 and paid in 2022, upon achievement of specific safety and operational objectives at Tasiast.This has been excluded from the benchmarking.</t>
  </si>
  <si>
    <t>AH</t>
  </si>
  <si>
    <t>Jack Lundin</t>
  </si>
  <si>
    <t>Teitur Poulsen</t>
  </si>
  <si>
    <t>Juan Andres Morel</t>
  </si>
  <si>
    <t>David Dicaire</t>
  </si>
  <si>
    <t>Peter Brady</t>
  </si>
  <si>
    <t>David Dicaire transitioned from his employment with Lundin Mining Corporation to Vicuña Corp., the newly formed joint venture with BHP, effective January 15, 2025.</t>
  </si>
  <si>
    <t>General Counsel</t>
  </si>
  <si>
    <t>EVP, Josemaría Project</t>
  </si>
  <si>
    <t>Jack Lundin was promoted from President to Chief Executive Officer in December 2023</t>
  </si>
  <si>
    <t>2022-09-01</t>
  </si>
  <si>
    <t>2022-08-01</t>
  </si>
  <si>
    <t>2023-09-23</t>
  </si>
  <si>
    <t>LTIP excludes on-hire grant of 37,000 SU and 37,000 PSU valued at 6.71 USD each</t>
  </si>
  <si>
    <t xml:space="preserve"> David Dicaire joined the company on August 1, 2024</t>
  </si>
  <si>
    <t xml:space="preserve">Juan Andres Morel joined the Company on August 1, 2022. We have excluded from his performance equity grants for 2022 an initial on hire grant of 18,000 SUs and 50,000 options granted on August 15, 2022, using the fair value of C$11.54 and Black Scholes value of C$4.15 as at February 23, 2022. </t>
  </si>
  <si>
    <t>Mr. Poulsen joined the company on September 1, 2022</t>
  </si>
  <si>
    <t>His performance equity grants for 2022 include an initial on hire grant of 108,500 SUs and 106,400 Options on March 9, 2023, using the fair value of C$7.99 and Black Scholes value of C$2.57 as at March 9, 2023</t>
  </si>
  <si>
    <t>A portion of the STIP amounts awarded to Messrs. Lundin, Poulsen, Morel, and Brady is contingent upon the successful closing of the transaction involving the sale of the Neves Corvo and Zinkgruvan operations which is anticipated to close in mid-2025. The amounts payable on closing are C$425,000 for Jack Lundin, C$362,500 for Teitur Paulsen, CLP132,597,850 for Juan Andres Morel and C$307,500 for Peter Brady.</t>
  </si>
  <si>
    <t>John A. McCluskey</t>
  </si>
  <si>
    <t>Gregory Fisher</t>
  </si>
  <si>
    <t>Luc Guimond</t>
  </si>
  <si>
    <t>Luis Chavez</t>
  </si>
  <si>
    <t>Christopher Bostwick</t>
  </si>
  <si>
    <t>SVP, Mexico</t>
  </si>
  <si>
    <t>Mr. Guimond was promoted to COO on September 1 2022.</t>
  </si>
  <si>
    <t>Gregory Fisher was promoted to CFO on May 1, 2023; prior role was SVP Finance. Actual compensation reflects both roles</t>
  </si>
  <si>
    <t>Michael Steinmann</t>
  </si>
  <si>
    <t>Steven Busby</t>
  </si>
  <si>
    <t>Ignacio Couturier</t>
  </si>
  <si>
    <t>Christopher Lemon</t>
  </si>
  <si>
    <t>Sean McAleer</t>
  </si>
  <si>
    <t>SVP, Strategic Initiatives</t>
  </si>
  <si>
    <t>2023 AIP award total for Mr. McAleer includes a one-time CDN$30,000 special bonus paid for his contributions to the Yamana integration.This has been excluded from benchmarking.</t>
  </si>
  <si>
    <t>Restricted Shares as a component of compensation were removed from the LTIP guidelines in November 2024 and will not be issued for future LTIP awards.</t>
  </si>
  <si>
    <t>Cashel Meagher, current President &amp; COO, will succeed Mr. MacKenzie as CEO of Capstone in 2025</t>
  </si>
  <si>
    <t>John MacKenzie</t>
  </si>
  <si>
    <t>Cashel Meagher</t>
  </si>
  <si>
    <t>Raman Randhawa</t>
  </si>
  <si>
    <t>James Whittaker</t>
  </si>
  <si>
    <t>Wendy King</t>
  </si>
  <si>
    <t>President &amp; COO</t>
  </si>
  <si>
    <t>SVP, Head of Chile</t>
  </si>
  <si>
    <t>SVP, Risk, ESG, General Counsel &amp; Corporate Secretary</t>
  </si>
  <si>
    <t>2022-03-23</t>
  </si>
  <si>
    <t>2022-01-05</t>
  </si>
  <si>
    <t>Appointed COO Jan 5, 2022</t>
  </si>
  <si>
    <t>Mr. Meagher received a one-time make-whole equity award in 2022 - the value of which was not disclosed. For the purposes of this exercise, we have removed the portion of Actual LTIP received in 2022 above the 2022 Target LTIP (~$3M).</t>
  </si>
  <si>
    <t>Mr. Whittaker was appointed SVP, Head of Chile on August 1, 2023.</t>
  </si>
  <si>
    <t>Clive Johnson</t>
  </si>
  <si>
    <t>Michael Cinnamond</t>
  </si>
  <si>
    <t>William Lytle</t>
  </si>
  <si>
    <t>Randall Chatwin</t>
  </si>
  <si>
    <t>Victor King</t>
  </si>
  <si>
    <t>SVP, Finance &amp; CFO</t>
  </si>
  <si>
    <t>SVP, Operations &amp; COO</t>
  </si>
  <si>
    <t>SVP, Legal and Corporate Communications</t>
  </si>
  <si>
    <t>SVP, Exploration</t>
  </si>
  <si>
    <t>In 2022, Mr. Chatwin received a $2.4M retention award in the form of stock options; this has been excluded from our benchmarking analysis</t>
  </si>
  <si>
    <t>On October 1, 2022 Mr. King was promoted to Senior Vice President Exploration and received the equivalent of $200,000 value being 43,668 RSUs which was part of his promotion package</t>
  </si>
  <si>
    <t>Patrick Godin</t>
  </si>
  <si>
    <t>Keith Murphy</t>
  </si>
  <si>
    <t>Ankit Shah</t>
  </si>
  <si>
    <t>Luke Buchanan</t>
  </si>
  <si>
    <t>Yohann Bouchard</t>
  </si>
  <si>
    <t>EVP, Strategy &amp; Business Development</t>
  </si>
  <si>
    <t>VP, Technical Services</t>
  </si>
  <si>
    <t>Former EVP &amp; COO</t>
  </si>
  <si>
    <t>Mr. Bouchard's last day as Executive Vice President and Chief Operating Officer was January 31, 2025. Mr. Bouchard was appointed to the position effective April 11, 2023. For 2023, the salary and annual incentive plan award indicated is a pro-rated amount for time spent in such role.</t>
  </si>
  <si>
    <t>Mr. Murphy was appointed as Vice President, Finance on April 25, 2023. Mr. Murphy was as appointed Executive Vice President and Chief Financial OfficerJanuary 1, 2024.</t>
  </si>
  <si>
    <t>Gerard Bond</t>
  </si>
  <si>
    <t>Marius van Niekerk</t>
  </si>
  <si>
    <t>Peter Sharpe</t>
  </si>
  <si>
    <t>David Londoño</t>
  </si>
  <si>
    <t>Michelle Du Plessis</t>
  </si>
  <si>
    <t>EVP &amp; COO, Asia Pacific</t>
  </si>
  <si>
    <t>EVP &amp; COO, Americas</t>
  </si>
  <si>
    <t>EVP, Chief People &amp; Technology Officer</t>
  </si>
  <si>
    <t>Mr. Bond was appointed on April 4, 2022</t>
  </si>
  <si>
    <t>Mr. van Niekerk was appointed as CFO on May 23, 2023.</t>
  </si>
  <si>
    <t>Mr. Sharpe was appointed as COO Asia-Pacific in October 2022</t>
  </si>
  <si>
    <t>Mr. Londoño departed the Company on April 4, 2025. No additional compensation was provided in the form of severance, as Mr. Londoño resigned.</t>
  </si>
  <si>
    <t>Ms. Du Plessis was appointed as Chief People and Technology Officer in March 2023</t>
  </si>
  <si>
    <t>David Strang</t>
  </si>
  <si>
    <t>Makko DeFilippo</t>
  </si>
  <si>
    <t>Gelson Batista</t>
  </si>
  <si>
    <t>SVP, Operations</t>
  </si>
  <si>
    <t>Wayne Drier</t>
  </si>
  <si>
    <t>Courtney Lynn</t>
  </si>
  <si>
    <t>SVP, Corp. Dev., IR &amp; Sustain.</t>
  </si>
  <si>
    <t>On May 8, 2023, Mr. DeFilippo was promoted from President to President and COO. Mr. DeFilippo was granted $296k in PSUs and $579k in RSUs under the Share Unit Plan in connection with his May 8, 2023 promotion to President &amp; COO - these awards have been excluded from our benchmarking analysis</t>
  </si>
  <si>
    <t>NEO4</t>
  </si>
  <si>
    <t>NEO5</t>
  </si>
  <si>
    <t>sc</t>
  </si>
  <si>
    <t>Appointed Sept 1, 2023 ; was VP Mining Operations until Aug 31, 2023</t>
  </si>
  <si>
    <t>SC</t>
  </si>
  <si>
    <t xml:space="preserve">Mr. Sienko was promoted from VP &amp; General Counsel to SVP General Counsel &amp; Corporate Secretary in August 2024. Actual compensation for 2024 reflects both role; Targets reflect his new role. </t>
  </si>
  <si>
    <t>Mr. Krcmarov was appointed President and CEO November 7, 2024. His compensation for the year has been annualized, except for an on-hire grant of $3.195M in RSUs and PSUs which we have excluded. Target TDC reflects annual target STIP and LTIP</t>
  </si>
  <si>
    <t>Mr. Buchanan was appointed to the position effective April 11, 2023.</t>
  </si>
  <si>
    <t>Mr. Farid was appointed EVP, Chief Strategy Officer in March 2024, before which he served as EVP, Chief Corporate Officer since 2020. His 2024 actual compensation reflects both roles. Target TDC reflect his new target STIP and LTIP</t>
  </si>
  <si>
    <t>Has transitioned to President &amp; CEO as of January 1, 2025; 2024 Compensation reflects his tenure as President &amp; COO.</t>
  </si>
  <si>
    <t>Mr. Batista's employment with the Company commenced on September 12, 2024. Mr. Batista was granted $300k in PSUs, $150k in RSUs, and $161k in options - these awards have been excluded from the benchmarking analysis. 'Has transitioned to EVP &amp; COO as of January 1, 2025; 2024 Compensation reflects his tenure as SVP Operations.</t>
  </si>
  <si>
    <t>Has transitioned to EVP &amp; CFO as of January 1, 2025; 2024 Compensation reflects his tenure as CFO</t>
  </si>
  <si>
    <t>'Has transitioned to EVP, External Affairs &amp; Strategy as of January 1, 2025; 2024 Compensation reflects her tenure as SVP Corp. Dev., IR &amp; Sustainability</t>
  </si>
  <si>
    <t>QUESTION - REVIEW</t>
  </si>
  <si>
    <t>QUESTION - REVIEW ; 	Their CEO is transitioning to Exec Chair, with the COO transitioning to CEO and SVP Ops to COO and NEO3 remains NEO3. 
2025 salary is disclosed for the new roles... Do we keep the old roles or count 2025 new comp?</t>
  </si>
  <si>
    <t xml:space="preserve">Has transitioned to Executive Chairman as of January 1, 2025; 2024 Compensation reflects his tenure as CEO. </t>
  </si>
  <si>
    <t>Mr. Snyder was appointed Executive Vice President, CFO on  April 8, 2024, before which he was VP  Finance. His 2024 compensation reflects the blend of two roles.</t>
  </si>
  <si>
    <t>Role Match</t>
  </si>
  <si>
    <t>Look-Up2</t>
  </si>
  <si>
    <t>Legal</t>
  </si>
  <si>
    <t>Tech</t>
  </si>
  <si>
    <t>COO2</t>
  </si>
  <si>
    <t>Olivier Tavchandjian</t>
  </si>
  <si>
    <t>SVP, Exploration and Technical Services</t>
  </si>
  <si>
    <t>Rob Carter</t>
  </si>
  <si>
    <t>SVP, Canada</t>
  </si>
  <si>
    <t>Region</t>
  </si>
  <si>
    <t>x</t>
  </si>
  <si>
    <t>Lookup</t>
  </si>
  <si>
    <t>Role match</t>
  </si>
  <si>
    <t>Actual TDC</t>
  </si>
  <si>
    <t>TSX:K_2023_CEO</t>
  </si>
  <si>
    <t>TSX:PAAS_2023_CEO</t>
  </si>
  <si>
    <t>TSX:AGI_2023_CEO</t>
  </si>
  <si>
    <t>TSX:BTO_2023_CEO</t>
  </si>
  <si>
    <t>TSX:CS_2023_CEO</t>
  </si>
  <si>
    <t>NYSE:HL_2023_CEO</t>
  </si>
  <si>
    <t>TSX:SSRM_2023_CEO</t>
  </si>
  <si>
    <t>TSX:ELD_2023_CEO</t>
  </si>
  <si>
    <t>TSX:IMG_2023_CEO</t>
  </si>
  <si>
    <t>TSX:OGC
_2023_CEO</t>
  </si>
  <si>
    <t>TSX:NGD_2023_CEO</t>
  </si>
  <si>
    <t>TSX:CG_2023_CEO</t>
  </si>
  <si>
    <t>TSX:ERO_2023_CEO</t>
  </si>
  <si>
    <t>Kinross Gold Corporation</t>
  </si>
  <si>
    <t>Pan American Silver Corp.</t>
  </si>
  <si>
    <t>Alamos Gold Inc.</t>
  </si>
  <si>
    <t>B2Gold Corp.</t>
  </si>
  <si>
    <t>Capstone Copper Corp.</t>
  </si>
  <si>
    <t>Hecla Mining Company</t>
  </si>
  <si>
    <t>SSR Mining Inc.</t>
  </si>
  <si>
    <t>Eldorado Gold Corporation</t>
  </si>
  <si>
    <t>IAMGOLD Corporation</t>
  </si>
  <si>
    <t>OceanaGold Corporation</t>
  </si>
  <si>
    <t>New Gold Inc.</t>
  </si>
  <si>
    <t>Centerra Gold Inc.</t>
  </si>
  <si>
    <t>Ero Copper Corp.</t>
  </si>
  <si>
    <t>President and CEO</t>
  </si>
  <si>
    <t xml:space="preserve">Director, President and CEO </t>
  </si>
  <si>
    <t xml:space="preserve">CEO and Director </t>
  </si>
  <si>
    <t xml:space="preserve">President and CEO </t>
  </si>
  <si>
    <t>CEO and Director</t>
  </si>
  <si>
    <t>John McCluskey</t>
  </si>
  <si>
    <t xml:space="preserve">Clive Johnson </t>
  </si>
  <si>
    <t>Phillips S. Baker, Jr.</t>
  </si>
  <si>
    <t xml:space="preserve">Rod Antal </t>
  </si>
  <si>
    <t xml:space="preserve">George Burns </t>
  </si>
  <si>
    <t xml:space="preserve">Gerard Bond </t>
  </si>
  <si>
    <t xml:space="preserve">Patrick Godin </t>
  </si>
  <si>
    <t xml:space="preserve">Paul Tomory </t>
  </si>
  <si>
    <t xml:space="preserve">David Strang </t>
  </si>
  <si>
    <t>TSX:K_2023_CFO</t>
  </si>
  <si>
    <t>TSX:PAAS_2023_CFO</t>
  </si>
  <si>
    <t>TSX:LUN_2023_CFO</t>
  </si>
  <si>
    <t>TSX:AGI_2023_CFO</t>
  </si>
  <si>
    <t>TSX:BTO_2023_CFO</t>
  </si>
  <si>
    <t>TSX:CS_2023_CFO</t>
  </si>
  <si>
    <t>NYSE:HL_2023_CFO</t>
  </si>
  <si>
    <t>TSX:SSRM_2023_CFO</t>
  </si>
  <si>
    <t>TSX:ELD_2023_CFO</t>
  </si>
  <si>
    <t>TSX:IMG_2023_CFO</t>
  </si>
  <si>
    <t>TSX:OGC
_2023_CFO</t>
  </si>
  <si>
    <t>TSX:NGD_2023_CFO</t>
  </si>
  <si>
    <t>TSX:CG_2023_CFO</t>
  </si>
  <si>
    <t>TSX:ERO_2023_CFO</t>
  </si>
  <si>
    <t>Lundin Mining Corporation</t>
  </si>
  <si>
    <t xml:space="preserve">EVP and CFO </t>
  </si>
  <si>
    <t>SVP and CFO</t>
  </si>
  <si>
    <t>Former EVP and CFO</t>
  </si>
  <si>
    <t>Alison White</t>
  </si>
  <si>
    <t>Philip Yee</t>
  </si>
  <si>
    <t>Martin Theunissen</t>
  </si>
  <si>
    <t xml:space="preserve">Marius van Niekerk </t>
  </si>
  <si>
    <t>Robert Chausse</t>
  </si>
  <si>
    <t>Darren Millman</t>
  </si>
  <si>
    <t>TSX:K_2023_COO</t>
  </si>
  <si>
    <t>TSX:PAAS_2023_COO</t>
  </si>
  <si>
    <t>TSX:LUN_2023_COO</t>
  </si>
  <si>
    <t>TSX:AGI_2023_COO</t>
  </si>
  <si>
    <t>TSX:BTO_2023_COO</t>
  </si>
  <si>
    <t>TSX:CS_2023_COO</t>
  </si>
  <si>
    <t>TSX:SSRM_2023_COO</t>
  </si>
  <si>
    <t>TSX:ELD_2023_COO</t>
  </si>
  <si>
    <t>TSX:IMG_2023_COO</t>
  </si>
  <si>
    <t>TSX:OGC
_2023_COO</t>
  </si>
  <si>
    <t>TSX:NGD_2023_COO</t>
  </si>
  <si>
    <t>TSX:CG_2023_COO</t>
  </si>
  <si>
    <t>TSX:ERO_2023_COO</t>
  </si>
  <si>
    <t>EVP and COO</t>
  </si>
  <si>
    <t>Chief Operating Officer</t>
  </si>
  <si>
    <t>SVP, Operations and COO</t>
  </si>
  <si>
    <t>President and COO</t>
  </si>
  <si>
    <t xml:space="preserve">EVP Operations and Sustainability </t>
  </si>
  <si>
    <t>Former EVP and COO</t>
  </si>
  <si>
    <t>EVP and COO, Asia-Pacific</t>
  </si>
  <si>
    <t xml:space="preserve">Joseph Dick </t>
  </si>
  <si>
    <t xml:space="preserve">Paul Chawrun </t>
  </si>
  <si>
    <t>TSX:PAAS_2023_Legal</t>
  </si>
  <si>
    <t>TSX:LUN_2023_Legal</t>
  </si>
  <si>
    <t>TSX:AGI_2023_Legal</t>
  </si>
  <si>
    <t>TSX:BTO_2023_Legal</t>
  </si>
  <si>
    <t>TSX:CS_2023_Legal</t>
  </si>
  <si>
    <t>NYSE:HL_2023_Legal</t>
  </si>
  <si>
    <t>TSX:SSRM_2023_Legal</t>
  </si>
  <si>
    <t>TSX:ELD_2023_Legal</t>
  </si>
  <si>
    <t>TSX:IMG_2023_Legal</t>
  </si>
  <si>
    <t>TSX:NGD_2023_Legal</t>
  </si>
  <si>
    <t>TSX:CG_2023_Legal</t>
  </si>
  <si>
    <t>TSX:ERO_2023_Legal</t>
  </si>
  <si>
    <t>Nils F. Engelstad</t>
  </si>
  <si>
    <t xml:space="preserve">Randall Chatwin </t>
  </si>
  <si>
    <t xml:space="preserve">David C. Sienko </t>
  </si>
  <si>
    <t>Michael J. Sparks</t>
  </si>
  <si>
    <t xml:space="preserve">Frank Herbert </t>
  </si>
  <si>
    <t xml:space="preserve">Sean Keating </t>
  </si>
  <si>
    <t xml:space="preserve">Yousef Rehman </t>
  </si>
  <si>
    <t xml:space="preserve">Deepk Hundal </t>
  </si>
  <si>
    <t xml:space="preserve">General Counsel </t>
  </si>
  <si>
    <t>SVP, General Counsel</t>
  </si>
  <si>
    <t>SVP Legal and Coporate Communications</t>
  </si>
  <si>
    <t xml:space="preserve">SVP, Risk, ESG, General Counsel and Corporate Secretary </t>
  </si>
  <si>
    <t xml:space="preserve">VP and General Counsel </t>
  </si>
  <si>
    <t xml:space="preserve">EVP and Chief Legal Administrative Officer </t>
  </si>
  <si>
    <t>EVP, General Counsel and Chief Compliance Officer</t>
  </si>
  <si>
    <t xml:space="preserve">SVP, General Counsel and Corporate Secretary </t>
  </si>
  <si>
    <t xml:space="preserve">VP, General Counsel and Corporate Secretary </t>
  </si>
  <si>
    <t xml:space="preserve">EVP and General Counsel </t>
  </si>
  <si>
    <t xml:space="preserve">SVP, General Counsel  </t>
  </si>
  <si>
    <t>(NEO4)</t>
  </si>
  <si>
    <t>TSX:K_2023_NEO2</t>
  </si>
  <si>
    <t>TSX:PAAS_2023_NEO2</t>
  </si>
  <si>
    <t>TSX:LUN_2023_NEO2</t>
  </si>
  <si>
    <t>TSX:AGI_2023_NEO2</t>
  </si>
  <si>
    <t>TSX:BTO_2023_NEO2</t>
  </si>
  <si>
    <t>TSX:CS_2023_NEO2</t>
  </si>
  <si>
    <t>NYSE:HL_2023_NEO2</t>
  </si>
  <si>
    <t>TSX:SSRM_2023_NEO2</t>
  </si>
  <si>
    <t>TSX:ELD_2023_NEO2</t>
  </si>
  <si>
    <t>TSX:IMG_2023_NEO2</t>
  </si>
  <si>
    <t>TSX:OGC
_2023_NEO2</t>
  </si>
  <si>
    <t>TSX:NGD_2023_NEO2</t>
  </si>
  <si>
    <t>TSX:CG_2023_NEO2</t>
  </si>
  <si>
    <t>TSX:ERO_2023_NEO2</t>
  </si>
  <si>
    <t>David Londono</t>
  </si>
  <si>
    <t xml:space="preserve">Michael Richard </t>
  </si>
  <si>
    <t>EVP, Josemaria Project</t>
  </si>
  <si>
    <t xml:space="preserve">VP, Corporate Development and Sustainability </t>
  </si>
  <si>
    <t>EVP and COO, Americas</t>
  </si>
  <si>
    <t xml:space="preserve">EVP, Strategy and Business Development </t>
  </si>
  <si>
    <t>Chief Geological Officer</t>
  </si>
  <si>
    <t>TSX:K_2023_Tech</t>
  </si>
  <si>
    <t>TSX:PAAS_2023_Tech</t>
  </si>
  <si>
    <t>TSX:LUN_2023_Tech</t>
  </si>
  <si>
    <t>TSX:AGI_2023_Tech</t>
  </si>
  <si>
    <t>TSX:BTO_2023_Tech</t>
  </si>
  <si>
    <t>TSX:CS_2023_Tech</t>
  </si>
  <si>
    <t>NYSE:HL_2023_Tech</t>
  </si>
  <si>
    <t>TSX:SSRM_2023_Tech</t>
  </si>
  <si>
    <t>TSX:ELD_2023_Tech</t>
  </si>
  <si>
    <t>TSX:IMG_2023_Tech</t>
  </si>
  <si>
    <t>TSX:OGC
_2023_Tech</t>
  </si>
  <si>
    <t>TSX:NGD_2023_Tech</t>
  </si>
  <si>
    <t>TSX:CG_2023_Tech</t>
  </si>
  <si>
    <t>TSX:ERO_2023_Tech</t>
  </si>
  <si>
    <t xml:space="preserve">Christopher Botswick </t>
  </si>
  <si>
    <t xml:space="preserve">Victor King </t>
  </si>
  <si>
    <t>SVP and Chief Technical Officer</t>
  </si>
  <si>
    <t>(NEO5)</t>
  </si>
  <si>
    <t>TSX:K_2023_NEO3</t>
  </si>
  <si>
    <t>TSX:PAAS_2023_NEO3</t>
  </si>
  <si>
    <t>TSX:LUN_2023_NEO3</t>
  </si>
  <si>
    <t>TSX:BTO_2023_NEO3</t>
  </si>
  <si>
    <t>TSX:CS_2023_NEO3</t>
  </si>
  <si>
    <t>NYSE:HL_2023_NEO3</t>
  </si>
  <si>
    <t>TSX:SSRM_2023_NEO3</t>
  </si>
  <si>
    <t>TSX:ELD_2023_NEO3</t>
  </si>
  <si>
    <t>TSX:IMG_2023_NEO3</t>
  </si>
  <si>
    <t>TSX:NGD_2023_NEO3</t>
  </si>
  <si>
    <t>TSX:CG_2023_NEO3</t>
  </si>
  <si>
    <t>TSX:ERO_2023_NEO3</t>
  </si>
  <si>
    <t>Jerrold Annett</t>
  </si>
  <si>
    <t>Paul Ferneyhough</t>
  </si>
  <si>
    <t xml:space="preserve">Claudia D'Orazio </t>
  </si>
  <si>
    <t xml:space="preserve">SVP, Strategy &amp; Capital Markets </t>
  </si>
  <si>
    <t>SVP and Chief Strategy &amp; Commercial Officer</t>
  </si>
  <si>
    <t>SVP, People</t>
  </si>
  <si>
    <t xml:space="preserve">EVP, Human Resources and Info Tech </t>
  </si>
  <si>
    <t>2024 Total Direct Compensation</t>
  </si>
  <si>
    <t>2023 Total Direct Compensation</t>
  </si>
  <si>
    <t>New Incumbent?</t>
  </si>
  <si>
    <t>Target YoY Increase</t>
  </si>
  <si>
    <t>New Peer?</t>
  </si>
  <si>
    <t>Y</t>
  </si>
  <si>
    <t>Address</t>
  </si>
  <si>
    <t>AM29</t>
  </si>
  <si>
    <t>AM30</t>
  </si>
  <si>
    <t>AM31</t>
  </si>
  <si>
    <t>AM32</t>
  </si>
  <si>
    <t>W29</t>
  </si>
  <si>
    <t>W34</t>
  </si>
  <si>
    <t>W30</t>
  </si>
  <si>
    <t>W35</t>
  </si>
  <si>
    <t>W31</t>
  </si>
  <si>
    <t>W36</t>
  </si>
  <si>
    <t>W32</t>
  </si>
  <si>
    <t>W37</t>
  </si>
  <si>
    <t>W39</t>
  </si>
  <si>
    <t>tsx:hbm_2023_CEO</t>
  </si>
  <si>
    <t>Hudbay Minerals Inc.</t>
  </si>
  <si>
    <t xml:space="preserve">Peter Kukielski </t>
  </si>
  <si>
    <t>tsx:hbm_2023_CFO</t>
  </si>
  <si>
    <t>tsx:hbm_2023_COO</t>
  </si>
  <si>
    <t>tsx:hbm_2023_Legal</t>
  </si>
  <si>
    <t xml:space="preserve">Patrick Donnelly </t>
  </si>
  <si>
    <t>SVP, Legal and Ogranizational Effectiveness</t>
  </si>
  <si>
    <t>tsx:hbm_2023_NEO2</t>
  </si>
  <si>
    <t>tsx:hbm_2023_NEO4</t>
  </si>
  <si>
    <t>Olivier Tavchandjilan</t>
  </si>
  <si>
    <t>SVP, Exploration &amp; Technical Services</t>
  </si>
  <si>
    <t>tsx:hbm_2023_NEO3</t>
  </si>
  <si>
    <t xml:space="preserve">SVP, South America and USA </t>
  </si>
  <si>
    <t>AM39</t>
  </si>
  <si>
    <t>Company 1</t>
  </si>
  <si>
    <t>Company 2</t>
  </si>
  <si>
    <t>Company 3</t>
  </si>
  <si>
    <t>Company 4</t>
  </si>
  <si>
    <t>Specific Reference Peers</t>
  </si>
  <si>
    <t>Target TDC (Legal)</t>
  </si>
  <si>
    <t>Target TDC (NEO4)</t>
  </si>
  <si>
    <t>% Cash</t>
  </si>
  <si>
    <t>% Equity</t>
  </si>
  <si>
    <t>Hudbay</t>
  </si>
  <si>
    <t>AC30</t>
  </si>
  <si>
    <t>AD30</t>
  </si>
  <si>
    <t>AC39</t>
  </si>
  <si>
    <t>Check</t>
  </si>
  <si>
    <t>AD39</t>
  </si>
  <si>
    <t>AD41</t>
  </si>
  <si>
    <t>AC41</t>
  </si>
  <si>
    <t>F39</t>
  </si>
  <si>
    <t>F41</t>
  </si>
  <si>
    <t>G39</t>
  </si>
  <si>
    <t>G41</t>
  </si>
  <si>
    <t>Coo</t>
  </si>
  <si>
    <t>Pct Change</t>
  </si>
  <si>
    <t xml:space="preserve">Pct Change Legal </t>
  </si>
  <si>
    <t>Pct Change NEO4</t>
  </si>
  <si>
    <t>2023 Target TDC</t>
  </si>
  <si>
    <t>2024 Target TDC</t>
  </si>
  <si>
    <t>2025E Target TDC</t>
  </si>
  <si>
    <t>Gap P75-P50</t>
  </si>
  <si>
    <t>N</t>
  </si>
  <si>
    <t>TDC Same Incumbent</t>
  </si>
  <si>
    <t>Same Incumbent</t>
  </si>
  <si>
    <t>Target TDC 2024</t>
  </si>
  <si>
    <t>Distance P50 %</t>
  </si>
  <si>
    <t>Distance P50 $</t>
  </si>
  <si>
    <t>23/24</t>
  </si>
  <si>
    <t>24/25E</t>
  </si>
  <si>
    <t>TDC Same</t>
  </si>
  <si>
    <t xml:space="preserve">Pct Change </t>
  </si>
  <si>
    <t>Kinross</t>
  </si>
  <si>
    <t>Alamos</t>
  </si>
  <si>
    <t>B2Gold</t>
  </si>
  <si>
    <t>New Gold</t>
  </si>
  <si>
    <t>Eldorado</t>
  </si>
  <si>
    <t>Lundin</t>
  </si>
  <si>
    <t>Capstone</t>
  </si>
  <si>
    <t>Precious vs. Base</t>
  </si>
  <si>
    <t>Precious</t>
  </si>
  <si>
    <t>Base</t>
  </si>
  <si>
    <t>Total Assets</t>
  </si>
  <si>
    <t>from Feb. materials</t>
  </si>
  <si>
    <t>from proxy</t>
  </si>
  <si>
    <t>company</t>
  </si>
  <si>
    <t>min</t>
  </si>
  <si>
    <t>BASE metals</t>
  </si>
  <si>
    <t>max</t>
  </si>
  <si>
    <t>Difference</t>
  </si>
  <si>
    <t>Difference %</t>
  </si>
  <si>
    <t>average</t>
  </si>
  <si>
    <t>difference square</t>
  </si>
  <si>
    <t>LTIP target lower due to 3-yr avg now including lower year</t>
  </si>
  <si>
    <t xml:space="preserve"> Meaningful increase in pay: 
		○ Increase in salary 458 to 520
		○ Increase in target STIP 80 to 85%
		○ Increase in target LTIP 118to 155%</t>
  </si>
  <si>
    <t xml:space="preserve">increase in base 499 to 575; </t>
  </si>
  <si>
    <t>increase in STIP 75% to 80%</t>
  </si>
  <si>
    <t>lower</t>
  </si>
  <si>
    <t>HIGHER, LTIP target 150% to 175%  (new incumbent) and higher salary</t>
  </si>
  <si>
    <t xml:space="preserve">HIGHER, LTIP target 150% to 175% (new incumbent) outweighs salary decrease. </t>
  </si>
  <si>
    <t>increase in target LTIP from 200% to 294%</t>
  </si>
  <si>
    <t>increase in target LTIP from 145% to 159%</t>
  </si>
  <si>
    <t>no CEO last year</t>
  </si>
  <si>
    <t>higher salary, higher LTIP target (293% to 376%)</t>
  </si>
  <si>
    <t>increased salary 700 to 850, increased STIP target 125% to 130%</t>
  </si>
  <si>
    <t>Region2</t>
  </si>
  <si>
    <t>increase in STIP target 70% to 75%, increase in LTIP target 134% to 143%</t>
  </si>
  <si>
    <t>increase in target STIP 70% to 100% and target LTIP target 190% to 200%</t>
  </si>
  <si>
    <t>NOTE: from 12 peers to 8 peers</t>
  </si>
  <si>
    <t>Note: did not receive LTIP in 2024 given transition to Vicuna corp</t>
  </si>
  <si>
    <t>increased STIP target from 90% to 95%</t>
  </si>
  <si>
    <t>LTPI target used in last year exercise referred to 2023 proxy and was meaningfully above typical grants… have adjusted this year to using 3-Yr average; resulting in 200% to 167% shift</t>
  </si>
  <si>
    <t xml:space="preserve"> </t>
  </si>
  <si>
    <t>salary increased from 274 to 486, LTIP target increased from 804$ to 1030$ (decreased on %)</t>
  </si>
  <si>
    <t>decrease in LTIP target %, legit and double-checked in proxies</t>
  </si>
  <si>
    <t>increase in STIP target 60% to 65%, increase in LTIP target 130% to 150%</t>
  </si>
  <si>
    <t>lower salary due to change in FX CLP/USD change</t>
  </si>
  <si>
    <t>Salary increased from 512 to 650, increased STIP target 80% to 85% and increased LTIP target from 162% to 170%</t>
  </si>
  <si>
    <t>Salary increased from 709 to 822, increased and increased LTIP target from 150% to 175%</t>
  </si>
  <si>
    <t>increased LTIP target from 158% to 231%, based on 3-yr avg</t>
  </si>
  <si>
    <t>salary increased 425 to 445, STIP target increased from 60% to 70%, target LTIP increased from 119% to 155%</t>
  </si>
  <si>
    <t>Target LTIP decreased due to change in 3-yr avg (LTIP $ target did not change, but salary did)</t>
  </si>
  <si>
    <t>W28</t>
  </si>
  <si>
    <t>W38</t>
  </si>
  <si>
    <t>W33</t>
  </si>
  <si>
    <t>Salary increased from 560 to 600, increased STIP target 75% to 80% and increased LTIP target from 150% to 160%</t>
  </si>
  <si>
    <t>Distance From P25</t>
  </si>
  <si>
    <t>OceanaGold (1)</t>
  </si>
  <si>
    <t>OceanaGold (2)</t>
  </si>
  <si>
    <r>
      <rPr>
        <b/>
        <sz val="12"/>
        <color rgb="FF000000"/>
        <rFont val="Calibri"/>
        <family val="2"/>
        <scheme val="minor"/>
      </rPr>
      <t>Note</t>
    </r>
    <r>
      <rPr>
        <sz val="12"/>
        <color rgb="FF000000"/>
        <rFont val="Calibri"/>
        <family val="2"/>
        <scheme val="minor"/>
      </rPr>
      <t>: 2023 summary statistics are shown in the 2024 report and include previous incumbents</t>
    </r>
  </si>
  <si>
    <t>salary increase from 880 to 931, LTIP target increase from 300 to 393%</t>
  </si>
  <si>
    <t>Distance P25 %</t>
  </si>
  <si>
    <t>no longer disclosed top 5</t>
  </si>
  <si>
    <t xml:space="preserve">Now the EVP &amp; CFO, previously the EVP and Chief Legal Administrative Officer </t>
  </si>
  <si>
    <t>W17</t>
  </si>
  <si>
    <t>W18</t>
  </si>
  <si>
    <t>W19</t>
  </si>
  <si>
    <t>W20</t>
  </si>
  <si>
    <t>W22</t>
  </si>
  <si>
    <t>W27</t>
  </si>
  <si>
    <t>W23</t>
  </si>
  <si>
    <t>W24</t>
  </si>
  <si>
    <t>W25</t>
  </si>
  <si>
    <t>N/A</t>
  </si>
  <si>
    <t>Mr. Schimper's other compensation includes administrative costs relative to his long-term savings plan, hence relatively high amount in 2022 (prior to which represented amounts of &gt;$1M).</t>
  </si>
  <si>
    <t>Appointed as CEO March 23, 2022; Other compensation includes relocation and relocation and signing bonus as well as tax gross ups for a total value of $301,075, which we have excluded</t>
  </si>
  <si>
    <t>Other compensation as disclosed has been revised to include dividends vested on RSUs and PSUs, which we have excluded for the purpose of this exercise</t>
  </si>
  <si>
    <t>n.d.</t>
  </si>
  <si>
    <t>W</t>
  </si>
  <si>
    <t>AA</t>
  </si>
  <si>
    <t>Row</t>
  </si>
  <si>
    <t>Change in Summary Statistics</t>
  </si>
  <si>
    <t>Percentiles</t>
  </si>
  <si>
    <t>Percentile</t>
  </si>
  <si>
    <t>Outpaced Median growth?</t>
  </si>
  <si>
    <t>Outpaced P25 growth?</t>
  </si>
  <si>
    <t>Hudbay2</t>
  </si>
  <si>
    <t>Hudbay3</t>
  </si>
  <si>
    <t>CIQANR_081a3e368f9b417c8ff4e09aa708c00b</t>
  </si>
  <si>
    <t>CIQANR_d0c5fc5b84c44675a9274e121233bd2d</t>
  </si>
  <si>
    <t>CIQANR_9d65c1c077454736b01512d6739b1647</t>
  </si>
  <si>
    <t>Avg</t>
  </si>
  <si>
    <t xml:space="preserve"> Other compensation includes tax top-ups for duplicate tax levied on income in US and Peru (-421713)</t>
  </si>
  <si>
    <t xml:space="preserve"> Other compensation includes relocation/travel allowances (-456754)</t>
  </si>
  <si>
    <t>n/a</t>
  </si>
  <si>
    <t>CIQANR_dbd5665a8b704b3ab5042ce98739c226</t>
  </si>
  <si>
    <t>CIQANR_a1659ae407434094823a49e173dbcb9c</t>
  </si>
  <si>
    <t>CIQANR_e0a8f13b52f9480a874aa5765dc88c56</t>
  </si>
  <si>
    <t>Javier, Excl. tax top-ups</t>
  </si>
  <si>
    <t>Role</t>
  </si>
  <si>
    <t>Peer Median</t>
  </si>
  <si>
    <t>Variance to Median</t>
  </si>
  <si>
    <t>X39</t>
  </si>
  <si>
    <t>X30</t>
  </si>
  <si>
    <t>F27</t>
  </si>
  <si>
    <t>X27</t>
  </si>
  <si>
    <t>X18</t>
  </si>
  <si>
    <t>F38</t>
  </si>
  <si>
    <t>X38</t>
  </si>
  <si>
    <t>X29</t>
  </si>
  <si>
    <t>Y38</t>
  </si>
  <si>
    <t>Y29</t>
  </si>
  <si>
    <t>Y27</t>
  </si>
  <si>
    <t>Y18</t>
  </si>
  <si>
    <t>Y39</t>
  </si>
  <si>
    <t>Y30</t>
  </si>
  <si>
    <t>CEO (Kukielski)</t>
  </si>
  <si>
    <t>CFO (Lei)</t>
  </si>
  <si>
    <t>COO (Lauzon)</t>
  </si>
  <si>
    <t>Legal (Donnelly)</t>
  </si>
  <si>
    <t>NEO4 (Donnelly)</t>
  </si>
  <si>
    <t>NEO5 (Del Rio)</t>
  </si>
  <si>
    <t>Executive</t>
  </si>
  <si>
    <t>Target STIP (%)</t>
  </si>
  <si>
    <t>Target STIP ($)</t>
  </si>
  <si>
    <t>Target Total ($)</t>
  </si>
  <si>
    <t>Target LTIP (%)</t>
  </si>
  <si>
    <t>Target LTIP ($)</t>
  </si>
  <si>
    <t>Target TDC ($)</t>
  </si>
  <si>
    <t>SVP, US</t>
  </si>
  <si>
    <t>SVP, Legal &amp; Organizational Effectiveness</t>
  </si>
  <si>
    <t>CIQANR_9c7634c39731443f994e42ffd2a0ebd2</t>
  </si>
  <si>
    <r>
      <t>Javier Del Rio</t>
    </r>
    <r>
      <rPr>
        <vertAlign val="superscript"/>
        <sz val="11"/>
        <color rgb="FF000000"/>
        <rFont val="Calibri"/>
        <family val="2"/>
        <scheme val="minor"/>
      </rPr>
      <t>1</t>
    </r>
  </si>
  <si>
    <t>CIQANR_eea84e77db684f4580a8825b75daf9f0</t>
  </si>
  <si>
    <t>CIQANR_dabfefba8de946338bdcf85bdfeead94</t>
  </si>
  <si>
    <t>CIQANR_f6654dc9453a44898392ee4c3bfdb5e2</t>
  </si>
  <si>
    <t>CIQANR_d96f41dda1764f8cb3274351e01b690e</t>
  </si>
  <si>
    <t>2024 Target</t>
  </si>
  <si>
    <t>Increase YoY</t>
  </si>
  <si>
    <t>Other Notes</t>
  </si>
  <si>
    <t>EVP Josemaria Project: Oversees the development and execution of the Josemaría Project, a major copper-gold project in Argentina.
- Lead project development and construction activities.
- Manage Owner and EPCM teams for large-scale mining projects.
- Ensure compliance with safety, sustainability, and operational standards.</t>
  </si>
  <si>
    <t>Argentina</t>
  </si>
  <si>
    <t>Time in Benchmarked Role (as of end of FY2024)</t>
  </si>
  <si>
    <t>No</t>
  </si>
  <si>
    <t>Oversight of Mexico operationas; responsible for government relations, regulatory affairs at the community, state and federal levels, land management and
permitting matters in Mexico</t>
  </si>
  <si>
    <t>Mexico</t>
  </si>
  <si>
    <t>Yes, Has transitioned to SVP &amp; COO, in May 2025</t>
  </si>
  <si>
    <t>Yes, Has transitioned from Lundin to be General Manager at Vicuna Corp. (a JV with BHP), in January 2025</t>
  </si>
  <si>
    <r>
      <t>CAD (</t>
    </r>
    <r>
      <rPr>
        <i/>
        <sz val="11"/>
        <rFont val="Tahoma"/>
        <family val="2"/>
      </rPr>
      <t>though not explicitly specified</t>
    </r>
    <r>
      <rPr>
        <sz val="11"/>
        <rFont val="Tahoma"/>
        <family val="2"/>
      </rPr>
      <t>)</t>
    </r>
  </si>
  <si>
    <r>
      <t xml:space="preserve">CAD </t>
    </r>
    <r>
      <rPr>
        <i/>
        <sz val="11"/>
        <rFont val="Tahoma"/>
        <family val="2"/>
      </rPr>
      <t>(though not explicitly specified)</t>
    </r>
  </si>
  <si>
    <t>Managed all Chilean operations, including Mantoverde and Mantos Blancos projects.
- Complete project ramp-up and achieve full operational capacity.
- Execute construction of Santo Domingo project and growth studies.
- Ensure safety, efficiency, and stakeholder engagement.</t>
  </si>
  <si>
    <t>Chile</t>
  </si>
  <si>
    <t>ND</t>
  </si>
  <si>
    <t>ND, his linkedin says Greater Perth Area (AUS) and in the job, it says "Greece - Remote"</t>
  </si>
  <si>
    <t>Australia</t>
  </si>
  <si>
    <t>Yes, Has transitioned from Oceana to be President &amp; CEO at Mineros S.A, in April 2025</t>
  </si>
  <si>
    <t>AUS</t>
  </si>
  <si>
    <t>United States</t>
  </si>
  <si>
    <t>Haile Mine</t>
  </si>
  <si>
    <t>Wahi mine, Macraes Mine, Didipio Mine</t>
  </si>
  <si>
    <t>Mantoverde (Chile), Mantos Blancos (Chile)</t>
  </si>
  <si>
    <t>Mulatos District (Mexico): La Yaqui Grande mine + Puerta del Aire development</t>
  </si>
  <si>
    <t>Josemaria (Chile) + Exploration of Filo del Sol (Chile)</t>
  </si>
  <si>
    <t>ND, but Olimpias is only operating mine in Greece
+ Development (per his title) of Skouries and Perama Hill, both in Greece</t>
  </si>
  <si>
    <t>Location of Role Benchmarked</t>
  </si>
  <si>
    <t>Currency of Pay for Role Benchmarked</t>
  </si>
  <si>
    <t>Disclosed Responsibilities for Role Benchmarked</t>
  </si>
  <si>
    <t>Assets Overseen per Role Benchmarked</t>
  </si>
  <si>
    <t>Change in Role since end of FY2024?</t>
  </si>
  <si>
    <t>Leading the Haile operation's transformation and development of the Haile Underground once permitted</t>
  </si>
  <si>
    <r>
      <t>1 (</t>
    </r>
    <r>
      <rPr>
        <b/>
        <i/>
        <sz val="11"/>
        <rFont val="Tahoma"/>
        <family val="2"/>
      </rPr>
      <t>if don't count SVP South America &amp; US BU)</t>
    </r>
  </si>
  <si>
    <t>Arizona &amp; Nevada Developments</t>
  </si>
  <si>
    <t>Per his own linkedin:
"Leading OceanaGold’s New Zealand operations – in the world class gold deposit at Waihi and the country’s largest active gold producing mine at Macraes. I am also responsible for the Didipio Mine in the Philippines and leading the Company’s Asset Management and Continuous Improvement functions."</t>
  </si>
  <si>
    <t>Per his own linkedin:
"Leading the US Business Unit , developing the Arizona projects and the Nevada Projects. Responsable for the delivery strategy, financial results, external and government affairs at local, state and federal level, talent development, and strategic plan for the business.
This includes market interactions such as participation in road shows, presentation to potential investors, hosting analyst visits, etc."</t>
  </si>
  <si>
    <t>BAABTAVMT0NBTAFI/////wFQ/QAAAB9DSVEuVFNYOlMuSVFfVEVWLjIwMjUtMTEtMTQuQ0FEAQAAAAlvDQACAAAACjI2Ny40MzYwODUBBgAAAAUAAAABMQEAAAALLTE5MTgxNDIxMTYDAAAAAjI3AgAAAAYxMDAwNjAEAAAAATAHAAAACjExLzEzLzIwMjVC3UgBkyPeCAulCwajI94IH0NJUS5UU1g6Sy5JUV9URVYuMjAyNS0xMS0xNC5DQUQBAAAA24gEAAIAAAAKNDI1NzkuNzE4NgEGAAAABQAAAAExAQAAAAstMTkxODUxNzUzMAMAAAACMjcCAAAABjEwMDA2MAQAAAABMAcAAAAKMTEvMTMvMjAyNULdSAGTI94ICAkOBqMj3ggfQ0lRLlRTWDpDLklRX1RFVi4yMDI1LTExLTE0LkNBRAUAAAAAAAAACAAAABQoSW52YWxpZCBJZGVudGlmaWVyKULdSAGTI94ICAkOBqMj3gglQ0lRLlRTWDpTLklRX01BUktFVENBUC4yMDI1LTExLTE0LkNBRAEAAAAJbw0AAgAAAAk2Mi4wMzYwODUBBgAAAAUAAAABMQEAAAALLTE5MTgxNDIxMTYDAAAAAjI3AgAAAAYxMDAwNTQEAAAAATAHAAAACjExLzEzLzIwMjVC3UgBkyPeCAulCwajI94IJUNJUS5UU1g6Qy5JUV9NQVJLRVRDQVAuMjAyNS0xMS0xNC5DQUQFAAAAAAAAAAgAAAAUKEludmFsaWQgSWRlbnRpZmllcilC3UgBkyPeCAgJDgajI94IH0NJUS5UU1g6US5JUV9URVYuMjAyNS0xMS0xNC5DQUQFAAAAAAAAAAgAAAAUKEludmFsaWQgSWRlbnRpZmllcilC3UgBkyPeCAul</t>
  </si>
  <si>
    <t>CwajI94IH0NJUS5UU1g6SS5JUV9URVYuMjAyNS0xMS0xNC5DQUQFAAAAAAAAAAgAAAAUKEludmFsaWQgSWRlbnRpZmllcilC3UgBkyPeCAgJDgajI94IH0NJUS5UU1g6QS5JUV9URVYuMjAyNS0xMS0xNC5DQUQFAAAAAAAAAAgAAAAUKEludmFsaWQgSWRlbnRpZmllcilC3UgBkyPeCAgJDgajI94IJUNJUS5UU1g6US5JUV9NQVJLRVRDQVAuMjAyNS0xMS0xNC5DQUQFAAAAAAAAAAgAAAAUKEludmFsaWQgSWRlbnRpZmllcilC3UgBkyPeCAgJDgajI94IH0NJUS5UU1g6SC5JUV9URVYuMjAyNS0xMS0xNC5DQUQBAAAAcbQkAAIAAAAMNTA1MDQuMzU1MjUzAQYAAAAFAAAAATEBAAAACy0xOTMxNDg5NTExAwAAAAIyNwIAAAAGMTAwMDYwBAAAAAEwBwAAAAoxMS8xMy8yMDI1Qt1IAZMj3ggICQ4GoyPeCCVDSVEuVFNYOlAuSVFfTUFSS0VUQ0FQLjIwMjUtMTEtMTQuQ0FEBQAAAAAAAAAIAAAAFChJbnZhbGlkIElkZW50aWZpZXIpQt1IAZMj3ggICQ4GoyPeCCVDSVEuVFNYOk8uSVFfTUFSS0VUQ0FQLjIwMjUtMTEtMTQuQ0FEBQAAAAAAAAAIAAAAFChJbnZhbGlkIElkZW50aWZpZXIpQt1IAZMj3ggICQ4GoyPeCB9DSVEuVFNYOkYuSVFfVEVWLjIwMjUtMTEtMTQuQ0FEBQAAAAAAAAAIAAAAFChJbnZhbGlkIElkZW50aWZpZXIpQt1IAZMj3ggICQ4GoyPeCCVDSVEuVFNYOksuSVFfTUFSS0VUQ0FQLjIwMjUtMTEt</t>
  </si>
  <si>
    <t>MTQuQ0FEAQAAANuIBAACAAAACDQzMjE0LjE4AQYAAAAFAAAAATEBAAAACy0xOTE4NTE3NTMwAwAAAAIyNwIAAAAGMTAwMDU0BAAAAAEwBwAAAAoxMS8xMy8yMDI1Qt1IAZMj3ggICQ4GoyPeCB9DSVEuVFNYOlIuSVFfVEVWLjIwMjUtMTEtMTQuQ0FEBQAAAAAAAAAIAAAAFChJbnZhbGlkIElkZW50aWZpZXIpQt1IAZMj3ggLpQsGoyPeCB9DSVEuVFNYOkouSVFfVEVWLjIwMjUtMTEtMTQuQ0FEAQAAABaFEBADAAAAAABC3UgBkyPeCAgJDgajI94IH0NJUS5UU1g6Qi5JUV9URVYuMjAyNS0xMS0xNC5DQUQFAAAAAAAAAAgAAAAUKEludmFsaWQgSWRlbnRpZmllcilC3UgBkyPeCAgJDgajI94IJUNJUS5UU1g6Ui5JUV9NQVJLRVRDQVAuMjAyNS0xMS0xNC5DQUQFAAAAAAAAAAgAAAAUKEludmFsaWQgSWRlbnRpZmllcilC3UgBkyPeCAulCwajI94IJUNJUS5UU1g6Si5JUV9NQVJLRVRDQVAuMjAyNS0xMS0xNC5DQUQBAAAAFoUQEAMAAAAAAELdSAGTI94ICAkOBqMj3gglQ0lRLlRTWDpCLklRX01BUktFVENBUC4yMDI1LTExLTE0LkNBRAUAAAAAAAAACAAAABQoSW52YWxpZCBJZGVudGlmaWVyKULdSAGTI94ICAkOBqMj3gglQ0lRLlRTWDpHLklRX01BUktFVENBUC4yMDI1LTExLTE0LkNBRAEAAAAgnLsGAwAAAAAAQt1IAZMj3ggICQ4GoyPeCCVDSVEuVFNYOk4uSVFfTUFSS0VUQ0FQLjIwMjUtMTEtMTQuQ0FE</t>
  </si>
  <si>
    <t>BQAAAAAAAAAIAAAAFChJbnZhbGlkIElkZW50aWZpZXIpQt1IAZMj3ggICQ4GoyPeCCVDSVEuVFNYOkYuSVFfTUFSS0VUQ0FQLjIwMjUtMTEtMTQuQ0FEBQAAAAAAAAAIAAAAFChJbnZhbGlkIElkZW50aWZpZXIpQt1IAZMj3ggICQ4GoyPeCCVDSVEuVFNYOk0uSVFfTUFSS0VUQ0FQLjIwMjUtMTEtMTQuQ0FEBQAAAAAAAAAIAAAAFChJbnZhbGlkIElkZW50aWZpZXIpQt1IAZMj3ggICQ4GoyPeCB9DSVEuVFNYOlQuSVFfVEVWLjIwMjUtMTEtMTQuQ0FEAQAAAKEiCQACAAAACDYxNzcxLjc2AQYAAAAFAAAAATEBAAAACy0xOTE4MDM1MTMyAwAAAAIyNwIAAAAGMTAwMDYwBAAAAAEwBwAAAAoxMS8xMy8yMDI1Qt1IAZMj3ggLpQsGoyPeCB9DSVEuVFNYOkQuSVFfVEVWLjIwMjUtMTEtMTQuQ0FEBQAAAAAAAAAIAAAAFChJbnZhbGlkIElkZW50aWZpZXIpQt1IAZMj3ggICQ4GoyPeCCVDSVEuVFNYOkwuSVFfTUFSS0VUQ0FQLjIwMjUtMTEtMTQuQ0FEAQAAAElVDQACAAAADDY5ODg0LjI0OTg1NQEGAAAABQAAAAExAQAAAAstMTkyNDQwNTMwOAMAAAACMjcCAAAABjEwMDA1NAQAAAABMAcAAAAKMTEvMTMvMjAyNULdSAGTI94ICAkOBqMj3gglQ0lRLlRTWDpBLklRX01BUktFVENBUC4yMDI1LTExLTE0LkNBRAUAAAAAAAAACAAAABQoSW52YWxpZCBJZGVudGlmaWVyKULdSAGTI94ICAkOBqMj3gggQ0lRLlRTWDpS</t>
  </si>
  <si>
    <t>WS5JUV9URVYuMjAyNS0xMS0xNC5DQUQBAAAA8awBAAMAAAAAAELdSAGTI94ICAkOBqMj3gglQ0lRLlRTWDpILklRX01BUktFVENBUC4yMDI1LTExLTE0LkNBRAEAAABxtCQAAgAAAAwzMjAxMC4zNTUyNTMBBgAAAAUAAAABMQEAAAALLTE5MzE0ODk1MTEDAAAAAjI3AgAAAAYxMDAwNTQEAAAAATAHAAAACjExLzEzLzIwMjVC3UgBkyPeCAgJDgajI94IH0NJUS5UU1g6Ry5JUV9URVYuMjAyNS0xMS0xNC5DQUQBAAAAIJy7BgMAAAAAAELdSAGTI94ICAkOBqMj3ggfQ0lRLlRTWDpOLklRX1RFVi4yMDI1LTExLTE0LkNBRAUAAAAAAAAACAAAABQoSW52YWxpZCBJZGVudGlmaWVyKULdSAGTI94ICAkOBqMj3ggfQ0lRLlRTWDpNLklRX1RFVi4yMDI1LTExLTE0LkNBRAUAAAAAAAAACAAAABQoSW52YWxpZCBJZGVudGlmaWVyKULdSAGTI94ICAkOBqMj3ggfQ0lRLlRTWDpFLklRX1RFVi4yMDI1LTExLTE0LkNBRAEAAADS22YBAgAAAAoxMTkuMjMyMzkzAQYAAAAFAAAAATEBAAAACy0xOTMwODI3ODk1AwAAAAIyNwIAAAAGMTAwMDYwBAAAAAEwBwAAAAoxMS8xMy8yMDI1Qt1IAZMj3ggICQ4GoyPeCCVDSVEuVFNYOkUuSVFfTUFSS0VUQ0FQLjIwMjUtMTEtMTQuQ0FEAQAAANLbZgECAAAACjEwMi4xNjM2NjQBBgAAAAUAAAABMQEAAAALLTE5MzA4Mjc4OTUDAAAAAjI3AgAAAAYxMDAwNTQEAAAAATAHAAAACjExLzEz</t>
  </si>
  <si>
    <t>LzIwMjVC3UgBkyPeCAgJDgajI94IH0NJUS5UU1g6TC5JUV9URVYuMjAyNS0xMS0xNC5DQUQBAAAASVUNAAIAAAAMODc5MzQuMjQ5ODU0AQYAAAAFAAAAATEBAAAACy0xOTI0NDA1MzA4AwAAAAIyNwIAAAAGMTAwMDYwBAAAAAEwBwAAAAoxMS8xMy8yMDI1Qt1IAZMj3ggICQ4GoyPeCCVDSVEuVFNYOlQuSVFfTUFSS0VUQ0FQLjIwMjUtMTEtMTQuQ0FEAQAAAKEiCQACAAAACDMxOTE5Ljc2AQYAAAAFAAAAATEBAAAACy0xOTE4MDM1MTMyAwAAAAIyNwIAAAAGMTAwMDU0BAAAAAEwBwAAAAoxMS8xMy8yMDI1Qt1IAZMj3ggLpQsGoyPeCCVDSVEuVFNYOkQuSVFfTUFSS0VUQ0FQLjIwMjUtMTEtMTQuQ0FEBQAAAAAAAAAIAAAAFChJbnZhbGlkIElkZW50aWZpZXIpQt1IAZMj3ggICQ4GoyPeCCVDSVEuVFNYOkkuSVFfTUFSS0VUQ0FQLjIwMjUtMTEtMTQuQ0FEBQAAAAAAAAAIAAAAFChJbnZhbGlkIElkZW50aWZpZXIpQt1IAZMj3ggICQ4GoyPeCB9DSVEuVFNYOlAuSVFfVEVWLjIwMjUtMTEtMTQuQ0FEBQAAAAAAAAAIAAAAFChJbnZhbGlkIElkZW50aWZpZXIpQt1IAZMj3ggICQ4GoyPeCCZDSVEuVFNYOlJZLklRX01BUktFVENBUC4yMDI1LTExLTE0LkNBRAEAAADxrAEAAgAAAA0yODkyMTcuMjI0MDI0AQYAAAAFAAAAATEBAAAACy0xOTI3NTY4NTE0AwAAAAIyNwIAAAAGMTAwMDU0BAAAAAEwBwAAAAoxMS8x</t>
  </si>
  <si>
    <t>My8yMDI1Qt1IAZMj3ggICQ4GoyPeCB9DSVEuVFNYOk8uSVFfVEVWLjIwMjUtMTEtMTQuQ0FEBQAAAAAAAAAIAAAAFChJbnZhbGlkIElkZW50aWZpZXIpQt1IAZMj3ggICQ4GoyPeCC9DSVEuVFNYOksuSVFfVE9UQUxfQVNTRVRTLjIwMDAuMjAyNS0wNy0xMC4uLkNBRAEAAADbiAQAAgAAAAwxNTYzNC40NzI3MjQBCAAAAAUAAAABMQEAAAALLTE5MzQxMTAyMTEDAAAAAjI3AgAAAAQxMDA3BAAAAAEwBwAAAAk3LzEwLzIwMjUIAAAACTYvMzAvMjAyNQkAAAABMELdSAGTI94I4lfRA5Mj3ggxQ0lRLlRTWDpCVE8uSVFfVE9UQUxfQVNTRVRTLjIwMDAuMjAyNS0wNy0xMC4uLkNBRAEAAADp3R0CAgAAAAo3MjM3LjE0MzA2AQgAAAAFAAAAATEBAAAACy0xOTMyNjg5NTg3AwAAAAIyNwIAAAAEMTAwNwQAAAABMAcAAAAJNy8xMC8yMDI1CAAAAAk2LzMwLzIwMjUJAAAAATBC3UgBkyPeCHAv0gOTI94IMUNJUS5OWVNFOkhMLklRX1RPVEFMX0FTU0VUUy4yMDAwLjIwMjUtMDctMTAuLi5DQUQBAAAAXz4EAAIAAAAKNDUxMy40OTY5MQEIAAAABQAAAAExAQAAAAstMTkzMjk3ODk4MAMAAAACMjcCAAAABDEwMDcEAAAAATAHAAAACTcvMTAvMjAyNQgAAAAJNi8zMC8yMDI1CQAAAAEwQt1IAZMj3ghwL9IDkyPeCDFDSVEuVFNYOk9HQy5JUV9UT1RBTF9BU1NFVFMuMjAwMC4yMDI1LTA3LTEwLi4uQ0FEAQAAAIcUjwACAAAA</t>
  </si>
  <si>
    <t>CzM3OTQuMzk0OTA2AQgAAAAFAAAAATEBAAAACy0xOTMyOTY2Nzg2AwAAAAIyNwIAAAAEMTAwNwQAAAABMAcAAAAJNy8xMC8yMDI1CAAAAAk2LzMwLzIwMjUJAAAAATBC3UgBkyPeCNuX1AOTI94IMkNJUS5UU1g6U1NSTS5JUV9UT1RBTF9BU1NFVFMuMjAwMC4yMDI1LTA3LTEwLi4uQ0FEAQAAANhLBgACAAAACzc5MDQuNzY0ODA1AQgAAAAFAAAAATEBAAAACy0xOTMzMjExNTkxAwAAAAIyNwIAAAAEMTAwNwQAAAABMAcAAAAJNy8xMC8yMDI1CAAAAAk2LzMwLzIwMjUJAAAAATBC3UgBkyPeCNuX1AOTI94IMUNJUS5UU1g6TFVOLklRX1RPVEFMX0FTU0VUUy4yMDAwLjIwMjUtMDctMTAuLi5DQUQBAAAAp24NAAIAAAAMMTM0NjIuOTM0ODMyAQgAAAAFAAAAATEBAAAACy0xOTMyOTY2Nzk4AwAAAAIyNwIAAAAEMTAwNwQAAAABMAcAAAAJNy8xMC8yMDI1CAAAAAk2LzMwLzIwMjUJAAAAATBC3UgBkyPeCHAv0gOTI94IMENJUS5UU1g6Q1MuSVFfVE9UQUxfQVNTRVRTLjIwMDAuMjAyNS0wNy0xMC4uLkNBRAEAAACJBSYAAgAAAAs5MDE3LjQ5NzI2MwEIAAAABQAAAAExAQAAAAstMTkzMzk5MjIwOQMAAAACMjcCAAAABDEwMDcEAAAAATAHAAAACTcvMTAvMjAyNQgAAAAJNi8zMC8yMDI1CQAAAAEwQt1IAZMj3ghwL9IDkyPeCDFDSVEuVFNYOk5HRC5JUV9UT1RBTF9BU1NFVFMuMjAwMC4yMDI1LTA3LTEwLi4uQ0FE</t>
  </si>
  <si>
    <t>AQAAAA1pSgACAAAACzMzNTcuMjc3Nzc2AQgAAAAFAAAAATEBAAAACy0xOTM0Njc5NTk2AwAAAAIyNwIAAAAEMTAwNwQAAAABMAcAAAAJNy8xMC8yMDI1CAAAAAk2LzMwLzIwMjUJAAAAATBC3UgBkyPeCHAv0gOTI94ILkNJUS5UU1g6T0dDLklRX1RPVEFMX1JFVi4yMDAwLjIwMjUtMDctMTAuLi5DQUQBAAAAhxSPAAIAAAALMjEzNC4xNjgxMjgBCAAAAAUAAAABMQEAAAALLTE5MzI5NjY3ODYDAAAAAjI3AgAAAAIyOAQAAAABMAcAAAAJNy8xMC8yMDI1CAAAAAk2LzMwLzIwMjUJAAAAATBC3UgBkyPeCNuX1AOTI94IMUNJUS5UU1g6SU1HLklRX1RPVEFMX0FTU0VUUy4yMDAwLjIwMjUtMDctMTAuLi5DQUQBAAAAvm4NAAIAAAAKNzI2NS4yODIyMgEIAAAABQAAAAExAQAAAAstMTkzMjY5Mjc0NAMAAAACMjcCAAAABDEwMDcEAAAAATAHAAAACTcvMTAvMjAyNQgAAAAJNi8zMC8yMDI1CQAAAAEwQt1IAZMj3ghwL9IDkyPeCC5DSVEuVFNYOklNRy5JUV9UT1RBTF9SRVYuMjAwMC4yMDI1LTA3LTEwLi4uQ0FEAQAAAL5uDQACAAAACzI2ODIuNDM5ODQ4AQgAAAAFAAAAATEBAAAACy0xOTMyNjkyNzQ0AwAAAAIyNwIAAAACMjgEAAAAATAHAAAACTcvMTAvMjAyNQgAAAAJNi8zMC8yMDI1CQAAAAEwQt1IAZMj3ghwL9IDkyPeCC5DSVEuVFNYOkVSTy5JUV9UT1RBTF9SRVYuMjAwMC4yMDI1LTA3LTEwLi4uQ0FEAQAA</t>
  </si>
  <si>
    <t>AFhXhhkCAAAACDczMC45OTM1AQgAAAAFAAAAATEBAAAACy0xOTMzOTg3MzY4AwAAAAIyNwIAAAACMjgEAAAAATAHAAAACTcvMTAvMjAyNQgAAAAJNi8zMC8yMDI1CQAAAAEwQt1IAZMj3gjbl9QDkyPeCC9DSVEuVFNYOlNTUk0uSVFfVE9UQUxfUkVWLjIwMDAuMjAyNS0wNy0xMC4uLkNBRAEAAADYSwYAAgAAAAsxNzc2LjU4NTg1OAEIAAAABQAAAAExAQAAAAstMTkzMzIxMTU5MQMAAAACMjcCAAAAAjI4BAAAAAEwBwAAAAk3LzEwLzIwMjUIAAAACTYvMzAvMjAyNQkAAAABMELdSAGTI94I25fUA5Mj3ggxQ0lRLlRTWDpFUk8uSVFfVE9UQUxfQVNTRVRTLjIwMDAuMjAyNS0wNy0xMC4uLkNBRAEAAABYV4YZAgAAAAsyNDE3LjMyMDQ2NgEIAAAABQAAAAExAQAAAAstMTkzMzk4NzM2OAMAAAACMjcCAAAABDEwMDcEAAAAATAHAAAACTcvMTAvMjAyNQgAAAAJNi8zMC8yMDI1CQAAAAEwQt1IAZMj3gjbl9QDkyPeCC5DSVEuVFNYOk5HRC5JUV9UT1RBTF9SRVYuMjAwMC4yMDI1LTA3LTEwLi4uQ0FEAQAAAA1pSgACAAAACzE0MDcuMDk0MzYyAQgAAAAFAAAAATEBAAAACy0xOTM0Njc5NTk2AwAAAAIyNwIAAAACMjgEAAAAATAHAAAACTcvMTAvMjAyNQgAAAAJNi8zMC8yMDI1CQAAAAEwQt1IAZMj3ghwL9IDkyPeCDFDSVEuVFNYOkVMRC5JUV9UT1RBTF9BU1NFVFMuMjAwMC4yMDI1LTA3LTEwLi4uQ0FEAQAAAN9j</t>
  </si>
  <si>
    <t>DQACAAAACzg1OTcuNTM4ODU2AQgAAAAFAAAAATEBAAAACy0xOTMzOTkyMjEyAwAAAAIyNwIAAAAEMTAwNwQAAAABMAcAAAAJNy8xMC8yMDI1CAAAAAk2LzMwLzIwMjUJAAAAATBC3UgBkyPeCNuX1AOTI94ILkNJUS5UU1g6QlRPLklRX1RPVEFMX1JFVi4yMDAwLjIwMjUtMDctMTAuLi5DQUQBAAAA6d0dAgIAAAALMjk2Mi43NTM5OTQBCAAAAAUAAAABMQEAAAALLTE5MzI2ODk1ODcDAAAAAjI3AgAAAAIyOAQAAAABMAcAAAAJNy8xMC8yMDI1CAAAAAk2LzMwLzIwMjUJAAAAATBC3UgBkyPeCHAv0gOTI94IMUNJUS5UU1g6QUdJLklRX1RPVEFMX0FTU0VUUy4yMDAwLjIwMjUtMDctMTAuLi5DQUQBAAAAO3sNAAIAAAALNzU1My42MDIyMjQBCAAAAAUAAAABMQEAAAALLTE5MzQyMzA3NzUDAAAAAjI3AgAAAAQxMDA3BAAAAAEwBwAAAAk3LzEwLzIwMjUIAAAACTYvMzAvMjAyNQkAAAABMELdSAGTI94IcC/SA5Mj3ggxQ0lRLlRTWDpIQk0uSVFfVE9UQUxfQVNTRVRTLjIwMDAuMjAyNS0wNy0xMC4uLkNBRAEAAADVTxsAAgAAAAs3Njc2LjYyMjM5NgEIAAAABQAAAAExAQAAAAstMTkzMTUwODQ1MgMAAAACMjcCAAAABDEwMDcEAAAAATAHAAAACTcvMTAvMjAyNQgAAAAJNi8zMC8yMDI1CQAAAAEwQt1IAZMj3gjbl9QDkyPeCC5DSVEuVFNYOkFHSS5JUV9UT1RBTF9SRVYuMjAwMC4yMDI1LTA3LTEwLi4uQ0FEAQAA</t>
  </si>
  <si>
    <t>ADt7DQACAAAACzIwNTYuNTY0NDk0AQgAAAAFAAAAATEBAAAACy0xOTM0MjMwNzc1AwAAAAIyNwIAAAACMjgEAAAAATAHAAAACTcvMTAvMjAyNQgAAAAJNi8zMC8yMDI1CQAAAAEwQt1IAZMj3ghwL9IDkyPeCC5DSVEuVFNYOkhCTS5JUV9UT1RBTF9SRVYuMjAwMC4yMDI1LTA3LTEwLi4uQ0FEAQAAANVPGwACAAAACjMwMDMuMjE5NzIBCAAAAAUAAAABMQEAAAALLTE5MzE1MDg0NTIDAAAAAjI3AgAAAAIyOAQAAAABMAcAAAAJNy8xMC8yMDI1CAAAAAk2LzMwLzIwMjUJAAAAATBsyNAAkyPeCMki1gOTI94IMENJUS5UU1g6Q0cuSVFfVE9UQUxfQVNTRVRTLjIwMDAuMjAyNS0wNy0xMC4uLkNBRAEAAADBm5YAAgAAAAszMTYwLjQ5MDUwOAEIAAAABQAAAAExAQAAAAstMTkzMjk3ODk3NAMAAAACMjcCAAAABDEwMDcEAAAAATAHAAAACTcvMTAvMjAyNQgAAAAJNi8zMC8yMDI1CQAAAAEwQt1IAZMj3gjbl9QDkyPeCDJDSVEuVFNYOlBBQVMuSVFfVE9UQUxfQVNTRVRTLjIwMDAuMjAyNS0wNy0xMC4uLkNBRAEAAABd6wUAAgAAAAwxMDAzOC41NTUxNDQBCAAAAAUAAAABMQEAAAALLTE5MzI5ODcxNjEDAAAAAjI3AgAAAAQxMDA3BAAAAAEwBwAAAAk3LzEwLzIwMjUIAAAACTYvMzAvMjAyNQkAAAABMELdSAGTI94IcC/SA5Mj3gguQ0lRLlRTWDpFTEQuSVFfVE9UQUxfUkVWLjIwMDAuMjAyNS0wNy0xMC4uLkNBRAEA</t>
  </si>
  <si>
    <t>AADfYw0AAgAAAAsyMTQ3LjMxODQ2NgEIAAAABQAAAAExAQAAAAstMTkzMzk5MjIxMgMAAAACMjcCAAAAAjI4BAAAAAEwBwAAAAk3LzEwLzIwMjUIAAAACTYvMzAvMjAyNQkAAAABMELdSAGTI94I25fUA5Mj3ggvQ0lRLlRTWDpQQUFTLklRX1RPVEFMX1JFVi4yMDAwLjIwMjUtMDctMTAuLi5DQUQBAAAAXesFAAIAAAALNDI1MC4xOTY5MTgBCAAAAAUAAAABMQEAAAALLTE5MzI5ODcxNjEDAAAAAjI3AgAAAAIyOAQAAAABMAcAAAAJNy8xMC8yMDI1CAAAAAk2LzMwLzIwMjUJAAAAATBC3UgBkyPeCHAv0gOTI94ILkNJUS5OWVNFOkhMLklRX1RPVEFMX1JFVi4yMDAwLjIwMjUtMDctMTAuLi5DQUQBAAAAXz4EAAIAAAALMTQ0NS44MzYxNjkBCAAAAAUAAAABMQEAAAALLTE5MzI5Nzg5ODADAAAAAjI3AgAAAAIyOAQAAAABMAcAAAAJNy8xMC8yMDI1CAAAAAk2LzMwLzIwMjUJAAAAATBC3UgBkyPeCHAv0gOTI94ILENJUS5UU1g6Sy5JUV9UT1RBTF9SRVYuMjAwMC4yMDI1LTA3LTEwLi4uQ0FEAQAAANuIBAACAAAACzgyODMuODEyODY4AQgAAAAFAAAAATEBAAAACy0xOTM0MTEwMjExAwAAAAIyNwIAAAACMjgEAAAAATAHAAAACTcvMTAvMjAyNQgAAAAJNi8zMC8yMDI1CQAAAAEwQt1IAZMj3gjiV9EDkyPeCC1DSVEuVFNYOkNTLklRX1RPVEFMX1JFVi4yMDAwLjIwMjUtMDctMTAuLi5DQUQBAAAAiQUmAAIAAAAL</t>
  </si>
  <si>
    <t>MjY0OS42NDg1NjIBCAAAAAUAAAABMQEAAAALLTE5MzM5OTIyMDkDAAAAAjI3AgAAAAIyOAQAAAABMAcAAAAJNy8xMC8yMDI1CAAAAAk2LzMwLzIwMjUJAAAAATBC3UgBkyPeCHAv0gOTI94ILkNJUS5UU1g6TFVOLklRX1RPVEFMX1JFVi4yMDAwLjIwMjUtMDctMTAuLi5DQUQBAAAAp24NAAIAAAALNDk1NS4wNDUyMjEBCAAAAAUAAAABMQEAAAALLTE5MzI5NjY3OTgDAAAAAjI3AgAAAAIyOAQAAAABMAcAAAAJNy8xMC8yMDI1CAAAAAk2LzMwLzIwMjUJAAAAATBC3UgBkyPeCOJX0QOTI94ILUNJUS5UU1g6Q0cuSVFfVE9UQUxfUkVWLjIwMDAuMjAyNS0wNy0xMC4uLkNBRAEAAADBm5YAAgAAAAsxNjU1LjkzODgwMgEIAAAABQAAAAExAQAAAAstMTkzMjk3ODk3NAMAAAACMjcCAAAAAjI4BAAAAAEwBwAAAAk3LzEwLzIwMjUIAAAACTYvMzAvMjAyNQkAAAABMGzI0ACTI94I25fUA5Mj3ggcQ0lRLlRTWDpSWS5JUV9NQVJLRVRDQVAuLkNBRAEAAADxrAEAAgAAAA0yODkyMTcuMjI0MDI0AQYAAAAFAAAAATEBAAAACy0xOTI3NTY4NTE0AwAAAAIyNwIAAAAGMTAwMDU0BAAAAAEwBwAAAAoxMS8xMy8yMDI1ina5/5Ij3ghDnoMCkyPeCBVDSVEuVFNYOk8uSVFfVEVWLi5DQUQFAAAAAAAAAAgAAAAUKEludmFsaWQgSWRlbnRpZmllcimKdrn/kiPeCBj9hQKTI94IG0NJUS5UU1g6SS5JUV9NQVJLRVRDQVAuLkNBRAUA</t>
  </si>
  <si>
    <t>AAAAAAAACAAAABQoSW52YWxpZCBJZGVudGlmaWVyKYp2uf+SI94IQ56DApMj3ggVQ0lRLlRTWDpQLklRX1RFVi4uQ0FEBQAAAAAAAAAIAAAAFChJbnZhbGlkIElkZW50aWZpZXIpina5/5Ij3ggz1IYCkyPeCBtDSVEuVFNYOlQuSVFfTUFSS0VUQ0FQLi5DQUQBAAAAoSIJAAIAAAAIMzE5MTkuNzYBBgAAAAUAAAABMQEAAAALLTE5MTgwMzUxMzIDAAAAAjI3AgAAAAYxMDAwNTQEAAAAATAHAAAACjExLzEzLzIwMjWKdrn/kiPeCDPUhgKTI94IG0NJUS5UU1g6RC5JUV9NQVJLRVRDQVAuLkNBRAUAAAAAAAAACAAAABQoSW52YWxpZCBJZGVudGlmaWVyKYp2uf+SI94IQ56DApMj3ggbQ0lRLlRTWDpFLklRX01BUktFVENBUC4uQ0FEAQAAANLbZgECAAAACjEwMi4xNjM2NjQBBgAAAAUAAAABMQEAAAALLTE5MzA4Mjc4OTUDAAAAAjI3AgAAAAYxMDAwNTQEAAAAATAHAAAACjExLzEzLzIwMjWKdrn/kiPeCEOegwKTI94IFUNJUS5UU1g6TC5JUV9URVYuLkNBRAEAAABJVQ0AAgAAAAw4NzkzNC4yNDk4NTQBBgAAAAUAAAABMQEAAAALLTE5MjQ0MDUzMDgDAAAAAjI3AgAAAAYxMDAwNjAEAAAAATAHAAAACjExLzEzLzIwMjWKdrn/kiPeCBj9hQKTI94IFUNJUS5UU1g6TS5JUV9URVYuLkNBRAUAAAAAAAAACAAAABQoSW52YWxpZCBJZGVudGlmaWVyKYp2uf+SI94IGP2FApMj3ggVQ0lRLlRTWDpFLklRX1RFVi4uQ0FE</t>
  </si>
  <si>
    <t>AQAAANLbZgECAAAACjExOS4yMzIzOTMBBgAAAAUAAAABMQEAAAALLTE5MzA4Mjc4OTUDAAAAAjI3AgAAAAYxMDAwNjAEAAAAATAHAAAACjExLzEzLzIwMjWKdrn/kiPeCEOegwKTI94IFUNJUS5UU1g6Ry5JUV9URVYuLkNBRAEAAAAgnLsGAwAAAAAAina5/5Ij3ghDnoMCkyPeCBVDSVEuVFNYOk4uSVFfVEVWLi5DQUQFAAAAAAAAAAgAAAAUKEludmFsaWQgSWRlbnRpZmllcimKdrn/kiPeCBj9hQKTI94IFkNJUS5UU1g6UlkuSVFfVEVWLi5DQUQBAAAA8awBAAMAAAAAAIp2uf+SI94IQ56DApMj3ggbQ0lRLlRTWDpILklRX01BUktFVENBUC4uQ0FEAQAAAHG0JAACAAAADDMyMDEwLjM1NTI1MwEGAAAABQAAAAExAQAAAAstMTkzMTQ4OTUxMQMAAAACMjcCAAAABjEwMDA1NAQAAAABMAcAAAAKMTEvMTMvMjAyNYp2uf+SI94IQ56DApMj3ggbQ0lRLlRTWDpMLklRX01BUktFVENBUC4uQ0FEAQAAAElVDQACAAAADDY5ODg0LjI0OTg1NQEGAAAABQAAAAExAQAAAAstMTkyNDQwNTMwOAMAAAACMjcCAAAABjEwMDA1NAQAAAABMAcAAAAKMTEvMTMvMjAyNYp2uf+SI94IGP2FApMj3ggbQ0lRLlRTWDpBLklRX01BUktFVENBUC4uQ0FEBQAAAAAAAAAIAAAAFChJbnZhbGlkIElkZW50aWZpZXIpina5/5Ij3ghDnoMCkyPeCBVDSVEuVFNYOlQuSVFfVEVWLi5DQUQBAAAAoSIJAAIAAAAINjE3NzEuNzYBBgAAAAUAAAAB</t>
  </si>
  <si>
    <t>MQEAAAALLTE5MTgwMzUxMzIDAAAAAjI3AgAAAAYxMDAwNjAEAAAAATAHAAAACjExLzEzLzIwMjWKdrn/kiPeCDPUhgKTI94IFUNJUS5UU1g6RC5JUV9URVYuLkNBRAUAAAAAAAAACAAAABQoSW52YWxpZCBJZGVudGlmaWVyKYp2uf+SI94IQ56DApMj3ggbQ0lRLlRTWDpGLklRX01BUktFVENBUC4uQ0FEBQAAAAAAAAAIAAAAFChJbnZhbGlkIElkZW50aWZpZXIpina5/5Ij3ghDnoMCkyPeCBtDSVEuVFNYOk0uSVFfTUFSS0VUQ0FQLi5DQUQFAAAAAAAAAAgAAAAUKEludmFsaWQgSWRlbnRpZmllcimKdrn/kiPeCBj9hQKTI94IG0NJUS5UU1g6Ry5JUV9NQVJLRVRDQVAuLkNBRAEAAAAgnLsGAwAAAAAAina5/5Ij3ghDnoMCkyPeCBtDSVEuVFNYOk4uSVFfTUFSS0VUQ0FQLi5DQUQFAAAAAAAAAAgAAAAUKEludmFsaWQgSWRlbnRpZmllcimKdrn/kiPeCBj9hQKTI94IG0NJUS5UU1g6Si5JUV9NQVJLRVRDQVAuLkNBRAEAAAAWhRAQAwAAAAAAina5/5Ij3ggY/YUCkyPeCBtDSVEuVFNYOkIuSVFfTUFSS0VUQ0FQLi5DQUQFAAAAAAAAAAgAAAAUKEludmFsaWQgSWRlbnRpZmllcimKdrn/kiPeCEOegwKTI94IFUNJUS5UU1g6Qi5JUV9URVYuLkNBRAUAAAAAAAAACAAAABQoSW52YWxpZCBJZGVudGlmaWVyKYp2uf+SI94IQ56DApMj3ggbQ0lRLlRTWDpSLklRX01BUktFVENBUC4uQ0FEBQAAAAAAAAAIAAAAFChJ</t>
  </si>
  <si>
    <t>bnZhbGlkIElkZW50aWZpZXIpina5/5Ij3ggz1IYCkyPeCBVDSVEuVFNYOlIuSVFfVEVWLi5DQUQFAAAAAAAAAAgAAAAUKEludmFsaWQgSWRlbnRpZmllcimKdrn/kiPeCDPUhgKTI94IFUNJUS5UU1g6Si5JUV9URVYuLkNBRAEAAAAWhRAQAwAAAAAAina5/5Ij3ggY/YUCkyPeCBVDSVEuVFNYOkYuSVFfVEVWLi5DQUQFAAAAAAAAAAgAAAAUKEludmFsaWQgSWRlbnRpZmllcimKdrn/kiPeCEOegwKTI94IG0NJUS5UU1g6Sy5JUV9NQVJLRVRDQVAuLkNBRAEAAADbiAQAAgAAAAg0MzIxNC4xOAEGAAAABQAAAAExAQAAAAstMTkxODUxNzUzMAMAAAACMjcCAAAABjEwMDA1NAQAAAABMAcAAAAKMTEvMTMvMjAyNYp2uf+SI94IGP2FApMj3ggbQ0lRLlRTWDpQLklRX01BUktFVENBUC4uQ0FEBQAAAAAAAAAIAAAAFChJbnZhbGlkIElkZW50aWZpZXIpina5/5Ij3ggz1IYCkyPeCBtDSVEuVFNYOk8uSVFfTUFSS0VUQ0FQLi5DQUQFAAAAAAAAAAgAAAAUKEludmFsaWQgSWRlbnRpZmllcimKdrn/kiPeCBj9hQKTI94IG0NJUS5UU1g6US5JUV9NQVJLRVRDQVAuLkNBRAUAAAAAAAAACAAAABQoSW52YWxpZCBJZGVudGlmaWVyKYp2uf+SI94IM9SGApMj3ggVQ0lRLlRTWDpILklRX1RFVi4uQ0FEAQAAAHG0JAACAAAADDUwNTA0LjM1NTI1MwEGAAAABQAAAAExAQAAAAstMTkzMTQ4OTUxMQMAAAACMjcCAAAABjEwMDA2</t>
  </si>
  <si>
    <t>MAQAAAABMAcAAAAKMTEvMTMvMjAyNYp2uf+SI94IQ56DApMj3ggVQ0lRLlRTWDpJLklRX1RFVi4uQ0FEBQAAAAAAAAAIAAAAFChJbnZhbGlkIElkZW50aWZpZXIpina5/5Ij3ghDnoMCkyPeCBVDSVEuVFNYOkEuSVFfVEVWLi5DQUQFAAAAAAAAAAgAAAAUKEludmFsaWQgSWRlbnRpZmllcimKdrn/kiPeCEOegwKTI94IG0NJUS5UU1g6Qy5JUV9NQVJLRVRDQVAuLkNBRAUAAAAAAAAACAAAABQoSW52YWxpZCBJZGVudGlmaWVyKYp2uf+SI94IQ56DApMj3ggVQ0lRLlRTWDpRLklRX1RFVi4uQ0FEBQAAAAAAAAAIAAAAFChJbnZhbGlkIElkZW50aWZpZXIpina5/5Ij3ggz1IYCkyPeCBVDSVEuVFNYOkMuSVFfVEVWLi5DQUQFAAAAAAAAAAgAAAAUKEludmFsaWQgSWRlbnRpZmllcimKdrn/kiPeCEOegwKTI94IG0NJUS5UU1g6Uy5JUV9NQVJLRVRDQVAuLkNBRAEAAAAJbw0AAgAAAAk2Mi4wMzYwODUBBgAAAAUAAAABMQEAAAALLTE5MTgxNDIxMTYDAAAAAjI3AgAAAAYxMDAwNTQEAAAAATAHAAAACjExLzEzLzIwMjWKdrn/kiPeCDPUhgKTI94IFUNJUS5UU1g6Uy5JUV9URVYuLkNBRAEAAAAJbw0AAgAAAAoyNjcuNDM2MDg1AQYAAAAFAAAAATEBAAAACy0xOTE4MTQyMTE2AwAAAAIyNwIAAAAGMTAwMDYwBAAAAAEwBwAAAAoxMS8xMy8yMDI1ina5/5Ij3ggz1IYCkyPeCBVDSVEuVFNYOksuSVFfVEVWLi5DQUQB</t>
  </si>
  <si>
    <t>AAAA24gEAAIAAAAKNDI1NzkuNzE4NgEGAAAABQAAAAExAQAAAAstMTkxODUxNzUzMAMAAAACMjcCAAAABjEwMDA2MAQAAAABMAcAAAAKMTEvMTMvMjAyNYp2uf+SI94IGP2FApMj3ggaQ0lRLlRTWDpDRy5JUV9DT01QQU5ZX05BTUUBAAAAwZuWAAMAAAASQ2VudGVycmEgR29sZCBJbmMuAELdSAGTI94IJaXoApMj3ggaQ0lRLlRTWDpDRy5JUV9DT1VOVFJZX05BTUUBAAAAwZuWAAMAAAAGQ2FuYWRhAGzI0ACTI94I25fUA5Mj3ggbQ0lRLlRTWDpIQk0uSVFfQ09VTlRSWV9OQU1FAQAAANVPGwADAAAABkNhbmFkYQBsyNAAkyPeCNuX1AOTI94II0NJUS5UU1g6Q0cuSVFfVEVWLjIwMjUtMDctMTAuLi4uQ0FEAQAAAMGblgACAAAACzExNjkuNjY3MjMyAQYAAAAFAAAAATEBAAAACy0xOTQ2MDYxNDE5AwAAAAIyNwIAAAAGMTAwMDYwBAAAAAEwBwAAAAk3LzEwLzIwMjVsyNAAkyPeCNuX1AOTI94IKUNJUS5UU1g6Q0cuSVFfTUFSS0VUQ0FQLjIwMjUtMDctMTAuLi4uQ0FEAQAAAMGblgACAAAACzIwMzQuMDk2NzEyAQYAAAAFAAAAATEBAAAACy0xOTQ2MDYxNDE5AwAAAAIyNwIAAAAGMTAwMDU0BAAAAAEwBwAAAAk3LzEwLzIwMjVsyNAAkyPeCNuX1AOTI94IJENJUS5UU1g6SEJNLklRX1RFVi4yMDI1LTA3LTEwLi4uLkNBRAEAAADVTxsAAgAAAAs2OTI3Ljg3MDg1NwEGAAAABQAAAAExAQAAAAstMTk0NDMwNjQ5</t>
  </si>
  <si>
    <t>NgMAAAACMjcCAAAABjEwMDA2MAQAAAABMAcAAAAJNy8xMC8yMDI1bMjQAJMj3gjJItYDkyPeCCpDSVEuVFNYOkhCTS5JUV9NQVJLRVRDQVAuMjAyNS0wNy0xMC4uLi5DQUQBAAAA1U8bAAIAAAALNTgxOC4zODAzODgBBgAAAAUAAAABMQEAAAALLTE5NDQzMDY0OTYDAAAAAjI3AgAAAAYxMDAwNTQEAAAAATAHAAAACTcvMTAvMjAyNWzI0ACTI94IySLWA5Mj3ggUQ0lRLi5JUV9DT01QQU5ZX05BTUUFAAAAAAAAAAgAAAAUKEludmFsaWQgSWRlbnRpZmllcilC3UgBkyPeCBC7mTSdI94IM0NJUUFWRy4kQ0FEVVNELklRX0xBU1RTQUxFUFJJQ0UuMS8xLzIwMjQuMzEvMTIvMjAyNAEAAABz61oAAgAAABAxLjM3MDE3MzM0Njk5NDU0AELdSAGTI94Ih0+ZApMj3ggzQ0lRQVZHLiRDQURVU0QuSVFfTEFTVFNBTEVQUklDRS4xLzEvMjAyMy4zMS8xMi8yMDIzAQAAAHPrWgACAAAAEDEuMzQ5NTQxNTM0MjQ2NTgAQt1IAZMj3gjvGccCkyPeCDNDSVFBVkcuJENBRFVTRC5JUV9MQVNUU0FMRVBSSUNFLjEvMS8yMDIyLjMxLzEyLzIwMjIBAAAAc+taAAIAAAAQMS4zMDE3NDcxNTA2ODQ5MwBC3UgBkyPeCJU3zgKTI94IG0NJUS5UU1g6SEJNLklRX0NPTVBBTllfTkFNRQEAAADVTxsAAwAAABRIdWRiYXkgTWluZXJhbHMgSW5jLgBC3UgBkyPeCCWl6AKTI94IGUNJUS5UU1g6Sy5JUV9DT01QQU5ZX05BTUUBAAAA24gEAAMA</t>
  </si>
  <si>
    <t>AAAYS2lucm9zcyBHb2xkIENvcnBvcmF0aW9uAELdSAGTI94IJaXoApMj3ggbQ0lRLlRTWDpMVU4uSVFfQ09NUEFOWV9OQU1FAQAAAKduDQADAAAAGUx1bmRpbiBNaW5pbmcgQ29ycG9yYXRpb24AQt1IAZMj3ghyAXKgnSPeCBtDSVEuVFNYOkFHSS5JUV9DT01QQU5ZX05BTUUBAAAAO3sNAAMAAAAQQWxhbW9zIEdvbGQgSW5jLgBC3UgBkyPeCCnacaCdI94IHENJUS5UU1g6UEFBUy5JUV9DT01QQU5ZX05BTUUBAAAAXesFAAMAAAAZUGFuIEFtZXJpY2FuIFNpbHZlciBDb3JwLgBC3UgBkyPeCCWl6AKTI94IGkNJUS5UU1g6Q1MuSVFfQ09NUEFOWV9OQU1FAQAAAIkFJgADAAAAFUNhcHN0b25lIENvcHBlciBDb3JwLgBC3UgBkyPeCHIBcqCdI94IG0NJUS5UU1g6SU1HLklRX0NPTVBBTllfTkFNRQEAAAC+bg0AAwAAABNJQU1HT0xEIENvcnBvcmF0aW9uAELdSAGTI94IJaXoApMj3ggbQ0lRLlRTWDpCVE8uSVFfQ09NUEFOWV9OQU1FAQAAAOndHQIDAAAADEIyR29sZCBDb3JwLgBC3UgBkyPeCCWl6AKTI94IG0NJUS5OWVNFOkhMLklRX0NPTVBBTllfTkFNRQEAAABfPgQAAwAAABRIZWNsYSBNaW5pbmcgQ29tcGFueQBC3UgBkyPeCCWl6AKTI94IG0NJUS5UU1g6TkdELklRX0NPTVBBTllfTkFNRQEAAAANaUoAAwAAAA1OZXcgR29sZCBJbmMuAELdSAGTI94IJaXoApMj3ggbQ0lRLlRTWDpFTEQuSVFfQ09NUEFO</t>
  </si>
  <si>
    <t>WV9OQU1FAQAAAN9jDQADAAAAGUVsZG9yYWRvIEdvbGQgQ29ycG9yYXRpb24AQt1IAZMj3ghyAXKgnSPeCBxDSVEuVFNYOlNTUk0uSVFfQ09NUEFOWV9OQU1FAQAAANhLBgADAAAAD1NTUiBNaW5pbmcgSW5jLgBC3UgBkyPeCO9Z5gKTI94IG0NJUS5UU1g6T0dDLklRX0NPTVBBTllfTkFNRQEAAACHFI8AAwAAABZPY2VhbmFHb2xkIENvcnBvcmF0aW9uAELdSAGTI94IcgFyoJ0j3ggbQ0lRLlRTWDpFUk8uSVFfQ09NUEFOWV9OQU1FAQAAAFhXhhkDAAAAEEVybyBDb3BwZXIgQ29ycC4AQt1IAZMj3gglpegCkyPeCBVDSVEuMC5JUV9DT01QQU5ZX05BTUUFAAAAAAAAAAgAAAAUKEludmFsaWQgSWRlbnRpZmllcilC3UgBkyPeCCWl6AKTI94IGUNJUS5UU1g6Sy5JUV9DT1VOVFJZX05BTUUBAAAA24gEAAMAAAAGQ2FuYWRhAELdSAGTI94IbWbNA5Mj3ggbQ0lRLlRTWDpMVU4uSVFfQ09VTlRSWV9OQU1FAQAAAKduDQADAAAABkNhbmFkYQBC3UgBkyPeCOJX0QOTI94IG0NJUS5UU1g6QUdJLklRX0NPVU5UUllfTkFNRQEAAAA7ew0AAwAAAAZDYW5hZGEAQt1IAZMj3ghwL9IDkyPeCBxDSVEuVFNYOlBBQVMuSVFfQ09VTlRSWV9OQU1FAQAAAF3rBQADAAAABkNhbmFkYQBC3UgBkyPeCHAv0gOTI94IGkNJUS5UU1g6Q1MuSVFfQ09VTlRSWV9OQU1FAQAAAIkFJgADAAAABkNhbmFkYQBC3UgBkyPeCHAv0gOTI94IG0NJ</t>
  </si>
  <si>
    <t>US5UU1g6SU1HLklRX0NPVU5UUllfTkFNRQEAAAC+bg0AAwAAAAZDYW5hZGEAQt1IAZMj3ghwL9IDkyPeCBtDSVEuVFNYOkJUTy5JUV9DT1VOVFJZX05BTUUBAAAA6d0dAgMAAAAGQ2FuYWRhAELdSAGTI94IcC/SA5Mj3ggbQ0lRLk5ZU0U6SEwuSVFfQ09VTlRSWV9OQU1FAQAAAF8+BAADAAAADVVuaXRlZCBTdGF0ZXMAQt1IAZMj3ghwL9IDkyPeCBtDSVEuVFNYOk5HRC5JUV9DT1VOVFJZX05BTUUBAAAADWlKAAMAAAAGQ2FuYWRhAELdSAGTI94IcC/SA5Mj3ggbQ0lRLlRTWDpFTEQuSVFfQ09VTlRSWV9OQU1FAQAAAN9jDQADAAAABkNhbmFkYQBC3UgBkyPeCHAv0gOTI94IHENJUS5UU1g6U1NSTS5JUV9DT1VOVFJZX05BTUUBAAAA2EsGAAMAAAANVW5pdGVkIFN0YXRlcwBC3UgBkyPeCNuX1AOTI94IG0NJUS5UU1g6T0dDLklRX0NPVU5UUllfTkFNRQEAAACHFI8AAwAAAAZDYW5hZGEAQt1IAZMj3gjbl9QDkyPeCBtDSVEuVFNYOkVSTy5JUV9DT1VOVFJZX05BTUUBAAAAWFeGGQMAAAAGQ2FuYWRhAELdSAGTI94I25fUA5Mj3gglQ0lRLlRTWDpLLklRX01BUktFVENBUC4yMDI1LTA3LTAxLkNBRAEAAADbiAQAAgAAAAkyNjEwNi4zMDQBBgAAAAUAAAABMQEAAAALLTE5NDU4OTM3NjIDAAAAAjI3AgAAAAYxMDAwNTQEAAAAATAHAAAACDcvMS8yMDI1Qt1IAZMj3giOxMYDkyPeCB9DSVEuVFNYOksuSVFfVEVW</t>
  </si>
  <si>
    <t>LjIwMjUtMDctMDEuQ0FEAQAAANuIBAACAAAACzI3MDg1LjcxNDI5AQYAAAAFAAAAATEBAAAACy0xOTQ1ODkzNzYyAwAAAAIyNwIAAAAGMTAwMDYwBAAAAAEwBwAAAAg3LzEvMjAyNULdSAGTI94IjsTGA5Mj3ggnQ0lRLlRTWDpMVU4uSVFfTUFSS0VUQ0FQLjIwMjUtMDctMDEuQ0FEAQAAAKduDQACAAAADDEyMjU3Ljg4NjUzNAEGAAAABQAAAAExAQAAAAstMTk0NTU1NDA1NgMAAAACMjcCAAAABjEwMDA1NAQAAAABMAcAAAAINy8xLzIwMjVC3UgBkyPeCI7ExgOTI94IIUNJUS5UU1g6TFVOLklRX1RFVi4yMDI1LTA3LTAxLkNBRAEAAACnbg0AAgAAAAwxNjQwNy41NTkxMDQBBgAAAAUAAAABMQEAAAALLTE5NDU1NTQwNTYDAAAAAjI3AgAAAAYxMDAwNjAEAAAAATAHAAAACDcvMS8yMDI1Qt1IAZMj3giOxMYDkyPeCCdDSVEuVFNYOkFHSS5JUV9NQVJLRVRDQVAuMjAyNS0wNy0wMS5DQUQBAAAAO3sNAAIAAAALMTUyMzIuODc5NDQBBgAAAAUAAAABMQEAAAALLTE5NDcyNDkzNjMDAAAAAjI3AgAAAAYxMDAwNTQEAAAAATAHAAAACDcvMS8yMDI1Qt1IAZMj3giOxMYDkyPeCCFDSVEuVFNYOkFHSS5JUV9URVYuMjAyNS0wNy0wMS5DQUQBAAAAO3sNAAIAAAAMMTUxODAuOTkxMDk5AQYAAAAFAAAAATEBAAAACy0xOTQ3MjQ5MzYzAwAAAAIyNwIAAAAGMTAwMDYwBAAAAAEwBwAAAAg3LzEvMjAyNULdSAGTI94IjsTG</t>
  </si>
  <si>
    <t>A5Mj3ggoQ0lRLlRTWDpQQUFTLklRX01BUktFVENBUC4yMDI1LTA3LTAxLkNBRAEAAABd6wUAAgAAAAsxMzk5NS4wMDMxMwEGAAAABQAAAAExAQAAAAstMTk0NTU1NDAyMAMAAAACMjcCAAAABjEwMDA1NAQAAAABMAcAAAAINy8xLzIwMjVC3UgBkyPeCI7ExgOTI94IIkNJUS5UU1g6UEFBUy5JUV9URVYuMjAyNS0wNy0wMS5DQUQBAAAAXesFAAIAAAALMTM4NzUuMjcxODcBBgAAAAUAAAABMQEAAAALLTE5NDU1NTQwMjADAAAAAjI3AgAAAAYxMDAwNjAEAAAAATAHAAAACDcvMS8yMDI1Qt1IAZMj3giOxMYDkyPeCCZDSVEuVFNYOkNTLklRX01BUktFVENBUC4yMDI1LTA3LTAxLkNBRAEAAACJBSYAAgAAAAs2MzcyLjI0MDI0MgEGAAAABQAAAAExAQAAAAstMTk0Njk0NDU5MgMAAAACMjcCAAAABjEwMDA1NAQAAAABMAcAAAAINy8xLzIwMjVC3UgBkyPeCI7ExgOTI94IIENJUS5UU1g6Q1MuSVFfVEVWLjIwMjUtMDctMDEuQ0FEAQAAAIkFJgACAAAACzg5MDUuMTA2NzkxAQYAAAAFAAAAATEBAAAACy0xOTQ2OTQ0NTkyAwAAAAIyNwIAAAAGMTAwMDYwBAAAAAEwBwAAAAg3LzEvMjAyNULdSAGTI94IjsTGA5Mj3ggnQ0lRLlRTWDpJTUcuSVFfTUFSS0VUQ0FQLjIwMjUtMDctMDEuQ0FEAQAAAL5uDQACAAAACzU3NjcuNzU1NTYyAQYAAAAFAAAAATEBAAAACy0xOTQ1ODkzNzIyAwAAAAIyNwIAAAAGMTAwMDU0BAAA</t>
  </si>
  <si>
    <t>AAEwBwAAAAg3LzEvMjAyNULdSAGTI94IjsTGA5Mj3gghQ0lRLlRTWDpJTUcuSVFfVEVWLjIwMjUtMDctMDEuQ0FEAQAAAL5uDQACAAAACzcwNDYuODUzMzMyAQYAAAAFAAAAATEBAAAACy0xOTQ1ODkzNzIyAwAAAAIyNwIAAAAGMTAwMDYwBAAAAAEwBwAAAAg3LzEvMjAyNULdSAGTI94IjsTGA5Mj3ggnQ0lRLlRTWDpCVE8uSVFfTUFSS0VUQ0FQLjIwMjUtMDctMDEuQ0FEAQAAAOndHQICAAAACzY1MDEuMTU0MzczAQYAAAAFAAAAATEBAAAACy0xOTQ1NTU0MDEyAwAAAAIyNwIAAAAGMTAwMDU0BAAAAAEwBwAAAAg3LzEvMjAyNULdSAGTI94IjsTGA5Mj3gghQ0lRLlRTWDpCVE8uSVFfVEVWLjIwMjUtMDctMDEuQ0FEAQAAAOndHQICAAAACzY2ODMuNjgwNTcyAQYAAAAFAAAAATEBAAAACy0xOTQ1NTU0MDEyAwAAAAIyNwIAAAAGMTAwMDYwBAAAAAEwBwAAAAg3LzEvMjAyNULdSAGTI94IjsTGA5Mj3ggnQ0lRLk5ZU0U6SEwuSVFfTUFSS0VUQ0FQLjIwMjUtMDctMDEuQ0FEAQAAAF8+BAACAAAADzUwODcuNDAyMjE0NjE5OQEGAAAABQAAAAExAQAAAAstMTk0Njg2NjQxNwMAAAACMjcCAAAABjEwMDA1NAQAAAABMAcAAAAINy8xLzIwMjVC3UgBkyPeCI7ExgOTI94IIUNJUS5OWVNFOkhMLklRX1RFVi4yMDI1LTA3LTAxLkNBRAEAAABfPgQAAgAAAA81ODQ1LjQ0OTEzMDM5OTkBBgAAAAUAAAABMQEAAAALLTE5</t>
  </si>
  <si>
    <t>NDY4NjY0MTcDAAAAAjI3AgAAAAYxMDAwNjAEAAAAATAHAAAACDcvMS8yMDI1Qt1IAZMj3giOxMYDkyPeCCdDSVEuVFNYOk5HRC5JUV9NQVJLRVRDQVAuMjAyNS0wNy0wMS5DQUQBAAAADWlKAAIAAAAKNTM1Ny41NjgxMwEGAAAABQAAAAExAQAAAAstMTk0NzU2MTUzMQMAAAACMjcCAAAABjEwMDA1NAQAAAABMAcAAAAINy8xLzIwMjVC3UgBkyPeCI7ExgOTI94IIUNJUS5UU1g6TkdELklRX1RFVi4yMDI1LTA3LTAxLkNBRAEAAAANaUoAAgAAAAo1NzczLjk2ODQzAQYAAAAFAAAAATEBAAAACy0xOTQ3NTYxNTMxAwAAAAIyNwIAAAAGMTAwMDYwBAAAAAEwBwAAAAg3LzEvMjAyNULdSAGTI94IjsTGA5Mj3ggnQ0lRLlRTWDpFTEQuSVFfTUFSS0VUQ0FQLjIwMjUtMDctMDEuQ0FEAQAAAN9jDQACAAAACzU2ODYuMDY2MTA5AQYAAAAFAAAAATEBAAAACy0xOTQ2ODYyNTA0AwAAAAIyNwIAAAAGMTAwMDU0BAAAAAEwBwAAAAg3LzEvMjAyNULdSAGTI94IjsTGA5Mj3gghQ0lRLlRTWDpFTEQuSVFfVEVWLjIwMjUtMDctMDEuQ0FEAQAAAN9jDQACAAAACzU1ODMuMTk2NDA4AQYAAAAFAAAAATEBAAAACy0xOTQ2ODYyNTA0AwAAAAIyNwIAAAAGMTAwMDYwBAAAAAEwBwAAAAg3LzEvMjAyNULdSAGTI94IjsTGA5Mj3ggoQ0lRLlRTWDpTU1JNLklRX01BUktFVENBUC4yMDI1LTA3LTAxLkNBRAEAAADYSwYAAgAAAAszNTIy</t>
  </si>
  <si>
    <t>LjI1MzQ5NQEGAAAABQAAAAExAQAAAAstMTk0NTk0MTY5MAMAAAACMjcCAAAABjEwMDA1NAQAAAABMAcAAAAINy8xLzIwMjVC3UgBkyPeCI7ExgOTI94IIkNJUS5UU1g6U1NSTS5JUV9URVYuMjAyNS0wNy0wMS5DQUQBAAAA2EsGAAIAAAALNDczMi44MDExNjUBBgAAAAUAAAABMQEAAAALLTE5NDU5NDE2OTADAAAAAjI3AgAAAAYxMDAwNjAEAAAAATAHAAAACDcvMS8yMDI1Qt1IAZMj3giOxMYDkyPeCCdDSVEuVFNYOk9HQy5JUV9NQVJLRVRDQVAuMjAyNS0wNy0wMS5DQUQBAAAAhxSPAAIAAAALNDQ0Mi4yNTI1OTkBBgAAAAUAAAABMQEAAAALLTE5NDU1NTM4NjYDAAAAAjI3AgAAAAYxMDAwNTQEAAAAATAHAAAACDcvMS8yMDI1Qt1IAZMj3giOxMYDkyPeCCFDSVEuVFNYOk9HQy5JUV9URVYuMjAyNS0wNy0wMS5DQUQBAAAAhxSPAAIAAAALNDM1MS42OTk1NDgBBgAAAAUAAAABMQEAAAALLTE5NDU1NTM4NjYDAAAAAjI3AgAAAAYxMDAwNjAEAAAAATAHAAAACDcvMS8yMDI1Qt1IAZMj3giOxMYDkyPeCCdDSVEuVFNYOkVSTy5JUV9NQVJLRVRDQVAuMjAyNS0wNy0wMS5DQUQBAAAAWFeGGQIAAAALMjM4Mi4xNTc1MTgBBgAAAAUAAAABMQEAAAALLTE5NDYwNjEwNzEDAAAAAjI3AgAAAAYxMDAwNTQEAAAAATAHAAAACDcvMS8yMDI1Qt1IAZMj3giOxMYDkyPeCCFDSVEuVFNYOkVSTy5JUV9URVYuMjAyNS0wNy0w</t>
  </si>
  <si>
    <t>MS5DQUQBAAAAWFeGGQIAAAALMzIyOC42Nzc2MTgBBgAAAAUAAAABMQEAAAALLTE5NDYwNjEwNzEDAAAAAjI3AgAAAAYxMDAwNjAEAAAAATAHAAAACDcvMS8yMDI1Qt1IAZMj3giOxMYDkyPeCCZDSVEuVFNYOkNHLklRX01BUktFVENBUC4yMDI1LTA3LTAxLkNBRAEAAADBm5YAAgAAAAsyMDM2LjE3MjMyMQEGAAAABQAAAAExAQAAAAstMTk0NjA2MTQxOQMAAAACMjcCAAAABjEwMDA1NAQAAAABMAcAAAAINy8xLzIwMjVC3UgBkyPeCI7ExgOTI94IIENJUS5UU1g6Q0cuSVFfVEVWLjIwMjUtMDctMDEuQ0FEAQAAAMGblgACAAAACzExNzEuNzQyODQxAQYAAAAFAAAAATEBAAAACy0xOTQ2MDYxNDE5AwAAAAIyNwIAAAAGMTAwMDYwBAAAAAEwBwAAAAg3LzEvMjAyNULdSAGTI94IjsTGA5Mj3gghQ0lRLjAuSVFfTUFSS0VUQ0FQLjIwMjUtMDctMDEuQ0FEBQAAAAAAAAAIAAAAFChJbnZhbGlkIElkZW50aWZpZXIpQt1IAZMj3giOxMYDkyPeCBtDSVEuMC5JUV9URVYuMjAyNS0wNy0wMS5DQUQFAAAAAAAAAAgAAAAUKEludmFsaWQgSWRlbnRpZmllcilC3UgBkyPeCI7ExgOTI94IJ0NJUS5UU1g6SEJNLklRX01BUktFVENBUC4yMDI1LTA3LTAxLkNBRAEAAADVTxsAAgAAAAo1NzA3Ljc3OTgxAQYAAAAFAAAAATEBAAAACy0xOTQ0MzA2NDk2AwAAAAIyNwIAAAAGMTAwMDU0BAAAAAEwBwAAAAg3LzEvMjAyNULdSAGT</t>
  </si>
  <si>
    <t>I94IjsTGA5Mj3gghQ0lRLlRTWDpIQk0uSVFfVEVWLjIwMjUtMDctMDEuQ0FEAQAAANVPGwACAAAACjY4MTcuMjcwMjgBBgAAAAUAAAABMQEAAAALLTE5NDQzMDY0OTYDAAAAAjI3AgAAAAYxMDAwNjAEAAAAATAHAAAACDcvMS8yMDI1Qt1IAZMj3gj1jswDkyPeCCVDSVEuVFNYOksuSVFfTUFSS0VUQ0FQLjIwMjUtMDctMTQuQ0FEAQAAANuIBAACAAAACTI2MTc5LjkxMgEGAAAABQAAAAExAQAAAAstMTk0NTg5Mzc2MgMAAAACMjcCAAAABjEwMDA1NAQAAAABMAcAAAAJNy8xNC8yMDI1Qt1IAZMj3ghtZs0DkyPeCB9DSVEuVFNYOksuSVFfVEVWLjIwMjUtMDctMTQuQ0FEAQAAANuIBAACAAAACzI3MTU5LjMyMjI5AQYAAAAFAAAAATEBAAAACy0xOTQ1ODkzNzYyAwAAAAIyNwIAAAAGMTAwMDYwBAAAAAEwBwAAAAk3LzE0LzIwMjVC3UgBkyPeCOJX0QOTI94IJ0NJUS5UU1g6TFVOLklRX01BUktFVENBUC4yMDI1LTA3LTE0LkNBRAEAAACnbg0AAgAAAAwxMTg1NS41Njc2MzMBBgAAAAUAAAABMQEAAAALLTE5NDU1NTQwNTYDAAAAAjI3AgAAAAYxMDAwNTQEAAAAATAHAAAACTcvMTQvMjAyNULdSAGTI94IKdpxoJ0j3gghQ0lRLlRTWDpMVU4uSVFfVEVWLjIwMjUtMDctMTQuQ0FEAQAAAKduDQACAAAADDE2MDA1LjI0MDIwMgEGAAAABQAAAAExAQAAAAstMTk0NTU1NDA1NgMAAAACMjcCAAAABjEwMDA2MAQAAAAB</t>
  </si>
  <si>
    <t>MAcAAAAJNy8xNC8yMDI1Qt1IAZMj3ggp2nGgnSPeCCdDSVEuVFNYOkFHSS5JUV9NQVJLRVRDQVAuMjAyNS0wNy0xNC5DQUQBAAAAO3sNAAIAAAAMMTUyOTEuNzU4NTk4AQYAAAAFAAAAATEBAAAACy0xOTQ3MjQ5MzYzAwAAAAIyNwIAAAAGMTAwMDU0BAAAAAEwBwAAAAk3LzE0LzIwMjVC3UgBkyPeCCnacaCdI94IIUNJUS5UU1g6QUdJLklRX1RFVi4yMDI1LTA3LTE0LkNBRAEAAAA7ew0AAgAAAAwxNTIzOS44NzAyNTgBBgAAAAUAAAABMQEAAAALLTE5NDcyNDkzNjMDAAAAAjI3AgAAAAYxMDAwNjAEAAAAATAHAAAACTcvMTQvMjAyNULdSAGTI94IKdpxoJ0j3ggoQ0lRLlRTWDpQQUFTLklRX01BUktFVENBUC4yMDI1LTA3LTE0LkNBRAEAAABd6wUAAgAAAAwxNDc2Mi44NDQ5MTcBBgAAAAUAAAABMQEAAAALLTE5NDU1NTQwMjADAAAAAjI3AgAAAAYxMDAwNTQEAAAAATAHAAAACTcvMTQvMjAyNULdSAGTI94I/tDPA5Mj3ggiQ0lRLlRTWDpQQUFTLklRX1RFVi4yMDI1LTA3LTE0LkNBRAEAAABd6wUAAgAAAAwxNDY0My4xMTM2NTYBBgAAAAUAAAABMQEAAAALLTE5NDU1NTQwMjADAAAAAjI3AgAAAAYxMDAwNjAEAAAAATAHAAAACTcvMTQvMjAyNULdSAGTI94I/tDPA5Mj3ggmQ0lRLlRTWDpDUy5JUV9NQVJLRVRDQVAuMjAyNS0wNy0xNC5DQUQBAAAAiQUmAAIAAAALNTk1My4xNDkyODkBBgAAAAUAAAABMQEA</t>
  </si>
  <si>
    <t>AAALLTE5NDY5NDQ1OTIDAAAAAjI3AgAAAAYxMDAwNTQEAAAAATAHAAAACTcvMTQvMjAyNULdSAGTI94IAqdvoJ0j3gggQ0lRLlRTWDpDUy5JUV9URVYuMjAyNS0wNy0xNC5DQUQBAAAAiQUmAAIAAAALODQ4Ni4wMTU4MzgBBgAAAAUAAAABMQEAAAALLTE5NDY5NDQ1OTIDAAAAAjI3AgAAAAYxMDAwNjAEAAAAATAHAAAACTcvMTQvMjAyNXFCSwGTI94IAqdvoJ0j3ggnQ0lRLlRTWDpJTUcuSVFfTUFSS0VUQ0FQLjIwMjUtMDctMTQuQ0FEAQAAAL5uDQACAAAACzU1NTQuOTg2OTEyAQYAAAAFAAAAATEBAAAACy0xOTQ1ODkzNzIyAwAAAAIyNwIAAAAGMTAwMDU0BAAAAAEwBwAAAAk3LzE0LzIwMjVC3UgBkyPeCG1mzQOTI94IIUNJUS5UU1g6SU1HLklRX1RFVi4yMDI1LTA3LTE0LkNBRAEAAAC+bg0AAgAAAAs2ODM0LjA4NDY4MgEGAAAABQAAAAExAQAAAAstMTk0NTg5MzcyMgMAAAACMjcCAAAABjEwMDA2MAQAAAABMAcAAAAJNy8xNC8yMDI1Qt1IAZMj3gj+0M8DkyPeCCdDSVEuVFNYOkJUTy5JUV9NQVJLRVRDQVAuMjAyNS0wNy0xNC5DQUQBAAAA6d0dAgIAAAALNjI4OS43MzQ3MTgBBgAAAAUAAAABMQEAAAALLTE5NDU1NTQwMTIDAAAAAjI3AgAAAAYxMDAwNTQEAAAAATAHAAAACTcvMTQvMjAyNULdSAGTI94IbWbNA5Mj3gghQ0lRLlRTWDpCVE8uSVFfVEVWLjIwMjUtMDctMTQuQ0FEAQAAAOndHQICAAAA</t>
  </si>
  <si>
    <t>CzY0NzIuMjYwOTE4AQYAAAAFAAAAATEBAAAACy0xOTQ1NTU0MDEyAwAAAAIyNwIAAAAGMTAwMDYwBAAAAAEwBwAAAAk3LzE0LzIwMjVC3UgBkyPeCOJX0QOTI94IJ0NJUS5OWVNFOkhMLklRX01BUktFVENBUC4yMDI1LTA3LTE0LkNBRAEAAABfPgQAAgAAABA1MjMyLjA4MzQyNDkxNjczAQYAAAAFAAAAATEBAAAACy0xOTQ2ODY2NDE3AwAAAAIyNwIAAAAGMTAwMDU0BAAAAAEwBwAAAAk3LzE0LzIwMjVC3UgBkyPeCG1mzQOTI94IIUNJUS5OWVNFOkhMLklRX1RFVi4yMDI1LTA3LTE0LkNBRAEAAABfPgQAAgAAABA1OTkxLjMzOTkzOTg1NjczAQYAAAAFAAAAATEBAAAACy0xOTQ2ODY2NDE3AwAAAAIyNwIAAAAGMTAwMDYwBAAAAAEwBwAAAAk3LzE0LzIwMjVC3UgBkyPeCOJX0QOTI94IJ0NJUS5UU1g6TkdELklRX01BUktFVENBUC4yMDI1LTA3LTE0LkNBRAEAAAANaUoAAgAAAAo1MDAxLjQ1MjA4AQYAAAAFAAAAATEBAAAACy0xOTQ3NTYxNTMxAwAAAAIyNwIAAAAGMTAwMDU0BAAAAAEwBwAAAAk3LzE0LzIwMjVC3UgBkyPeCG1mzQOTI94IIUNJUS5UU1g6TkdELklRX1RFVi4yMDI1LTA3LTE0LkNBRAEAAAANaUoAAgAAAAo1NDE3Ljg1MjM4AQYAAAAFAAAAATEBAAAACy0xOTQ3NTYxNTMxAwAAAAIyNwIAAAAGMTAwMDYwBAAAAAEwBwAAAAk3LzE0LzIwMjVC3UgBkyPeCP7QzwOTI94IJ0NJUS5UU1g6RUxE</t>
  </si>
  <si>
    <t>LklRX01BUktFVENBUC4yMDI1LTA3LTE0LkNBRAEAAADfYw0AAgAAAAs1NzU5LjkxMTEyMwEGAAAABQAAAAExAQAAAAstMTk0Njg2MjUwNAMAAAACMjcCAAAABjEwMDA1NAQAAAABMAcAAAAJNy8xNC8yMDI1cUJLAZMj3ggCp2+gnSPeCCFDSVEuVFNYOkVMRC5JUV9URVYuMjAyNS0wNy0xNC5DQUQBAAAA32MNAAIAAAALNTY1Ny4wNDE0MjMBBgAAAAUAAAABMQEAAAALLTE5NDY4NjI1MDQDAAAAAjI3AgAAAAYxMDAwNjAEAAAAATAHAAAACTcvMTQvMjAyNXFCSwGTI94IAqdvoJ0j3ggoQ0lRLlRTWDpTU1JNLklRX01BUktFVENBUC4yMDI1LTA3LTE0LkNBRAEAAADYSwYAAgAAAAszNTMwLjM2NDYxNAEGAAAABQAAAAExAQAAAAstMTk0NTk0MTY5MAMAAAACMjcCAAAABjEwMDA1NAQAAAABMAcAAAAJNy8xNC8yMDI1Qt1IAZMj3ghtZs0DkyPeCCJDSVEuVFNYOlNTUk0uSVFfVEVWLjIwMjUtMDctMTQuQ0FEAQAAANhLBgACAAAACzQ3NDAuOTEyMjg0AQYAAAAFAAAAATEBAAAACy0xOTQ1OTQxNjkwAwAAAAIyNwIAAAAGMTAwMDYwBAAAAAEwBwAAAAk3LzE0LzIwMjVC3UgBkyPeCP7QzwOTI94IJ0NJUS5UU1g6T0dDLklRX01BUktFVENBUC4yMDI1LTA3LTE0LkNBRAEAAACHFI8AAgAAAAs0NDUzLjgwODkyNwEGAAAABQAAAAExAQAAAAstMTk0NTU1Mzg2NgMAAAACMjcCAAAABjEwMDA1NAQAAAABMAcAAAAJNy8x</t>
  </si>
  <si>
    <t>NC8yMDI1cUJLAZMj3ghyAXKgnSPeCCFDSVEuVFNYOk9HQy5JUV9URVYuMjAyNS0wNy0xNC5DQUQBAAAAhxSPAAIAAAALNDM2My4yNTU4NzYBBgAAAAUAAAABMQEAAAALLTE5NDU1NTM4NjYDAAAAAjI3AgAAAAYxMDAwNjAEAAAAATAHAAAACTcvMTQvMjAyNXFCSwGTI94IcgFyoJ0j3ggnQ0lRLlRTWDpFUk8uSVFfTUFSS0VUQ0FQLjIwMjUtMDctMTQuQ0FEAQAAAFhXhhkCAAAACzIwODAuNzYyODA2AQYAAAAFAAAAATEBAAAACy0xOTQ2MDYxMDcxAwAAAAIyNwIAAAAGMTAwMDU0BAAAAAEwBwAAAAk3LzE0LzIwMjVC3UgBkyPeCOJX0QOTI94IIUNJUS5UU1g6RVJPLklRX1RFVi4yMDI1LTA3LTE0LkNBRAEAAABYV4YZAgAAAAsyOTI3LjI4MjkwNQEGAAAABQAAAAExAQAAAAstMTk0NjA2MTA3MQMAAAACMjcCAAAABjEwMDA2MAQAAAABMAcAAAAJNy8xNC8yMDI1Qt1IAZMj3gj+0M8DkyPeCCZDSVEuVFNYOkNHLklRX01BUktFVENBUC4yMDI1LTA3LTE0LkNBRAEAAADBm5YAAgAAAAsyMDU0Ljg1MjgwMQEGAAAABQAAAAExAQAAAAstMTk0NjA2MTQxOQMAAAACMjcCAAAABjEwMDA1NAQAAAABMAcAAAAJNy8xNC8yMDI1Qt1IAZMj3gj+0M8DkyPeCCBDSVEuVFNYOkNHLklRX1RFVi4yMDI1LTA3LTE0LkNBRAEAAADBm5YAAgAAAAsxMTkwLjQyMzMyMQEGAAAABQAAAAExAQAAAAstMTk0NjA2MTQxOQMAAAACMjcC</t>
  </si>
  <si>
    <t>AAAABjEwMDA2MAQAAAABMAcAAAAJNy8xNC8yMDI1Qt1IAZMj3gjiV9EDkyPeCCFDSVEuMC5JUV9NQVJLRVRDQVAuMjAyNS0wNy0xNC5DQUQFAAAAAAAAAAgAAAAUKEludmFsaWQgSWRlbnRpZmllcilC3UgBkyPeCOJX0QOTI94IG0NJUS4wLklRX1RFVi4yMDI1LTA3LTE0LkNBRAUAAAAAAAAACAAAABQoSW52YWxpZCBJZGVudGlmaWVyKULdSAGTI94I4lfRA5Mj3ggnQ0lRLlRTWDpIQk0uSVFfTUFSS0VUQ0FQLjIwMjUtMDctMTQuQ0FEAQAAANVPGwACAAAACzU2NjQuMzI5NTgzAQYAAAAFAAAAATEBAAAACy0xOTQ0MzA2NDk2AwAAAAIyNwIAAAAGMTAwMDU0BAAAAAEwBwAAAAk3LzE0LzIwMjVxQksBkyPeCAKnb6CdI94IIUNJUS5UU1g6SEJNLklRX1RFVi4yMDI1LTA3LTE0LkNBRAEAAADVTxsAAgAAAAs2NzczLjgyMDA1MwEGAAAABQAAAAExAQAAAAstMTk0NDMwNjQ5NgMAAAACMjcCAAAABjEwMDA2MAQAAAABMAcAAAAJNy8xNC8yMDI1cUJLAZMj3ggCp2+gnSPeCCJDSVEuVFNYOksuSVFfVEVWLjIwMjUtMDctMTAuLi4uQ0FEAQAAANuIBAACAAAACzI2NjkzLjEzODI5AQYAAAAFAAAAATEBAAAACy0xOTQ1ODkzNzYyAwAAAAIyNwIAAAAGMTAwMDYwBAAAAAEwBwAAAAk3LzEwLzIwMjVxQksBkyPeCPWOzAOTI94IKENJUS5UU1g6Sy5JUV9NQVJLRVRDQVAuMjAyNS0wNy0xMC4uLi5DQUQBAAAA24gEAAIA</t>
  </si>
  <si>
    <t>AAAJMjU3MTMuNzI4AQYAAAAFAAAAATEBAAAACy0xOTQ1ODkzNzYyAwAAAAIyNwIAAAAGMTAwMDU0BAAAAAEwBwAAAAk3LzEwLzIwMjVxQksBkyPeCNGayAOTI94IJENJUS5UU1g6TFVOLklRX1RFVi4yMDI1LTA3LTEwLi4uLkNBRAEAAACnbg0AAgAAAAwxNjM0Ny42MzkyNjcBBgAAAAUAAAABMQEAAAALLTE5NDU1NTQwNTYDAAAAAjI3AgAAAAYxMDAwNjAEAAAAATAHAAAACTcvMTAvMjAyNXFCSwGTI94I4lfRA5Mj3ggqQ0lRLlRTWDpMVU4uSVFfTUFSS0VUQ0FQLjIwMjUtMDctMTAuLi4uQ0FEAQAAAKduDQACAAAADDEyMTk3Ljk2NjY5OAEGAAAABQAAAAExAQAAAAstMTk0NTU1NDA1NgMAAAACMjcCAAAABjEwMDA1NAQAAAABMAcAAAAJNy8xMC8yMDI1cUJLAZMj3ghwL9IDkyPeCCRDSVEuVFNYOkFHSS5JUV9URVYuMjAyNS0wNy0xMC4uLi5DQUQBAAAAO3sNAAIAAAALMTQ5NDkuNjgwMTIBBgAAAAUAAAABMQEAAAALLTE5NDcyNDkzNjMDAAAAAjI3AgAAAAYxMDAwNjAEAAAAATAHAAAACTcvMTAvMjAyNXFCSwGTI94IcC/SA5Mj3ggqQ0lRLlRTWDpBR0kuSVFfTUFSS0VUQ0FQLjIwMjUtMDctMTAuLi4uQ0FEAQAAADt7DQACAAAACzE1MDAxLjU2ODQ2AQYAAAAFAAAAATEBAAAACy0xOTQ3MjQ5MzYzAwAAAAIyNwIAAAAGMTAwMDU0BAAAAAEwBwAAAAk3LzEwLzIwMjVxQksBkyPeCHAv0gOTI94IJUNJUS5U</t>
  </si>
  <si>
    <t>U1g6UEFBUy5JUV9URVYuMjAyNS0wNy0xMC4uLi5DQUQBAAAAXesFAAIAAAAMMTQzOTMuMjAyODg2AQYAAAAFAAAAATEBAAAACy0xOTQ1NTU0MDIwAwAAAAIyNwIAAAAGMTAwMDYwBAAAAAEwBwAAAAk3LzEwLzIwMjVxQksBkyPeCHAv0gOTI94IK0NJUS5UU1g6UEFBUy5JUV9NQVJLRVRDQVAuMjAyNS0wNy0xMC4uLi5DQUQBAAAAXesFAAIAAAAMMTQ1MTIuOTM0MTQ3AQYAAAAFAAAAATEBAAAACy0xOTQ1NTU0MDIwAwAAAAIyNwIAAAAGMTAwMDU0BAAAAAEwBwAAAAk3LzEwLzIwMjVxQksBkyPeCHAv0gOTI94II0NJUS5UU1g6Q1MuSVFfVEVWLjIwMjUtMDctMTAuLi4uQ0FEAQAAAIkFJgACAAAACzg2MzAuODQyNzc0AQYAAAAFAAAAATEBAAAACy0xOTQ2OTQ0NTkyAwAAAAIyNwIAAAAGMTAwMDYwBAAAAAEwBwAAAAk3LzEwLzIwMjVxQksBkyPeCHAv0gOTI94IKUNJUS5UU1g6Q1MuSVFfTUFSS0VUQ0FQLjIwMjUtMDctMTAuLi4uQ0FEAQAAAIkFJgACAAAACzYwOTcuOTc2MjI0AQYAAAAFAAAAATEBAAAACy0xOTQ2OTQ0NTkyAwAAAAIyNwIAAAAGMTAwMDU0BAAAAAEwBwAAAAk3LzEwLzIwMjVxQksBkyPeCHAv0gOTI94IJENJUS5UU1g6SU1HLklRX1RFVi4yMDI1LTA3LTEwLi4uLkNBRAEAAAC+bg0AAgAAAAs2NzM2LjMyNjExMwEGAAAABQAAAAExAQAAAAstMTk0NTg5MzcyMgMAAAACMjcCAAAABjEwMDA2</t>
  </si>
  <si>
    <t>MAQAAAABMAcAAAAJNy8xMC8yMDI1cUJLAZMj3ghwL9IDkyPeCCpDSVEuVFNYOklNRy5JUV9NQVJLRVRDQVAuMjAyNS0wNy0xMC4uLi5DQUQBAAAAvm4NAAIAAAALNTQ1Ny4yMjgzNDMBBgAAAAUAAAABMQEAAAALLTE5NDU4OTM3MjIDAAAAAjI3AgAAAAYxMDAwNTQEAAAAATAHAAAACTcvMTAvMjAyNXFCSwGTI94IcC/SA5Mj3ggkQ0lRLlRTWDpCVE8uSVFfVEVWLjIwMjUtMDctMTAuLi4uQ0FEAQAAAOndHQICAAAACjY0NTkuMDQ3MTkBBgAAAAUAAAABMQEAAAALLTE5NDU1NTQwMTIDAAAAAjI3AgAAAAYxMDAwNjAEAAAAATAHAAAACTcvMTAvMjAyNXFCSwGTI94IcC/SA5Mj3ggqQ0lRLlRTWDpCVE8uSVFfTUFSS0VUQ0FQLjIwMjUtMDctMTAuLi4uQ0FEAQAAAOndHQICAAAACjYyNzYuNTIwOTkBBgAAAAUAAAABMQEAAAALLTE5NDU1NTQwMTIDAAAAAjI3AgAAAAYxMDAwNTQEAAAAATAHAAAACTcvMTAvMjAyNXFCSwGTI94IcC/SA5Mj3ggkQ0lRLk5ZU0U6SEwuSVFfVEVWLjIwMjUtMDctMTAuLi4uQ0FEAQAAAF8+BAACAAAADjU3ODcuMTI5MjIzNzA0AQYAAAAFAAAAATEBAAAACy0xOTQ2ODY2NDE3AwAAAAIyNwIAAAAGMTAwMDYwBAAAAAEwBwAAAAk3LzEwLzIwMjVxQksBkyPeCHAv0gOTI94IKkNJUS5OWVNFOkhMLklRX01BUktFVENBUC4yMDI1LTA3LTEwLi4uLkNBRAEAAABfPgQAAgAAABA1MDI3Ljc4</t>
  </si>
  <si>
    <t>OTQ4MDgzMjUyAQYAAAAFAAAAATEBAAAACy0xOTQ2ODY2NDE3AwAAAAIyNwIAAAAGMTAwMDU0BAAAAAEwBwAAAAk3LzEwLzIwMjVxQksBkyPeCHAv0gOTI94IJENJUS5UU1g6TkdELklRX1RFVi4yMDI1LTA3LTEwLi4uLkNBRAEAAAANaUoAAgAAAAo1NDk2Ljk4OTI4AQYAAAAFAAAAATEBAAAACy0xOTQ3NTYxNTMxAwAAAAIyNwIAAAAGMTAwMDYwBAAAAAEwBwAAAAk3LzEwLzIwMjVxQksBkyPeCHAv0gOTI94IKkNJUS5UU1g6TkdELklRX01BUktFVENBUC4yMDI1LTA3LTEwLi4uLkNBRAEAAAANaUoAAgAAAAo1MDgwLjU4ODk4AQYAAAAFAAAAATEBAAAACy0xOTQ3NTYxNTMxAwAAAAIyNwIAAAAGMTAwMDU0BAAAAAEwBwAAAAk3LzEwLzIwMjVxQksBkyPeCHAv0gOTI94IJENJUS5UU1g6RUxELklRX1RFVi4yMDI1LTA3LTEwLi4uLkNBRAEAAADfYw0AAgAAAAo1NDg2Ljc4NzY0AQYAAAAFAAAAATEBAAAACy0xOTQ2ODYyNTA0AwAAAAIyNwIAAAAGMTAwMDYwBAAAAAEwBwAAAAk3LzEwLzIwMjVxQksBkyPeCHAv0gOTI94IKkNJUS5UU1g6RUxELklRX01BUktFVENBUC4yMDI1LTA3LTEwLi4uLkNBRAEAAADfYw0AAgAAAAo1NTg5LjY1NzM0AQYAAAAFAAAAATEBAAAACy0xOTQ2ODYyNTA0AwAAAAIyNwIAAAAGMTAwMDU0BAAAAAEwBwAAAAk3LzEwLzIwMjVxQksBkyPeCHAv0gOTI94IJUNJUS5UU1g6U1NSTS5J</t>
  </si>
  <si>
    <t>UV9URVYuMjAyNS0wNy0xMC4uLi5DQUQBAAAA2EsGAAIAAAALNDY0OS42NjIxOTMBBgAAAAUAAAABMQEAAAALLTE5NDU5NDE2OTADAAAAAjI3AgAAAAYxMDAwNjAEAAAAATAHAAAACTcvMTAvMjAyNXFCSwGTI94I25fUA5Mj3ggrQ0lRLlRTWDpTU1JNLklRX01BUktFVENBUC4yMDI1LTA3LTEwLi4uLkNBRAEAAADYSwYAAgAAAAszNDM5LjExNDUyNAEGAAAABQAAAAExAQAAAAstMTk0NTk0MTY5MAMAAAACMjcCAAAABjEwMDA1NAQAAAABMAcAAAAJNy8xMC8yMDI1cUJLAZMj3gjbl9QDkyPeCCRDSVEuVFNYOk9HQy5JUV9URVYuMjAyNS0wNy0xMC4uLi5DQUQBAAAAhxSPAAIAAAALNDM3Mi41MDA5MzkBBgAAAAUAAAABMQEAAAALLTE5NDU1NTM4NjYDAAAAAjI3AgAAAAYxMDAwNjAEAAAAATAHAAAACTcvMTAvMjAyNXFCSwGTI94I25fUA5Mj3ggqQ0lRLlRTWDpPR0MuSVFfTUFSS0VUQ0FQLjIwMjUtMDctMTAuLi4uQ0FEAQAAAIcUjwACAAAACzQ0NjMuMDUzOTg5AQYAAAAFAAAAATEBAAAACy0xOTQ1NTUzODY2AwAAAAIyNwIAAAAGMTAwMDU0BAAAAAEwBwAAAAk3LzEwLzIwMjVxQksBkyPeCNuX1AOTI94IJENJUS5UU1g6RVJPLklRX1RFVi4yMDI1LTA3LTEwLi4uLkNBRAEAAABYV4YZAgAAAAsyOTMyLjQ2MTUwOQEGAAAABQAAAAExAQAAAAstMTk0NjA2MTA3MQMAAAACMjcCAAAABjEwMDA2MAQAAAABMAcA</t>
  </si>
  <si>
    <t>AAAJNy8xMC8yMDI1cUJLAZMj3gjbl9QDkyPeCCpDSVEuVFNYOkVSTy5JUV9NQVJLRVRDQVAuMjAyNS0wNy0xMC4uLi5DQUQBAAAAWFeGGQIAAAALMjA4NS45NDE0MDkBBgAAAAUAAAABMQEAAAALLTE5NDYwNjEwNzEDAAAAAjI3AgAAAAYxMDAwNTQEAAAAATAHAAAACTcvMTAvMjAyNXFCSwGTI94I25fUA5Mj3ggkQ0lRLi5JUV9UT1RBTF9SRVYuMjAwMC4yMDI1LTA3LTEwLi4uBQAAAAEAAAAIAAAAFChJbnZhbGlkIElkZW50aWZpZXIpf3w6A5Mj3gh/fDoDkyPeCCBDSVEuLklRX01BUktFVENBUC4yMDI1LTA3LTEwLi4uLgUAAAABAAAACAAAABQoSW52YWxpZCBJZGVudGlmaWVyKX98OgOTI94If3w6A5Mj3ggaQ0lRLi5JUV9URVYuMjAyNS0wNy0xMC4uLi4FAAAAAQAAAAgAAAAUKEludmFsaWQgSWRlbnRpZmllcil/fDoDkyPeCH98OgOTI94IJ0NJUS4uSVFfVE9UQUxfQVNTRVRTLjIwMDAuMjAyNS0wNy0xMC4uLgUAAAABAAAACAAAABQoSW52YWxpZCBJZGVudGlmaWVyKX98OgOTI94If3w6A5Mj3ggUQ0lRLi5JUV9DT1VOVFJZX05BTUUFAAAAAQAAAAgAAAAUKEludmFsaWQgSWRlbnRpZmllcil/fDoDkyPeCH98OgOTI94IGkNJUS4uSVFfVEVWLjIwMjUtMDctMTQuQ0FEBQAAAAAAAAAIAAAAFChJbnZhbGlkIElkZW50aWZpZXIpf3w6A5Mj3gh12l0XnSPeCCBDSVEuLklRX01BUktFVENBUC4yMDI1LTA3</t>
  </si>
  <si>
    <t>LTE0LkNBRAUAAAAAAAAACAAAABQoSW52YWxpZCBJZGVudGlmaWVyKX98OgOTI94IddpdF50j3ggaQ0lRLi5JUV9URVYuMjAyNS0wNy0wMS5DQUQFAAAAAQAAAAgAAAAUKEludmFsaWQgSWRlbnRpZmllcil/fDoDkyPeCH98OgOTI94IIENJUS4uSVFfTUFSS0VUQ0FQLjIwMjUtMDctMDEuQ0FEBQAAAAEAAAAIAAAAFChJbnZhbGlkIElkZW50aWZpZXIpf3w6A5Mj3gh/fDoDkyPeCCpDSVEuLklRX1RPVEFMX0FTU0VUUy4yMDAwLjIwMjUtMDctMTAuLi5DQUQFAAAAAQAAAAgAAAAUKEludmFsaWQgSWRlbnRpZmllcil/fDoDkyPeCH98OgOTI94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</si>
</sst>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44" formatCode="_-&quot;$&quot;* #,##0.00_-;\-&quot;$&quot;* #,##0.00_-;_-&quot;$&quot;* &quot;-&quot;??_-;_-@_-"/>
    <numFmt numFmtId="43" formatCode="_-* #,##0.00_-;\-* #,##0.00_-;_-* &quot;-&quot;??_-;_-@_-"/>
    <numFmt numFmtId="164" formatCode="&quot;$&quot;#,##0"/>
    <numFmt numFmtId="165" formatCode="&quot;$&quot;#,##0.00"/>
    <numFmt numFmtId="166" formatCode="\P0"/>
    <numFmt numFmtId="167" formatCode="&quot;$&quot;#,##0.000"/>
    <numFmt numFmtId="168" formatCode="&quot;P&quot;00"/>
    <numFmt numFmtId="169" formatCode="0.0%"/>
  </numFmts>
  <fonts count="97">
    <font>
      <sz val="11"/>
      <color theme="1"/>
      <name val="Calibri"/>
      <family val="2"/>
      <scheme val="minor"/>
    </font>
    <font>
      <sz val="10"/>
      <color theme="1"/>
      <name val="Tahoma"/>
      <family val="2"/>
    </font>
    <font>
      <sz val="11"/>
      <color theme="1"/>
      <name val="Calibri"/>
      <family val="2"/>
      <scheme val="minor"/>
    </font>
    <font>
      <sz val="11"/>
      <name val="Tahoma"/>
      <family val="2"/>
    </font>
    <font>
      <sz val="10"/>
      <name val="Tahoma"/>
      <family val="2"/>
    </font>
    <font>
      <sz val="10"/>
      <name val="Arial"/>
      <family val="2"/>
    </font>
    <font>
      <vertAlign val="superscript"/>
      <sz val="10"/>
      <name val="Tahoma"/>
      <family val="2"/>
    </font>
    <font>
      <b/>
      <sz val="11"/>
      <name val="Tahoma"/>
      <family val="2"/>
    </font>
    <font>
      <b/>
      <i/>
      <sz val="11"/>
      <name val="Tahoma"/>
      <family val="2"/>
    </font>
    <font>
      <vertAlign val="superscript"/>
      <sz val="11"/>
      <name val="Tahoma"/>
      <family val="2"/>
    </font>
    <font>
      <i/>
      <sz val="10"/>
      <name val="Tahoma"/>
      <family val="2"/>
    </font>
    <font>
      <i/>
      <sz val="11"/>
      <color theme="0"/>
      <name val="Tahoma"/>
      <family val="2"/>
    </font>
    <font>
      <i/>
      <sz val="11"/>
      <name val="Tahoma"/>
      <family val="2"/>
    </font>
    <font>
      <b/>
      <i/>
      <sz val="11"/>
      <color theme="0"/>
      <name val="Tahoma"/>
      <family val="2"/>
    </font>
    <font>
      <b/>
      <sz val="11"/>
      <color theme="0"/>
      <name val="Tahoma"/>
      <family val="2"/>
    </font>
    <font>
      <b/>
      <i/>
      <sz val="10"/>
      <color theme="0"/>
      <name val="Tahoma"/>
      <family val="2"/>
    </font>
    <font>
      <b/>
      <sz val="10"/>
      <color theme="0"/>
      <name val="Tahoma"/>
      <family val="2"/>
    </font>
    <font>
      <sz val="12"/>
      <name val="Tahoma"/>
      <family val="2"/>
    </font>
    <font>
      <vertAlign val="superscript"/>
      <sz val="12"/>
      <name val="Tahoma"/>
      <family val="2"/>
    </font>
    <font>
      <b/>
      <u/>
      <sz val="10"/>
      <name val="Tahoma"/>
      <family val="2"/>
    </font>
    <font>
      <b/>
      <i/>
      <sz val="16"/>
      <name val="Tahoma"/>
      <family val="2"/>
    </font>
    <font>
      <sz val="9"/>
      <name val="Tahoma"/>
      <family val="2"/>
    </font>
    <font>
      <sz val="8"/>
      <name val="Arial"/>
      <family val="2"/>
    </font>
    <font>
      <sz val="8"/>
      <color indexed="8"/>
      <name val="Arial"/>
      <family val="2"/>
    </font>
    <font>
      <b/>
      <sz val="11"/>
      <color theme="0"/>
      <name val="Calibri"/>
      <family val="2"/>
      <scheme val="minor"/>
    </font>
    <font>
      <b/>
      <sz val="11"/>
      <color theme="1"/>
      <name val="Calibri"/>
      <family val="2"/>
      <scheme val="minor"/>
    </font>
    <font>
      <sz val="8"/>
      <name val="MUnivers"/>
    </font>
    <font>
      <b/>
      <sz val="10"/>
      <name val="Tahoma"/>
      <family val="2"/>
    </font>
    <font>
      <b/>
      <sz val="10"/>
      <color rgb="FFC00000"/>
      <name val="Tahoma"/>
      <family val="2"/>
    </font>
    <font>
      <b/>
      <sz val="12"/>
      <name val="Tahoma"/>
      <family val="2"/>
    </font>
    <font>
      <i/>
      <sz val="8"/>
      <color theme="1"/>
      <name val="Calibri"/>
      <family val="2"/>
      <scheme val="minor"/>
    </font>
    <font>
      <sz val="10"/>
      <color rgb="FF000000"/>
      <name val="Tahoma"/>
      <family val="2"/>
    </font>
    <font>
      <sz val="10"/>
      <color rgb="FF00B050"/>
      <name val="Tahoma"/>
      <family val="2"/>
    </font>
    <font>
      <sz val="10"/>
      <color rgb="FF0070C0"/>
      <name val="Tahoma"/>
      <family val="2"/>
    </font>
    <font>
      <b/>
      <i/>
      <sz val="16"/>
      <name val="Calibri"/>
      <family val="2"/>
      <scheme val="minor"/>
    </font>
    <font>
      <b/>
      <u/>
      <sz val="10"/>
      <name val="Calibri"/>
      <family val="2"/>
      <scheme val="minor"/>
    </font>
    <font>
      <sz val="10"/>
      <name val="Calibri"/>
      <family val="2"/>
      <scheme val="minor"/>
    </font>
    <font>
      <sz val="11"/>
      <name val="Calibri"/>
      <family val="2"/>
      <scheme val="minor"/>
    </font>
    <font>
      <i/>
      <sz val="11"/>
      <name val="Calibri"/>
      <family val="2"/>
      <scheme val="minor"/>
    </font>
    <font>
      <b/>
      <sz val="11"/>
      <name val="Calibri"/>
      <family val="2"/>
      <scheme val="minor"/>
    </font>
    <font>
      <i/>
      <sz val="11"/>
      <color theme="0"/>
      <name val="Calibri"/>
      <family val="2"/>
      <scheme val="minor"/>
    </font>
    <font>
      <vertAlign val="superscript"/>
      <sz val="10"/>
      <name val="Calibri"/>
      <family val="2"/>
      <scheme val="minor"/>
    </font>
    <font>
      <b/>
      <sz val="10"/>
      <color theme="5"/>
      <name val="Tahoma"/>
      <family val="2"/>
    </font>
    <font>
      <i/>
      <sz val="10"/>
      <color rgb="FFFF0000"/>
      <name val="Calibri"/>
      <family val="2"/>
      <scheme val="minor"/>
    </font>
    <font>
      <sz val="10"/>
      <color rgb="FFFF0000"/>
      <name val="Tahoma"/>
      <family val="2"/>
    </font>
    <font>
      <sz val="11"/>
      <color theme="0"/>
      <name val="Calibri"/>
      <family val="2"/>
      <scheme val="minor"/>
    </font>
    <font>
      <u/>
      <sz val="11"/>
      <color theme="1"/>
      <name val="Calibri"/>
      <family val="2"/>
      <scheme val="minor"/>
    </font>
    <font>
      <sz val="11"/>
      <color theme="1"/>
      <name val="Symbol"/>
      <family val="1"/>
      <charset val="2"/>
    </font>
    <font>
      <sz val="7"/>
      <color theme="1"/>
      <name val="Times New Roman"/>
      <family val="1"/>
    </font>
    <font>
      <sz val="11"/>
      <color theme="1"/>
      <name val="Courier New"/>
      <family val="3"/>
    </font>
    <font>
      <sz val="11"/>
      <color theme="1"/>
      <name val="Wingdings"/>
      <charset val="2"/>
    </font>
    <font>
      <b/>
      <sz val="11"/>
      <color rgb="FF0070C0"/>
      <name val="Calibri"/>
      <family val="2"/>
      <scheme val="minor"/>
    </font>
    <font>
      <sz val="8"/>
      <color rgb="FF000000"/>
      <name val="Verdana"/>
      <family val="2"/>
    </font>
    <font>
      <i/>
      <sz val="11"/>
      <color theme="1"/>
      <name val="Calibri"/>
      <family val="2"/>
      <scheme val="minor"/>
    </font>
    <font>
      <sz val="12"/>
      <color theme="0"/>
      <name val="Calibri"/>
      <family val="2"/>
      <scheme val="minor"/>
    </font>
    <font>
      <b/>
      <sz val="11"/>
      <color rgb="FFFFFFFF"/>
      <name val="Calibri"/>
      <family val="2"/>
      <scheme val="minor"/>
    </font>
    <font>
      <sz val="11"/>
      <color rgb="FF000000"/>
      <name val="Calibri"/>
      <family val="2"/>
      <scheme val="minor"/>
    </font>
    <font>
      <b/>
      <i/>
      <sz val="10"/>
      <color theme="1"/>
      <name val="Tahoma"/>
      <family val="2"/>
    </font>
    <font>
      <b/>
      <sz val="10"/>
      <color theme="1"/>
      <name val="Tahoma"/>
      <family val="2"/>
    </font>
    <font>
      <sz val="11"/>
      <color rgb="FF0070C0"/>
      <name val="Calibri"/>
      <family val="2"/>
    </font>
    <font>
      <sz val="10"/>
      <color rgb="FFF0531E"/>
      <name val="Tahoma"/>
      <family val="2"/>
    </font>
    <font>
      <sz val="10"/>
      <color theme="3"/>
      <name val="Tahoma"/>
      <family val="2"/>
    </font>
    <font>
      <sz val="10"/>
      <color rgb="FF002060"/>
      <name val="Tahoma"/>
      <family val="2"/>
    </font>
    <font>
      <sz val="10"/>
      <color theme="5" tint="0.39997558519241921"/>
      <name val="Tahoma"/>
      <family val="2"/>
    </font>
    <font>
      <sz val="10"/>
      <color theme="4"/>
      <name val="Tahoma"/>
      <family val="2"/>
    </font>
    <font>
      <b/>
      <i/>
      <sz val="11"/>
      <color rgb="FFFFFFFF"/>
      <name val="Calibri"/>
      <family val="2"/>
      <scheme val="minor"/>
    </font>
    <font>
      <b/>
      <sz val="11"/>
      <color rgb="FF000000"/>
      <name val="Calibri"/>
      <family val="2"/>
      <scheme val="minor"/>
    </font>
    <font>
      <sz val="8"/>
      <name val="Calibri"/>
      <family val="2"/>
      <scheme val="minor"/>
    </font>
    <font>
      <i/>
      <sz val="11"/>
      <color rgb="FFFFFFFF"/>
      <name val="Calibri"/>
      <family val="2"/>
      <scheme val="minor"/>
    </font>
    <font>
      <sz val="11"/>
      <color rgb="FF000000"/>
      <name val="Tahoma"/>
      <family val="2"/>
    </font>
    <font>
      <b/>
      <sz val="11"/>
      <color rgb="FF000000"/>
      <name val="Tahoma"/>
      <family val="2"/>
    </font>
    <font>
      <sz val="11"/>
      <color rgb="FFFF0000"/>
      <name val="Calibri"/>
      <family val="2"/>
      <scheme val="minor"/>
    </font>
    <font>
      <strike/>
      <sz val="11"/>
      <color theme="1"/>
      <name val="Calibri"/>
      <family val="2"/>
      <scheme val="minor"/>
    </font>
    <font>
      <b/>
      <sz val="10"/>
      <color rgb="FF0070C0"/>
      <name val="Tahoma"/>
      <family val="2"/>
    </font>
    <font>
      <b/>
      <strike/>
      <sz val="11"/>
      <color theme="1"/>
      <name val="Calibri"/>
      <family val="2"/>
      <scheme val="minor"/>
    </font>
    <font>
      <b/>
      <i/>
      <sz val="11"/>
      <color rgb="FFFF0000"/>
      <name val="Calibri"/>
      <family val="2"/>
      <scheme val="minor"/>
    </font>
    <font>
      <b/>
      <sz val="11"/>
      <color rgb="FFFF0000"/>
      <name val="Calibri"/>
      <family val="2"/>
      <scheme val="minor"/>
    </font>
    <font>
      <sz val="12"/>
      <color rgb="FF000000"/>
      <name val="Calibri"/>
      <family val="2"/>
      <scheme val="minor"/>
    </font>
    <font>
      <b/>
      <sz val="12"/>
      <color rgb="FF000000"/>
      <name val="Calibri"/>
      <family val="2"/>
      <scheme val="minor"/>
    </font>
    <font>
      <sz val="12"/>
      <color rgb="FF000000"/>
      <name val="Tahoma"/>
      <family val="2"/>
    </font>
    <font>
      <b/>
      <sz val="12"/>
      <color rgb="FFFFFFFF"/>
      <name val="Calibri"/>
      <family val="2"/>
      <scheme val="minor"/>
    </font>
    <font>
      <b/>
      <sz val="12"/>
      <color rgb="FF000000"/>
      <name val="Tahoma"/>
      <family val="2"/>
    </font>
    <font>
      <i/>
      <sz val="12"/>
      <color rgb="FFFFFFFF"/>
      <name val="Calibri"/>
      <family val="2"/>
      <scheme val="minor"/>
    </font>
    <font>
      <b/>
      <sz val="14"/>
      <color rgb="FFFFFFFF"/>
      <name val="Calibri"/>
      <family val="2"/>
      <scheme val="minor"/>
    </font>
    <font>
      <sz val="14"/>
      <color rgb="FF000000"/>
      <name val="Tahoma"/>
      <family val="2"/>
    </font>
    <font>
      <sz val="14"/>
      <color rgb="FF000000"/>
      <name val="Calibri"/>
      <family val="2"/>
      <scheme val="minor"/>
    </font>
    <font>
      <sz val="14"/>
      <color rgb="FFFFFFFF"/>
      <name val="Calibri"/>
      <family val="2"/>
      <scheme val="minor"/>
    </font>
    <font>
      <i/>
      <sz val="11"/>
      <color rgb="FF000000"/>
      <name val="Calibri"/>
      <family val="2"/>
      <scheme val="minor"/>
    </font>
    <font>
      <sz val="11"/>
      <color rgb="FF0070C0"/>
      <name val="Calibri"/>
      <family val="2"/>
      <scheme val="minor"/>
    </font>
    <font>
      <b/>
      <sz val="13"/>
      <color rgb="FFFFFFFF"/>
      <name val="Calibri"/>
      <family val="2"/>
      <scheme val="minor"/>
    </font>
    <font>
      <sz val="13"/>
      <color rgb="FF000000"/>
      <name val="Calibri"/>
      <family val="2"/>
      <scheme val="minor"/>
    </font>
    <font>
      <b/>
      <sz val="13"/>
      <color rgb="FF000000"/>
      <name val="Calibri"/>
      <family val="2"/>
      <scheme val="minor"/>
    </font>
    <font>
      <i/>
      <sz val="13"/>
      <color rgb="FFFFFFFF"/>
      <name val="Calibri"/>
      <family val="2"/>
      <scheme val="minor"/>
    </font>
    <font>
      <sz val="12"/>
      <color rgb="FFFFFFFF"/>
      <name val="Calibri"/>
      <family val="2"/>
      <scheme val="minor"/>
    </font>
    <font>
      <vertAlign val="superscript"/>
      <sz val="11"/>
      <color rgb="FF000000"/>
      <name val="Calibri"/>
      <family val="2"/>
      <scheme val="minor"/>
    </font>
    <font>
      <sz val="9"/>
      <color indexed="81"/>
      <name val="Tahoma"/>
      <charset val="1"/>
    </font>
    <font>
      <sz val="9"/>
      <color indexed="81"/>
      <name val="Tahoma"/>
      <family val="2"/>
    </font>
  </fonts>
  <fills count="27">
    <fill>
      <patternFill patternType="none"/>
    </fill>
    <fill>
      <patternFill patternType="gray125"/>
    </fill>
    <fill>
      <patternFill patternType="solid">
        <fgColor rgb="FFF0531E"/>
        <bgColor indexed="64"/>
      </patternFill>
    </fill>
    <fill>
      <patternFill patternType="solid">
        <fgColor rgb="FF5F6269"/>
        <bgColor indexed="64"/>
      </patternFill>
    </fill>
    <fill>
      <patternFill patternType="solid">
        <fgColor rgb="FF002957"/>
        <bgColor indexed="64"/>
      </patternFill>
    </fill>
    <fill>
      <patternFill patternType="solid">
        <fgColor theme="5" tint="-0.249977111117893"/>
        <bgColor indexed="64"/>
      </patternFill>
    </fill>
    <fill>
      <patternFill patternType="solid">
        <fgColor theme="5"/>
        <bgColor indexed="64"/>
      </patternFill>
    </fill>
    <fill>
      <patternFill patternType="solid">
        <fgColor theme="3" tint="-0.249977111117893"/>
        <bgColor indexed="64"/>
      </patternFill>
    </fill>
    <fill>
      <patternFill patternType="solid">
        <fgColor theme="3"/>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D9D9D9"/>
        <bgColor indexed="64"/>
      </patternFill>
    </fill>
    <fill>
      <patternFill patternType="solid">
        <fgColor theme="8" tint="-0.499984740745262"/>
        <bgColor indexed="64"/>
      </patternFill>
    </fill>
    <fill>
      <patternFill patternType="solid">
        <fgColor rgb="FFFFFF00"/>
        <bgColor indexed="64"/>
      </patternFill>
    </fill>
    <fill>
      <patternFill patternType="solid">
        <fgColor theme="2"/>
        <bgColor indexed="64"/>
      </patternFill>
    </fill>
    <fill>
      <patternFill patternType="solid">
        <fgColor rgb="FFC00000"/>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2" tint="0.249977111117893"/>
        <bgColor indexed="64"/>
      </patternFill>
    </fill>
  </fills>
  <borders count="19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4" tint="0.79995117038483843"/>
      </left>
      <right/>
      <top style="thin">
        <color theme="4" tint="0.79995117038483843"/>
      </top>
      <bottom/>
      <diagonal/>
    </border>
    <border>
      <left style="thin">
        <color theme="3" tint="0.79995117038483843"/>
      </left>
      <right style="thin">
        <color theme="3" tint="0.79995117038483843"/>
      </right>
      <top style="thin">
        <color theme="3" tint="0.79998168889431442"/>
      </top>
      <bottom style="thin">
        <color theme="3" tint="0.79998168889431442"/>
      </bottom>
      <diagonal/>
    </border>
    <border>
      <left style="thin">
        <color theme="3" tint="0.79998168889431442"/>
      </left>
      <right/>
      <top style="thin">
        <color theme="3" tint="0.79998168889431442"/>
      </top>
      <bottom style="thin">
        <color theme="3" tint="0.79998168889431442"/>
      </bottom>
      <diagonal/>
    </border>
    <border>
      <left style="thin">
        <color theme="3" tint="0.79995117038483843"/>
      </left>
      <right style="thin">
        <color theme="3" tint="0.79995117038483843"/>
      </right>
      <top style="thin">
        <color theme="3" tint="0.79998168889431442"/>
      </top>
      <bottom style="thin">
        <color theme="3" tint="0.79995117038483843"/>
      </bottom>
      <diagonal/>
    </border>
    <border>
      <left style="thin">
        <color theme="3" tint="0.79995117038483843"/>
      </left>
      <right/>
      <top style="thin">
        <color theme="3" tint="0.79998168889431442"/>
      </top>
      <bottom style="thin">
        <color theme="3" tint="0.79995117038483843"/>
      </bottom>
      <diagonal/>
    </border>
    <border>
      <left style="thin">
        <color theme="3" tint="0.79995117038483843"/>
      </left>
      <right style="thin">
        <color theme="3" tint="0.79995117038483843"/>
      </right>
      <top/>
      <bottom style="thin">
        <color theme="3" tint="0.79998168889431442"/>
      </bottom>
      <diagonal/>
    </border>
    <border>
      <left style="thin">
        <color theme="3" tint="0.79998168889431442"/>
      </left>
      <right/>
      <top/>
      <bottom style="thin">
        <color theme="3" tint="0.79998168889431442"/>
      </bottom>
      <diagonal/>
    </border>
    <border>
      <left style="thin">
        <color theme="3" tint="0.79995117038483843"/>
      </left>
      <right style="thin">
        <color theme="3" tint="0.79995117038483843"/>
      </right>
      <top/>
      <bottom/>
      <diagonal/>
    </border>
    <border>
      <left style="thin">
        <color theme="3" tint="0.79998168889431442"/>
      </left>
      <right/>
      <top/>
      <bottom/>
      <diagonal/>
    </border>
    <border>
      <left style="thin">
        <color theme="3" tint="0.79995117038483843"/>
      </left>
      <right style="thin">
        <color theme="3" tint="0.79995117038483843"/>
      </right>
      <top style="thin">
        <color theme="3" tint="0.79998168889431442"/>
      </top>
      <bottom/>
      <diagonal/>
    </border>
    <border>
      <left style="thin">
        <color theme="3" tint="0.79998168889431442"/>
      </left>
      <right/>
      <top style="thin">
        <color theme="3" tint="0.79998168889431442"/>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79992065187536243"/>
      </right>
      <top style="thin">
        <color theme="3" tint="0.79995117038483843"/>
      </top>
      <bottom style="thin">
        <color theme="3" tint="0.79998168889431442"/>
      </bottom>
      <diagonal/>
    </border>
    <border>
      <left/>
      <right/>
      <top style="thin">
        <color theme="3" tint="0.79995117038483843"/>
      </top>
      <bottom style="thin">
        <color theme="3" tint="0.79998168889431442"/>
      </bottom>
      <diagonal/>
    </border>
    <border>
      <left style="thin">
        <color theme="3" tint="0.79998168889431442"/>
      </left>
      <right/>
      <top style="thin">
        <color theme="3" tint="0.79995117038483843"/>
      </top>
      <bottom style="thin">
        <color theme="3" tint="0.7999816888943144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style="thin">
        <color theme="0"/>
      </right>
      <top style="thin">
        <color indexed="64"/>
      </top>
      <bottom style="thin">
        <color theme="0"/>
      </bottom>
      <diagonal/>
    </border>
    <border>
      <left style="thin">
        <color indexed="64"/>
      </left>
      <right style="thin">
        <color indexed="64"/>
      </right>
      <top/>
      <bottom/>
      <diagonal/>
    </border>
    <border>
      <left style="thin">
        <color theme="0"/>
      </left>
      <right style="thin">
        <color theme="0"/>
      </right>
      <top style="thin">
        <color theme="0"/>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theme="0"/>
      </left>
      <right style="thin">
        <color theme="0"/>
      </right>
      <top style="thin">
        <color indexed="64"/>
      </top>
      <bottom/>
      <diagonal/>
    </border>
    <border>
      <left style="thick">
        <color indexed="64"/>
      </left>
      <right style="thin">
        <color theme="0"/>
      </right>
      <top style="thick">
        <color indexed="64"/>
      </top>
      <bottom style="thin">
        <color theme="0"/>
      </bottom>
      <diagonal/>
    </border>
    <border>
      <left style="thin">
        <color theme="0"/>
      </left>
      <right style="thick">
        <color indexed="64"/>
      </right>
      <top style="thick">
        <color indexed="64"/>
      </top>
      <bottom style="thin">
        <color theme="0"/>
      </bottom>
      <diagonal/>
    </border>
    <border>
      <left style="thin">
        <color indexed="64"/>
      </left>
      <right/>
      <top/>
      <bottom/>
      <diagonal/>
    </border>
    <border>
      <left style="thick">
        <color indexed="64"/>
      </left>
      <right style="hair">
        <color indexed="64"/>
      </right>
      <top/>
      <bottom/>
      <diagonal/>
    </border>
    <border>
      <left style="hair">
        <color indexed="64"/>
      </left>
      <right style="thick">
        <color indexed="64"/>
      </right>
      <top/>
      <bottom/>
      <diagonal/>
    </border>
    <border>
      <left/>
      <right style="hair">
        <color indexed="64"/>
      </right>
      <top/>
      <bottom/>
      <diagonal/>
    </border>
    <border>
      <left style="hair">
        <color indexed="64"/>
      </left>
      <right/>
      <top/>
      <bottom/>
      <diagonal/>
    </border>
    <border>
      <left style="thin">
        <color indexed="64"/>
      </left>
      <right style="thin">
        <color theme="0"/>
      </right>
      <top style="thin">
        <color theme="0"/>
      </top>
      <bottom/>
      <diagonal/>
    </border>
    <border>
      <left/>
      <right style="thin">
        <color theme="0"/>
      </right>
      <top style="thin">
        <color theme="0"/>
      </top>
      <bottom/>
      <diagonal/>
    </border>
    <border>
      <left style="thick">
        <color indexed="64"/>
      </left>
      <right style="thin">
        <color theme="0"/>
      </right>
      <top style="thin">
        <color theme="0"/>
      </top>
      <bottom/>
      <diagonal/>
    </border>
    <border>
      <left style="thin">
        <color theme="0"/>
      </left>
      <right style="thick">
        <color indexed="64"/>
      </right>
      <top style="thin">
        <color theme="0"/>
      </top>
      <bottom/>
      <diagonal/>
    </border>
    <border>
      <left style="thin">
        <color theme="0"/>
      </left>
      <right style="thin">
        <color theme="0"/>
      </right>
      <top/>
      <bottom/>
      <diagonal/>
    </border>
    <border>
      <left style="thin">
        <color theme="0"/>
      </left>
      <right style="thin">
        <color indexed="64"/>
      </right>
      <top/>
      <bottom/>
      <diagonal/>
    </border>
    <border>
      <left style="thin">
        <color theme="1"/>
      </left>
      <right style="thin">
        <color theme="1"/>
      </right>
      <top/>
      <bottom/>
      <diagonal/>
    </border>
    <border>
      <left style="thin">
        <color theme="1"/>
      </left>
      <right style="hair">
        <color theme="1"/>
      </right>
      <top/>
      <bottom/>
      <diagonal/>
    </border>
    <border>
      <left style="hair">
        <color theme="1"/>
      </left>
      <right style="hair">
        <color theme="1"/>
      </right>
      <top/>
      <bottom/>
      <diagonal/>
    </border>
    <border>
      <left style="hair">
        <color theme="1"/>
      </left>
      <right style="thin">
        <color theme="1"/>
      </right>
      <top/>
      <bottom/>
      <diagonal/>
    </border>
    <border>
      <left style="thin">
        <color theme="0"/>
      </left>
      <right/>
      <top style="thin">
        <color indexed="64"/>
      </top>
      <bottom/>
      <diagonal/>
    </border>
    <border>
      <left style="thick">
        <color indexed="64"/>
      </left>
      <right style="thin">
        <color theme="0"/>
      </right>
      <top style="thick">
        <color indexed="64"/>
      </top>
      <bottom/>
      <diagonal/>
    </border>
    <border>
      <left/>
      <right style="thick">
        <color indexed="64"/>
      </right>
      <top style="thin">
        <color theme="0"/>
      </top>
      <bottom/>
      <diagonal/>
    </border>
    <border>
      <left/>
      <right style="thick">
        <color indexed="64"/>
      </right>
      <top/>
      <bottom/>
      <diagonal/>
    </border>
    <border>
      <left style="hair">
        <color rgb="FF000000"/>
      </left>
      <right style="thick">
        <color indexed="64"/>
      </right>
      <top/>
      <bottom/>
      <diagonal/>
    </border>
    <border>
      <left style="thin">
        <color rgb="FF000000"/>
      </left>
      <right style="hair">
        <color indexed="64"/>
      </right>
      <top/>
      <bottom/>
      <diagonal/>
    </border>
    <border>
      <left style="thin">
        <color theme="0"/>
      </left>
      <right style="thick">
        <color theme="1"/>
      </right>
      <top style="thick">
        <color auto="1"/>
      </top>
      <bottom/>
      <diagonal/>
    </border>
    <border>
      <left/>
      <right style="thick">
        <color auto="1"/>
      </right>
      <top style="thick">
        <color auto="1"/>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thin">
        <color indexed="64"/>
      </left>
      <right style="thin">
        <color theme="0"/>
      </right>
      <top style="thin">
        <color indexed="64"/>
      </top>
      <bottom/>
      <diagonal/>
    </border>
    <border>
      <left style="thin">
        <color theme="0"/>
      </left>
      <right style="thin">
        <color indexed="64"/>
      </right>
      <top style="thin">
        <color indexed="64"/>
      </top>
      <bottom style="thin">
        <color theme="0"/>
      </bottom>
      <diagonal/>
    </border>
    <border>
      <left style="thin">
        <color indexed="64"/>
      </left>
      <right style="thin">
        <color theme="0"/>
      </right>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1"/>
      </right>
      <top/>
      <bottom/>
      <diagonal/>
    </border>
    <border>
      <left style="hair">
        <color theme="1"/>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theme="0"/>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theme="0"/>
      </top>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ck">
        <color indexed="64"/>
      </left>
      <right style="hair">
        <color indexed="64"/>
      </right>
      <top/>
      <bottom style="thin">
        <color rgb="FF000000"/>
      </bottom>
      <diagonal/>
    </border>
    <border>
      <left style="hair">
        <color indexed="64"/>
      </left>
      <right style="hair">
        <color indexed="64"/>
      </right>
      <top/>
      <bottom style="thin">
        <color rgb="FF000000"/>
      </bottom>
      <diagonal/>
    </border>
    <border>
      <left style="hair">
        <color indexed="64"/>
      </left>
      <right style="thick">
        <color indexed="64"/>
      </right>
      <top/>
      <bottom style="thin">
        <color rgb="FF000000"/>
      </bottom>
      <diagonal/>
    </border>
    <border>
      <left/>
      <right style="hair">
        <color indexed="64"/>
      </right>
      <top/>
      <bottom style="thin">
        <color rgb="FF000000"/>
      </bottom>
      <diagonal/>
    </border>
    <border>
      <left style="hair">
        <color indexed="64"/>
      </left>
      <right/>
      <top/>
      <bottom style="thin">
        <color rgb="FF000000"/>
      </bottom>
      <diagonal/>
    </border>
    <border>
      <left style="hair">
        <color rgb="FF000000"/>
      </left>
      <right style="thick">
        <color indexed="64"/>
      </right>
      <top/>
      <bottom style="thin">
        <color rgb="FF000000"/>
      </bottom>
      <diagonal/>
    </border>
    <border>
      <left/>
      <right style="thick">
        <color indexed="64"/>
      </right>
      <top/>
      <bottom style="thin">
        <color rgb="FF000000"/>
      </bottom>
      <diagonal/>
    </border>
    <border>
      <left style="thin">
        <color rgb="FF000000"/>
      </left>
      <right style="hair">
        <color indexed="64"/>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diagonal/>
    </border>
    <border>
      <left style="hair">
        <color indexed="64"/>
      </left>
      <right style="thick">
        <color indexed="64"/>
      </right>
      <top style="thin">
        <color theme="0"/>
      </top>
      <bottom/>
      <diagonal/>
    </border>
    <border>
      <left style="hair">
        <color indexed="64"/>
      </left>
      <right style="thick">
        <color indexed="64"/>
      </right>
      <top/>
      <bottom style="thin">
        <color indexed="64"/>
      </bottom>
      <diagonal/>
    </border>
    <border>
      <left style="thin">
        <color rgb="FFB0370C"/>
      </left>
      <right/>
      <top/>
      <bottom/>
      <diagonal/>
    </border>
    <border>
      <left/>
      <right style="hair">
        <color theme="1"/>
      </right>
      <top/>
      <bottom/>
      <diagonal/>
    </border>
    <border>
      <left style="thin">
        <color indexed="64"/>
      </left>
      <right style="hair">
        <color theme="1"/>
      </right>
      <top/>
      <bottom/>
      <diagonal/>
    </border>
    <border>
      <left style="thin">
        <color auto="1"/>
      </left>
      <right/>
      <top style="thin">
        <color rgb="FF002957"/>
      </top>
      <bottom style="thin">
        <color rgb="FF002957"/>
      </bottom>
      <diagonal/>
    </border>
    <border>
      <left/>
      <right/>
      <top style="thin">
        <color rgb="FF002957"/>
      </top>
      <bottom style="thin">
        <color rgb="FF002957"/>
      </bottom>
      <diagonal/>
    </border>
    <border>
      <left/>
      <right style="thin">
        <color auto="1"/>
      </right>
      <top style="thin">
        <color rgb="FF002957"/>
      </top>
      <bottom style="thin">
        <color rgb="FF002957"/>
      </bottom>
      <diagonal/>
    </border>
    <border>
      <left style="thin">
        <color indexed="64"/>
      </left>
      <right style="thin">
        <color theme="0"/>
      </right>
      <top/>
      <bottom/>
      <diagonal/>
    </border>
    <border>
      <left/>
      <right style="thin">
        <color theme="0"/>
      </right>
      <top/>
      <bottom style="thin">
        <color indexed="64"/>
      </bottom>
      <diagonal/>
    </border>
    <border>
      <left/>
      <right style="thin">
        <color rgb="FFB0370C"/>
      </right>
      <top/>
      <bottom/>
      <diagonal/>
    </border>
    <border>
      <left style="medium">
        <color indexed="64"/>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theme="0"/>
      </left>
      <right style="medium">
        <color indexed="64"/>
      </right>
      <top style="thin">
        <color theme="0"/>
      </top>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thin">
        <color rgb="FF000000"/>
      </bottom>
      <diagonal/>
    </border>
    <border>
      <left style="hair">
        <color indexed="64"/>
      </left>
      <right style="medium">
        <color indexed="64"/>
      </right>
      <top/>
      <bottom style="thin">
        <color rgb="FF000000"/>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theme="0"/>
      </right>
      <top style="thin">
        <color indexed="64"/>
      </top>
      <bottom style="thin">
        <color theme="0"/>
      </bottom>
      <diagonal/>
    </border>
    <border>
      <left style="thin">
        <color theme="0"/>
      </left>
      <right style="thick">
        <color indexed="64"/>
      </right>
      <top style="thin">
        <color indexed="64"/>
      </top>
      <bottom style="thin">
        <color theme="0"/>
      </bottom>
      <diagonal/>
    </border>
    <border>
      <left style="thick">
        <color indexed="64"/>
      </left>
      <right style="hair">
        <color indexed="64"/>
      </right>
      <top style="thin">
        <color rgb="FF000000"/>
      </top>
      <bottom/>
      <diagonal/>
    </border>
    <border>
      <left style="hair">
        <color indexed="64"/>
      </left>
      <right style="thick">
        <color indexed="64"/>
      </right>
      <top style="thin">
        <color rgb="FF000000"/>
      </top>
      <bottom/>
      <diagonal/>
    </border>
    <border>
      <left style="thick">
        <color indexed="64"/>
      </left>
      <right style="hair">
        <color indexed="64"/>
      </right>
      <top/>
      <bottom style="thin">
        <color indexed="64"/>
      </bottom>
      <diagonal/>
    </border>
    <border>
      <left style="thick">
        <color indexed="64"/>
      </left>
      <right style="hair">
        <color indexed="64"/>
      </right>
      <top/>
      <bottom style="thick">
        <color indexed="64"/>
      </bottom>
      <diagonal/>
    </border>
    <border>
      <left style="hair">
        <color indexed="64"/>
      </left>
      <right style="thick">
        <color indexed="64"/>
      </right>
      <top/>
      <bottom style="thick">
        <color indexed="64"/>
      </bottom>
      <diagonal/>
    </border>
    <border>
      <left/>
      <right style="hair">
        <color rgb="FF000000"/>
      </right>
      <top/>
      <bottom/>
      <diagonal/>
    </border>
    <border>
      <left style="hair">
        <color rgb="FF000000"/>
      </left>
      <right style="hair">
        <color rgb="FF000000"/>
      </right>
      <top/>
      <bottom/>
      <diagonal/>
    </border>
    <border>
      <left style="hair">
        <color rgb="FF000000"/>
      </left>
      <right style="thin">
        <color indexed="64"/>
      </right>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n">
        <color indexed="64"/>
      </right>
      <top/>
      <bottom style="thin">
        <color rgb="FF000000"/>
      </bottom>
      <diagonal/>
    </border>
    <border>
      <left style="thin">
        <color indexed="64"/>
      </left>
      <right style="hair">
        <color rgb="FF000000"/>
      </right>
      <top/>
      <bottom/>
      <diagonal/>
    </border>
    <border>
      <left style="thin">
        <color indexed="64"/>
      </left>
      <right style="hair">
        <color rgb="FF000000"/>
      </right>
      <top/>
      <bottom style="thin">
        <color rgb="FF000000"/>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rgb="FF000000"/>
      </left>
      <right style="thick">
        <color indexed="64"/>
      </right>
      <top/>
      <bottom style="thin">
        <color indexed="64"/>
      </bottom>
      <diagonal/>
    </border>
    <border>
      <left/>
      <right style="thick">
        <color indexed="64"/>
      </right>
      <top/>
      <bottom style="thin">
        <color indexed="64"/>
      </bottom>
      <diagonal/>
    </border>
    <border>
      <left style="thin">
        <color rgb="FF000000"/>
      </left>
      <right style="hair">
        <color indexed="64"/>
      </right>
      <top/>
      <bottom style="thin">
        <color indexed="64"/>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right style="hair">
        <color rgb="FF000000"/>
      </right>
      <top/>
      <bottom style="thin">
        <color indexed="64"/>
      </bottom>
      <diagonal/>
    </border>
    <border>
      <left style="hair">
        <color rgb="FF000000"/>
      </left>
      <right style="hair">
        <color rgb="FF000000"/>
      </right>
      <top/>
      <bottom style="thin">
        <color indexed="64"/>
      </bottom>
      <diagonal/>
    </border>
    <border>
      <left style="hair">
        <color rgb="FF000000"/>
      </left>
      <right style="thin">
        <color indexed="64"/>
      </right>
      <top/>
      <bottom style="thin">
        <color indexed="64"/>
      </bottom>
      <diagonal/>
    </border>
    <border>
      <left style="thin">
        <color indexed="64"/>
      </left>
      <right style="hair">
        <color rgb="FF000000"/>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right/>
      <top style="thin">
        <color indexed="64"/>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bottom style="thin">
        <color theme="0"/>
      </bottom>
      <diagonal/>
    </border>
    <border>
      <left style="thin">
        <color theme="3" tint="0.79995117038483843"/>
      </left>
      <right/>
      <top style="thin">
        <color theme="3" tint="0.79998168889431442"/>
      </top>
      <bottom/>
      <diagonal/>
    </border>
    <border>
      <left style="thin">
        <color theme="3" tint="0.79995117038483843"/>
      </left>
      <right/>
      <top/>
      <bottom/>
      <diagonal/>
    </border>
    <border>
      <left style="thin">
        <color theme="3" tint="0.79995117038483843"/>
      </left>
      <right/>
      <top/>
      <bottom style="thin">
        <color theme="3" tint="0.79998168889431442"/>
      </bottom>
      <diagonal/>
    </border>
    <border>
      <left style="thin">
        <color theme="3" tint="0.79995117038483843"/>
      </left>
      <right/>
      <top style="thin">
        <color theme="3" tint="0.79998168889431442"/>
      </top>
      <bottom style="thin">
        <color theme="3" tint="0.79998168889431442"/>
      </bottom>
      <diagonal/>
    </border>
    <border>
      <left style="thin">
        <color indexed="64"/>
      </left>
      <right style="thin">
        <color theme="3" tint="0.79998168889431442"/>
      </right>
      <top style="thin">
        <color theme="3" tint="0.79998168889431442"/>
      </top>
      <bottom style="thin">
        <color theme="3" tint="0.79998168889431442"/>
      </bottom>
      <diagonal/>
    </border>
    <border>
      <left style="thin">
        <color indexed="64"/>
      </left>
      <right style="thin">
        <color theme="3" tint="0.79995117038483843"/>
      </right>
      <top style="thin">
        <color theme="3" tint="0.79998168889431442"/>
      </top>
      <bottom/>
      <diagonal/>
    </border>
    <border>
      <left style="thin">
        <color indexed="64"/>
      </left>
      <right style="thin">
        <color theme="3" tint="0.79995117038483843"/>
      </right>
      <top/>
      <bottom/>
      <diagonal/>
    </border>
    <border>
      <left style="thin">
        <color indexed="64"/>
      </left>
      <right style="thin">
        <color theme="3" tint="0.79995117038483843"/>
      </right>
      <top/>
      <bottom style="thin">
        <color theme="3" tint="0.79998168889431442"/>
      </bottom>
      <diagonal/>
    </border>
    <border>
      <left style="thin">
        <color indexed="64"/>
      </left>
      <right style="thin">
        <color theme="3" tint="0.79995117038483843"/>
      </right>
      <top style="thin">
        <color theme="3" tint="0.79998168889431442"/>
      </top>
      <bottom style="thin">
        <color theme="3" tint="0.79995117038483843"/>
      </bottom>
      <diagonal/>
    </border>
    <border>
      <left style="thin">
        <color indexed="64"/>
      </left>
      <right style="thin">
        <color theme="3" tint="0.79995117038483843"/>
      </right>
      <top style="thin">
        <color theme="3" tint="0.79998168889431442"/>
      </top>
      <bottom style="thin">
        <color theme="3" tint="0.79998168889431442"/>
      </bottom>
      <diagonal/>
    </border>
    <border>
      <left/>
      <right style="hair">
        <color indexed="64"/>
      </right>
      <top style="thin">
        <color indexed="64"/>
      </top>
      <bottom/>
      <diagonal/>
    </border>
    <border>
      <left/>
      <right style="thin">
        <color indexed="64"/>
      </right>
      <top style="thin">
        <color theme="0"/>
      </top>
      <bottom style="thin">
        <color indexed="64"/>
      </bottom>
      <diagonal/>
    </border>
    <border>
      <left/>
      <right style="thin">
        <color theme="0"/>
      </right>
      <top style="thin">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indexed="64"/>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theme="1"/>
      </right>
      <top/>
      <bottom style="thin">
        <color indexed="64"/>
      </bottom>
      <diagonal/>
    </border>
    <border>
      <left/>
      <right/>
      <top/>
      <bottom style="thin">
        <color theme="3" tint="0.79998168889431442"/>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theme="0"/>
      </top>
      <bottom style="thin">
        <color theme="0"/>
      </bottom>
      <diagonal/>
    </border>
    <border>
      <left/>
      <right/>
      <top/>
      <bottom style="thin">
        <color theme="0"/>
      </bottom>
      <diagonal/>
    </border>
    <border>
      <left/>
      <right/>
      <top style="thin">
        <color theme="0"/>
      </top>
      <bottom/>
      <diagonal/>
    </border>
    <border>
      <left/>
      <right style="thin">
        <color theme="0"/>
      </right>
      <top/>
      <bottom style="thin">
        <color theme="0"/>
      </bottom>
      <diagonal/>
    </border>
  </borders>
  <cellStyleXfs count="20">
    <xf numFmtId="0" fontId="0" fillId="0" borderId="0"/>
    <xf numFmtId="9" fontId="2" fillId="0" borderId="0" applyFont="0" applyFill="0" applyBorder="0" applyAlignment="0" applyProtection="0"/>
    <xf numFmtId="0" fontId="5" fillId="0" borderId="0"/>
    <xf numFmtId="9"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4" fontId="22" fillId="0" borderId="0" applyFill="0" applyBorder="0" applyProtection="0">
      <alignment wrapText="1"/>
    </xf>
    <xf numFmtId="0" fontId="23" fillId="0" borderId="0"/>
    <xf numFmtId="0" fontId="23" fillId="0" borderId="0" applyAlignment="0"/>
    <xf numFmtId="0" fontId="26" fillId="0" borderId="0"/>
    <xf numFmtId="0" fontId="5" fillId="0" borderId="0"/>
  </cellStyleXfs>
  <cellXfs count="1177">
    <xf numFmtId="0" fontId="0" fillId="0" borderId="0" xfId="0"/>
    <xf numFmtId="0" fontId="1" fillId="0" borderId="0" xfId="0" applyFont="1"/>
    <xf numFmtId="0" fontId="1" fillId="0" borderId="1" xfId="0" applyFont="1" applyBorder="1"/>
    <xf numFmtId="14" fontId="1" fillId="0" borderId="2" xfId="0" applyNumberFormat="1" applyFont="1" applyBorder="1" applyAlignment="1">
      <alignment horizontal="center"/>
    </xf>
    <xf numFmtId="0" fontId="1" fillId="0" borderId="3" xfId="0" applyFont="1" applyBorder="1"/>
    <xf numFmtId="0" fontId="1" fillId="0" borderId="4" xfId="0" applyFont="1" applyBorder="1" applyAlignment="1">
      <alignment horizontal="center"/>
    </xf>
    <xf numFmtId="0" fontId="1" fillId="0" borderId="5" xfId="0" applyFont="1" applyBorder="1"/>
    <xf numFmtId="0" fontId="1" fillId="0" borderId="7" xfId="0" applyFont="1" applyBorder="1" applyAlignment="1">
      <alignment horizontal="centerContinuous"/>
    </xf>
    <xf numFmtId="0" fontId="1" fillId="0" borderId="8" xfId="0" applyFont="1" applyBorder="1" applyAlignment="1">
      <alignment horizontal="centerContinuous"/>
    </xf>
    <xf numFmtId="0" fontId="1" fillId="0" borderId="3" xfId="0" applyFont="1" applyBorder="1" applyAlignment="1">
      <alignment horizontal="center"/>
    </xf>
    <xf numFmtId="0" fontId="1" fillId="0" borderId="4" xfId="0" applyFont="1" applyBorder="1"/>
    <xf numFmtId="0" fontId="1" fillId="0" borderId="5" xfId="0" applyFont="1" applyBorder="1" applyAlignment="1">
      <alignment horizontal="center"/>
    </xf>
    <xf numFmtId="0" fontId="3" fillId="0" borderId="0" xfId="0" applyFont="1"/>
    <xf numFmtId="0" fontId="3" fillId="0" borderId="0" xfId="0" applyFont="1" applyAlignment="1">
      <alignment horizontal="left"/>
    </xf>
    <xf numFmtId="0" fontId="4" fillId="0" borderId="0" xfId="2" applyFont="1" applyAlignment="1">
      <alignment vertical="top" wrapText="1"/>
    </xf>
    <xf numFmtId="0" fontId="6" fillId="0" borderId="0" xfId="2" applyFont="1" applyAlignment="1">
      <alignment vertical="top"/>
    </xf>
    <xf numFmtId="9" fontId="3" fillId="0" borderId="0" xfId="1" applyFont="1" applyFill="1" applyBorder="1" applyAlignment="1">
      <alignment horizontal="center"/>
    </xf>
    <xf numFmtId="0" fontId="3" fillId="0" borderId="0" xfId="0" applyFont="1" applyAlignment="1">
      <alignment vertical="center"/>
    </xf>
    <xf numFmtId="0" fontId="3" fillId="0" borderId="0" xfId="0" applyFont="1" applyAlignment="1">
      <alignment horizontal="left" vertical="center"/>
    </xf>
    <xf numFmtId="9" fontId="3" fillId="0" borderId="0" xfId="2" applyNumberFormat="1" applyFont="1" applyAlignment="1">
      <alignment horizontal="center" vertical="center"/>
    </xf>
    <xf numFmtId="0" fontId="7" fillId="0" borderId="0" xfId="2" applyFont="1" applyAlignment="1">
      <alignment vertical="center"/>
    </xf>
    <xf numFmtId="164" fontId="8" fillId="0" borderId="0" xfId="2" applyNumberFormat="1" applyFont="1" applyAlignment="1">
      <alignment horizontal="center" vertical="center"/>
    </xf>
    <xf numFmtId="164" fontId="7" fillId="0" borderId="0" xfId="2" applyNumberFormat="1" applyFont="1" applyAlignment="1">
      <alignment horizontal="center" vertical="center"/>
    </xf>
    <xf numFmtId="9" fontId="7" fillId="0" borderId="0" xfId="1" applyFont="1" applyFill="1" applyBorder="1" applyAlignment="1">
      <alignment horizontal="center" vertical="center"/>
    </xf>
    <xf numFmtId="9" fontId="8" fillId="0" borderId="0" xfId="1" applyFont="1" applyFill="1" applyBorder="1" applyAlignment="1">
      <alignment horizontal="center" vertical="center"/>
    </xf>
    <xf numFmtId="1" fontId="9" fillId="0" borderId="0" xfId="2" applyNumberFormat="1" applyFont="1" applyAlignment="1">
      <alignment vertical="center"/>
    </xf>
    <xf numFmtId="0" fontId="4" fillId="0" borderId="0" xfId="2" applyFont="1"/>
    <xf numFmtId="0" fontId="4" fillId="0" borderId="0" xfId="2" applyFont="1" applyAlignment="1">
      <alignment wrapText="1"/>
    </xf>
    <xf numFmtId="0" fontId="3" fillId="0" borderId="0" xfId="2" applyFont="1"/>
    <xf numFmtId="0" fontId="3" fillId="0" borderId="0" xfId="2" applyFont="1" applyAlignment="1">
      <alignment horizontal="center"/>
    </xf>
    <xf numFmtId="165" fontId="3" fillId="0" borderId="0" xfId="2" applyNumberFormat="1" applyFont="1" applyAlignment="1">
      <alignment horizontal="center"/>
    </xf>
    <xf numFmtId="164" fontId="3" fillId="0" borderId="0" xfId="2" applyNumberFormat="1" applyFont="1" applyAlignment="1">
      <alignment horizontal="center"/>
    </xf>
    <xf numFmtId="0" fontId="10" fillId="0" borderId="0" xfId="2" applyFont="1"/>
    <xf numFmtId="0" fontId="9" fillId="0" borderId="0" xfId="2" applyFont="1" applyAlignment="1">
      <alignment vertical="top"/>
    </xf>
    <xf numFmtId="0" fontId="12" fillId="0" borderId="0" xfId="2" applyFont="1" applyAlignment="1">
      <alignment vertical="center"/>
    </xf>
    <xf numFmtId="0" fontId="7" fillId="0" borderId="0" xfId="0" applyFont="1"/>
    <xf numFmtId="0" fontId="3" fillId="0" borderId="0" xfId="2" applyFont="1" applyAlignment="1">
      <alignment horizontal="left"/>
    </xf>
    <xf numFmtId="0" fontId="7" fillId="0" borderId="0" xfId="2" applyFont="1"/>
    <xf numFmtId="0" fontId="12" fillId="0" borderId="0" xfId="2" applyFont="1" applyAlignment="1">
      <alignment horizontal="center"/>
    </xf>
    <xf numFmtId="0" fontId="7" fillId="0" borderId="0" xfId="2" applyFont="1" applyAlignment="1">
      <alignment horizontal="center"/>
    </xf>
    <xf numFmtId="9" fontId="7" fillId="0" borderId="0" xfId="1" applyFont="1" applyFill="1" applyBorder="1" applyAlignment="1">
      <alignment horizontal="center"/>
    </xf>
    <xf numFmtId="9" fontId="12" fillId="0" borderId="0" xfId="1" applyFont="1" applyFill="1" applyBorder="1" applyAlignment="1">
      <alignment horizontal="center"/>
    </xf>
    <xf numFmtId="164" fontId="3" fillId="0" borderId="0" xfId="2" applyNumberFormat="1" applyFont="1" applyAlignment="1">
      <alignment horizontal="center" vertical="center"/>
    </xf>
    <xf numFmtId="0" fontId="3" fillId="0" borderId="0" xfId="2" applyFont="1" applyAlignment="1">
      <alignment vertical="center"/>
    </xf>
    <xf numFmtId="0" fontId="17" fillId="0" borderId="0" xfId="2" applyFont="1" applyAlignment="1">
      <alignment horizontal="center" vertical="center" wrapText="1"/>
    </xf>
    <xf numFmtId="0" fontId="18" fillId="0" borderId="0" xfId="2" applyFont="1" applyAlignment="1">
      <alignment horizontal="center" vertical="top" wrapText="1"/>
    </xf>
    <xf numFmtId="0" fontId="19" fillId="0" borderId="0" xfId="2" applyFont="1"/>
    <xf numFmtId="0" fontId="20" fillId="0" borderId="0" xfId="0" applyFont="1" applyAlignment="1">
      <alignment vertical="center"/>
    </xf>
    <xf numFmtId="0" fontId="21" fillId="0" borderId="0" xfId="0" applyFont="1" applyAlignment="1">
      <alignment horizontal="center" vertical="top"/>
    </xf>
    <xf numFmtId="0" fontId="3" fillId="0" borderId="9" xfId="0" applyFont="1" applyBorder="1"/>
    <xf numFmtId="0" fontId="1" fillId="0" borderId="0" xfId="0" applyFont="1" applyAlignment="1">
      <alignment horizontal="center" vertical="center"/>
    </xf>
    <xf numFmtId="0" fontId="1" fillId="0" borderId="0" xfId="0" applyFont="1" applyAlignment="1">
      <alignment vertical="center"/>
    </xf>
    <xf numFmtId="0" fontId="9" fillId="0" borderId="0" xfId="2" applyFont="1" applyAlignment="1">
      <alignment vertical="center"/>
    </xf>
    <xf numFmtId="0" fontId="3" fillId="0" borderId="9" xfId="0" applyFont="1" applyBorder="1" applyAlignment="1">
      <alignment horizontal="center"/>
    </xf>
    <xf numFmtId="164" fontId="25" fillId="0" borderId="0" xfId="0" applyNumberFormat="1" applyFont="1" applyAlignment="1">
      <alignment horizontal="center"/>
    </xf>
    <xf numFmtId="0" fontId="25" fillId="0" borderId="0" xfId="0" applyFont="1"/>
    <xf numFmtId="164" fontId="25" fillId="0" borderId="11" xfId="0" applyNumberFormat="1" applyFont="1" applyBorder="1" applyAlignment="1">
      <alignment horizontal="center"/>
    </xf>
    <xf numFmtId="0" fontId="25" fillId="0" borderId="12" xfId="0" applyFont="1" applyBorder="1"/>
    <xf numFmtId="164" fontId="4" fillId="0" borderId="13" xfId="18" applyNumberFormat="1" applyFont="1" applyBorder="1" applyAlignment="1">
      <alignment horizontal="center" vertical="center"/>
    </xf>
    <xf numFmtId="0" fontId="4" fillId="0" borderId="14" xfId="18" applyFont="1" applyBorder="1" applyAlignment="1">
      <alignment horizontal="left" vertical="center"/>
    </xf>
    <xf numFmtId="164" fontId="27" fillId="0" borderId="15" xfId="18" applyNumberFormat="1" applyFont="1" applyBorder="1" applyAlignment="1">
      <alignment horizontal="center" vertical="center"/>
    </xf>
    <xf numFmtId="0" fontId="27" fillId="0" borderId="16" xfId="19" applyFont="1" applyBorder="1" applyAlignment="1">
      <alignment horizontal="left" vertical="center"/>
    </xf>
    <xf numFmtId="164" fontId="4" fillId="0" borderId="17" xfId="18" applyNumberFormat="1" applyFont="1" applyBorder="1" applyAlignment="1">
      <alignment horizontal="center" vertical="center"/>
    </xf>
    <xf numFmtId="0" fontId="4" fillId="0" borderId="18" xfId="19" applyFont="1" applyBorder="1" applyAlignment="1">
      <alignment horizontal="left" vertical="center"/>
    </xf>
    <xf numFmtId="164" fontId="27" fillId="0" borderId="17" xfId="18" applyNumberFormat="1" applyFont="1" applyBorder="1" applyAlignment="1">
      <alignment horizontal="center" vertical="center"/>
    </xf>
    <xf numFmtId="0" fontId="27" fillId="0" borderId="18" xfId="19" applyFont="1" applyBorder="1" applyAlignment="1">
      <alignment horizontal="left" vertical="center"/>
    </xf>
    <xf numFmtId="164" fontId="4" fillId="0" borderId="19" xfId="18" applyNumberFormat="1" applyFont="1" applyBorder="1" applyAlignment="1">
      <alignment horizontal="center" vertical="center"/>
    </xf>
    <xf numFmtId="0" fontId="4" fillId="0" borderId="20" xfId="19" applyFont="1" applyBorder="1" applyAlignment="1">
      <alignment horizontal="left" vertical="center"/>
    </xf>
    <xf numFmtId="0" fontId="4" fillId="0" borderId="0" xfId="0" applyFont="1"/>
    <xf numFmtId="0" fontId="28" fillId="0" borderId="0" xfId="18" applyFont="1" applyAlignment="1">
      <alignment horizontal="left" vertical="center"/>
    </xf>
    <xf numFmtId="164" fontId="4" fillId="0" borderId="0" xfId="18" applyNumberFormat="1" applyFont="1" applyAlignment="1">
      <alignment horizontal="center" vertical="center"/>
    </xf>
    <xf numFmtId="0" fontId="4" fillId="0" borderId="0" xfId="18" applyFont="1" applyAlignment="1">
      <alignment horizontal="left" vertical="center"/>
    </xf>
    <xf numFmtId="164" fontId="27" fillId="0" borderId="19" xfId="18" applyNumberFormat="1" applyFont="1" applyBorder="1" applyAlignment="1">
      <alignment horizontal="center" vertical="center"/>
    </xf>
    <xf numFmtId="0" fontId="4" fillId="0" borderId="0" xfId="18" applyFont="1" applyAlignment="1">
      <alignment horizontal="center" vertical="center" wrapText="1"/>
    </xf>
    <xf numFmtId="0" fontId="28" fillId="0" borderId="0" xfId="18" applyFont="1" applyAlignment="1">
      <alignment horizontal="left" vertical="center" wrapText="1"/>
    </xf>
    <xf numFmtId="0" fontId="29" fillId="0" borderId="21" xfId="18" applyFont="1" applyBorder="1" applyAlignment="1">
      <alignment horizontal="center" vertical="center" wrapText="1"/>
    </xf>
    <xf numFmtId="0" fontId="4" fillId="0" borderId="0" xfId="18" applyFont="1" applyAlignment="1">
      <alignment horizontal="left" vertical="center" wrapText="1"/>
    </xf>
    <xf numFmtId="0" fontId="29" fillId="0" borderId="22" xfId="18" applyFont="1" applyBorder="1" applyAlignment="1">
      <alignment horizontal="centerContinuous" vertical="center" wrapText="1"/>
    </xf>
    <xf numFmtId="0" fontId="29" fillId="0" borderId="23" xfId="18" applyFont="1" applyBorder="1" applyAlignment="1">
      <alignment horizontal="centerContinuous" vertical="center" wrapText="1"/>
    </xf>
    <xf numFmtId="0" fontId="29" fillId="0" borderId="24" xfId="18" applyFont="1" applyBorder="1" applyAlignment="1">
      <alignment horizontal="centerContinuous" vertical="center" wrapText="1"/>
    </xf>
    <xf numFmtId="2" fontId="0" fillId="0" borderId="0" xfId="0" applyNumberFormat="1"/>
    <xf numFmtId="0" fontId="0" fillId="0" borderId="0" xfId="0" applyAlignment="1">
      <alignment horizontal="center" vertical="center" wrapText="1"/>
    </xf>
    <xf numFmtId="0" fontId="30" fillId="0" borderId="0" xfId="0" applyFont="1"/>
    <xf numFmtId="0" fontId="1" fillId="0" borderId="25" xfId="0" applyFont="1" applyBorder="1" applyAlignment="1">
      <alignment horizontal="centerContinuous"/>
    </xf>
    <xf numFmtId="0" fontId="1" fillId="0" borderId="26" xfId="0" applyFont="1" applyBorder="1" applyAlignment="1">
      <alignment horizontal="centerContinuous"/>
    </xf>
    <xf numFmtId="0" fontId="31" fillId="0" borderId="4" xfId="0" applyFont="1" applyBorder="1" applyAlignment="1">
      <alignment horizontal="center"/>
    </xf>
    <xf numFmtId="0" fontId="31" fillId="0" borderId="6" xfId="0" applyFont="1" applyBorder="1" applyAlignment="1">
      <alignment horizontal="center"/>
    </xf>
    <xf numFmtId="9" fontId="0" fillId="0" borderId="0" xfId="1" applyFont="1" applyBorder="1" applyAlignment="1">
      <alignment horizontal="center"/>
    </xf>
    <xf numFmtId="0" fontId="1" fillId="0" borderId="0" xfId="0" applyFont="1" applyAlignment="1">
      <alignment horizontal="center"/>
    </xf>
    <xf numFmtId="0" fontId="7" fillId="0" borderId="29" xfId="2" applyFont="1" applyBorder="1" applyAlignment="1">
      <alignment vertical="center"/>
    </xf>
    <xf numFmtId="164" fontId="7" fillId="0" borderId="29" xfId="2" applyNumberFormat="1" applyFont="1" applyBorder="1" applyAlignment="1">
      <alignment horizontal="center" vertical="center"/>
    </xf>
    <xf numFmtId="0" fontId="3" fillId="0" borderId="29" xfId="2" applyFont="1" applyBorder="1" applyAlignment="1">
      <alignment vertical="center"/>
    </xf>
    <xf numFmtId="164" fontId="3" fillId="0" borderId="29" xfId="2" applyNumberFormat="1" applyFont="1" applyBorder="1" applyAlignment="1">
      <alignment horizontal="center" vertical="center"/>
    </xf>
    <xf numFmtId="164" fontId="7" fillId="0" borderId="38" xfId="2" applyNumberFormat="1" applyFont="1" applyBorder="1" applyAlignment="1">
      <alignment horizontal="center" vertical="center"/>
    </xf>
    <xf numFmtId="9" fontId="7" fillId="0" borderId="39" xfId="1" applyFont="1" applyFill="1" applyBorder="1" applyAlignment="1">
      <alignment horizontal="center" vertical="center"/>
    </xf>
    <xf numFmtId="164" fontId="8" fillId="0" borderId="39" xfId="2" applyNumberFormat="1" applyFont="1" applyBorder="1" applyAlignment="1">
      <alignment horizontal="center" vertical="center"/>
    </xf>
    <xf numFmtId="9" fontId="8" fillId="0" borderId="40" xfId="1" applyFont="1" applyFill="1" applyBorder="1" applyAlignment="1">
      <alignment horizontal="center" vertical="center"/>
    </xf>
    <xf numFmtId="164" fontId="3" fillId="0" borderId="38" xfId="2" applyNumberFormat="1" applyFont="1" applyBorder="1" applyAlignment="1">
      <alignment horizontal="center" vertical="center"/>
    </xf>
    <xf numFmtId="9" fontId="3" fillId="0" borderId="39" xfId="1" applyFont="1" applyFill="1" applyBorder="1" applyAlignment="1">
      <alignment horizontal="center" vertical="center"/>
    </xf>
    <xf numFmtId="164" fontId="12" fillId="0" borderId="39" xfId="2" applyNumberFormat="1" applyFont="1" applyBorder="1" applyAlignment="1">
      <alignment horizontal="center" vertical="center"/>
    </xf>
    <xf numFmtId="9" fontId="12" fillId="0" borderId="40" xfId="1" applyFont="1" applyFill="1" applyBorder="1" applyAlignment="1">
      <alignment horizontal="center" vertical="center"/>
    </xf>
    <xf numFmtId="164" fontId="8" fillId="0" borderId="40" xfId="2" applyNumberFormat="1" applyFont="1" applyBorder="1" applyAlignment="1">
      <alignment horizontal="center" vertical="center"/>
    </xf>
    <xf numFmtId="164" fontId="12" fillId="0" borderId="40" xfId="2" applyNumberFormat="1" applyFont="1" applyBorder="1" applyAlignment="1">
      <alignment horizontal="center" vertical="center"/>
    </xf>
    <xf numFmtId="164" fontId="8" fillId="0" borderId="38" xfId="2" applyNumberFormat="1" applyFont="1" applyBorder="1" applyAlignment="1">
      <alignment horizontal="center" vertical="center"/>
    </xf>
    <xf numFmtId="9" fontId="8" fillId="0" borderId="39" xfId="1" applyFont="1" applyFill="1" applyBorder="1" applyAlignment="1">
      <alignment horizontal="center" vertical="center"/>
    </xf>
    <xf numFmtId="164" fontId="7" fillId="0" borderId="39" xfId="2" applyNumberFormat="1" applyFont="1" applyBorder="1" applyAlignment="1">
      <alignment horizontal="center" vertical="center"/>
    </xf>
    <xf numFmtId="9" fontId="7" fillId="0" borderId="40" xfId="1" applyFont="1" applyFill="1" applyBorder="1" applyAlignment="1">
      <alignment horizontal="center" vertical="center"/>
    </xf>
    <xf numFmtId="164" fontId="12" fillId="0" borderId="38" xfId="2" applyNumberFormat="1" applyFont="1" applyBorder="1" applyAlignment="1">
      <alignment horizontal="center" vertical="center"/>
    </xf>
    <xf numFmtId="9" fontId="12" fillId="0" borderId="39" xfId="1" applyFont="1" applyFill="1" applyBorder="1" applyAlignment="1">
      <alignment horizontal="center" vertical="center"/>
    </xf>
    <xf numFmtId="164" fontId="3" fillId="0" borderId="39" xfId="2" applyNumberFormat="1" applyFont="1" applyBorder="1" applyAlignment="1">
      <alignment horizontal="center" vertical="center"/>
    </xf>
    <xf numFmtId="9" fontId="3" fillId="0" borderId="40" xfId="1" applyFont="1" applyFill="1" applyBorder="1" applyAlignment="1">
      <alignment horizontal="center" vertical="center"/>
    </xf>
    <xf numFmtId="14" fontId="21" fillId="0" borderId="0" xfId="0" applyNumberFormat="1" applyFont="1" applyAlignment="1">
      <alignment horizontal="center" vertical="top"/>
    </xf>
    <xf numFmtId="0" fontId="25" fillId="0" borderId="9" xfId="0" applyFont="1" applyBorder="1"/>
    <xf numFmtId="0" fontId="25" fillId="0" borderId="9" xfId="0" applyFont="1" applyBorder="1" applyAlignment="1">
      <alignment horizontal="center"/>
    </xf>
    <xf numFmtId="0" fontId="1" fillId="0" borderId="29" xfId="0" applyFont="1" applyBorder="1" applyAlignment="1">
      <alignment horizontal="center" vertical="center"/>
    </xf>
    <xf numFmtId="164" fontId="4" fillId="0" borderId="55" xfId="2" applyNumberFormat="1" applyFont="1" applyBorder="1" applyAlignment="1">
      <alignment horizontal="center" vertical="center"/>
    </xf>
    <xf numFmtId="0" fontId="4" fillId="0" borderId="55" xfId="2" applyFont="1" applyBorder="1" applyAlignment="1">
      <alignment horizontal="center" vertical="center"/>
    </xf>
    <xf numFmtId="164" fontId="4" fillId="0" borderId="56" xfId="2" applyNumberFormat="1" applyFont="1" applyBorder="1" applyAlignment="1">
      <alignment horizontal="center" vertical="center"/>
    </xf>
    <xf numFmtId="9" fontId="4" fillId="0" borderId="57" xfId="1" applyFont="1" applyFill="1" applyBorder="1" applyAlignment="1">
      <alignment horizontal="center" vertical="center"/>
    </xf>
    <xf numFmtId="164" fontId="10" fillId="0" borderId="57" xfId="2" applyNumberFormat="1" applyFont="1" applyBorder="1" applyAlignment="1">
      <alignment horizontal="center" vertical="center"/>
    </xf>
    <xf numFmtId="9" fontId="10" fillId="0" borderId="58" xfId="1" applyFont="1" applyFill="1" applyBorder="1" applyAlignment="1">
      <alignment horizontal="center" vertical="center"/>
    </xf>
    <xf numFmtId="164" fontId="10" fillId="0" borderId="58" xfId="2" applyNumberFormat="1" applyFont="1" applyBorder="1" applyAlignment="1">
      <alignment horizontal="center" vertical="center"/>
    </xf>
    <xf numFmtId="0" fontId="1" fillId="0" borderId="29" xfId="0" quotePrefix="1" applyFont="1" applyBorder="1" applyAlignment="1">
      <alignment horizontal="center" vertical="center"/>
    </xf>
    <xf numFmtId="0" fontId="1" fillId="0" borderId="44" xfId="0" quotePrefix="1" applyFont="1" applyBorder="1" applyAlignment="1">
      <alignment horizontal="center" vertical="center"/>
    </xf>
    <xf numFmtId="164" fontId="1" fillId="0" borderId="45" xfId="0" applyNumberFormat="1" applyFont="1" applyBorder="1" applyAlignment="1">
      <alignment horizontal="center" vertical="center"/>
    </xf>
    <xf numFmtId="164" fontId="1" fillId="0" borderId="39" xfId="0" applyNumberFormat="1" applyFont="1" applyBorder="1" applyAlignment="1">
      <alignment horizontal="center" vertical="center"/>
    </xf>
    <xf numFmtId="164" fontId="1" fillId="0" borderId="46" xfId="0" applyNumberFormat="1" applyFont="1" applyBorder="1" applyAlignment="1">
      <alignment horizontal="center" vertical="center"/>
    </xf>
    <xf numFmtId="9" fontId="1" fillId="0" borderId="39" xfId="1" applyFont="1" applyFill="1" applyBorder="1" applyAlignment="1">
      <alignment horizontal="center" vertical="center"/>
    </xf>
    <xf numFmtId="9" fontId="1" fillId="0" borderId="48" xfId="1" applyFont="1" applyFill="1" applyBorder="1" applyAlignment="1">
      <alignment horizontal="center" vertical="center"/>
    </xf>
    <xf numFmtId="164" fontId="1" fillId="0" borderId="63" xfId="0" applyNumberFormat="1" applyFont="1" applyBorder="1" applyAlignment="1">
      <alignment horizontal="center" vertical="center"/>
    </xf>
    <xf numFmtId="164" fontId="1" fillId="0" borderId="62" xfId="0" applyNumberFormat="1" applyFont="1" applyBorder="1" applyAlignment="1">
      <alignment horizontal="center" vertical="center"/>
    </xf>
    <xf numFmtId="164" fontId="1" fillId="0" borderId="64" xfId="0" applyNumberFormat="1" applyFont="1" applyBorder="1" applyAlignment="1">
      <alignment horizontal="center" vertical="center"/>
    </xf>
    <xf numFmtId="0" fontId="1" fillId="0" borderId="44" xfId="0" applyFont="1" applyBorder="1" applyAlignment="1">
      <alignment horizontal="left" vertical="center"/>
    </xf>
    <xf numFmtId="0" fontId="1" fillId="0" borderId="29" xfId="0" applyFont="1" applyBorder="1" applyAlignment="1">
      <alignment horizontal="left" vertical="center"/>
    </xf>
    <xf numFmtId="0" fontId="16" fillId="2" borderId="31" xfId="0" applyFont="1" applyFill="1" applyBorder="1" applyAlignment="1">
      <alignment vertical="center"/>
    </xf>
    <xf numFmtId="0" fontId="16" fillId="2" borderId="32" xfId="0" applyFont="1" applyFill="1" applyBorder="1" applyAlignment="1">
      <alignment vertical="center"/>
    </xf>
    <xf numFmtId="0" fontId="16" fillId="2" borderId="49" xfId="0" applyFont="1" applyFill="1" applyBorder="1" applyAlignment="1">
      <alignment horizontal="center" vertical="center" wrapText="1"/>
    </xf>
    <xf numFmtId="0" fontId="16" fillId="2" borderId="30"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16" fillId="2" borderId="36" xfId="2" applyFont="1" applyFill="1" applyBorder="1" applyAlignment="1">
      <alignment horizontal="center" vertical="center"/>
    </xf>
    <xf numFmtId="0" fontId="16" fillId="2" borderId="36" xfId="2" applyFont="1" applyFill="1" applyBorder="1" applyAlignment="1">
      <alignment horizontal="center" vertical="center" wrapText="1"/>
    </xf>
    <xf numFmtId="0" fontId="15" fillId="2" borderId="36" xfId="2" applyFont="1" applyFill="1" applyBorder="1" applyAlignment="1">
      <alignment horizontal="center" vertical="center" wrapText="1"/>
    </xf>
    <xf numFmtId="0" fontId="7" fillId="0" borderId="29" xfId="2" applyFont="1" applyBorder="1" applyAlignment="1">
      <alignment horizontal="center" vertical="center"/>
    </xf>
    <xf numFmtId="0" fontId="16" fillId="3" borderId="10" xfId="0" applyFont="1" applyFill="1" applyBorder="1" applyAlignment="1">
      <alignment horizontal="center" vertical="center" wrapText="1"/>
    </xf>
    <xf numFmtId="0" fontId="15" fillId="2" borderId="36" xfId="2" applyFont="1" applyFill="1" applyBorder="1" applyAlignment="1">
      <alignment horizontal="center" vertical="center"/>
    </xf>
    <xf numFmtId="9" fontId="16" fillId="2" borderId="36" xfId="1" applyFont="1" applyFill="1" applyBorder="1" applyAlignment="1">
      <alignment horizontal="center" vertical="center" wrapText="1"/>
    </xf>
    <xf numFmtId="9" fontId="15" fillId="2" borderId="36" xfId="1" applyFont="1" applyFill="1" applyBorder="1" applyAlignment="1">
      <alignment horizontal="center" vertical="center"/>
    </xf>
    <xf numFmtId="0" fontId="14" fillId="2" borderId="53" xfId="0" applyFont="1" applyFill="1" applyBorder="1" applyAlignment="1">
      <alignment horizontal="center" wrapText="1"/>
    </xf>
    <xf numFmtId="0" fontId="14" fillId="2" borderId="69" xfId="0" applyFont="1" applyFill="1" applyBorder="1" applyAlignment="1">
      <alignment horizontal="center" wrapText="1"/>
    </xf>
    <xf numFmtId="0" fontId="0" fillId="0" borderId="37" xfId="0" applyBorder="1"/>
    <xf numFmtId="9" fontId="0" fillId="0" borderId="29" xfId="1" applyFont="1" applyBorder="1" applyAlignment="1">
      <alignment horizontal="center"/>
    </xf>
    <xf numFmtId="9" fontId="0" fillId="0" borderId="44" xfId="1" applyFont="1" applyBorder="1" applyAlignment="1">
      <alignment horizontal="center"/>
    </xf>
    <xf numFmtId="0" fontId="14" fillId="2" borderId="53" xfId="0" applyFont="1" applyFill="1" applyBorder="1" applyAlignment="1">
      <alignment horizontal="center" vertical="top" wrapText="1"/>
    </xf>
    <xf numFmtId="0" fontId="14" fillId="2" borderId="69" xfId="0" applyFont="1" applyFill="1" applyBorder="1" applyAlignment="1">
      <alignment horizontal="center" vertical="top" wrapText="1"/>
    </xf>
    <xf numFmtId="0" fontId="24" fillId="3" borderId="68" xfId="0" applyFont="1" applyFill="1" applyBorder="1"/>
    <xf numFmtId="9" fontId="24" fillId="3" borderId="53" xfId="1" applyFont="1" applyFill="1" applyBorder="1" applyAlignment="1">
      <alignment horizontal="center"/>
    </xf>
    <xf numFmtId="9" fontId="24" fillId="3" borderId="69" xfId="1" applyFont="1" applyFill="1" applyBorder="1" applyAlignment="1">
      <alignment horizontal="center"/>
    </xf>
    <xf numFmtId="0" fontId="0" fillId="0" borderId="0" xfId="0" applyAlignment="1">
      <alignment horizontal="center"/>
    </xf>
    <xf numFmtId="0" fontId="16" fillId="2" borderId="28" xfId="2" applyFont="1" applyFill="1" applyBorder="1" applyAlignment="1">
      <alignment horizontal="centerContinuous" vertical="center" wrapText="1"/>
    </xf>
    <xf numFmtId="0" fontId="15" fillId="2" borderId="28" xfId="2" applyFont="1" applyFill="1" applyBorder="1" applyAlignment="1">
      <alignment horizontal="centerContinuous" vertical="center" wrapText="1"/>
    </xf>
    <xf numFmtId="0" fontId="16" fillId="2" borderId="71" xfId="2" applyFont="1" applyFill="1" applyBorder="1" applyAlignment="1">
      <alignment horizontal="centerContinuous" vertical="center" wrapText="1"/>
    </xf>
    <xf numFmtId="0" fontId="15" fillId="2" borderId="73" xfId="2" applyFont="1" applyFill="1" applyBorder="1" applyAlignment="1">
      <alignment horizontal="center" vertical="center"/>
    </xf>
    <xf numFmtId="164" fontId="10" fillId="0" borderId="75" xfId="2" applyNumberFormat="1" applyFont="1" applyBorder="1" applyAlignment="1">
      <alignment horizontal="center" vertical="center"/>
    </xf>
    <xf numFmtId="164" fontId="7" fillId="0" borderId="76" xfId="2" applyNumberFormat="1" applyFont="1" applyBorder="1" applyAlignment="1">
      <alignment horizontal="center" vertical="center"/>
    </xf>
    <xf numFmtId="0" fontId="7" fillId="0" borderId="76" xfId="2" applyFont="1" applyBorder="1" applyAlignment="1">
      <alignment horizontal="center" vertical="center"/>
    </xf>
    <xf numFmtId="164" fontId="7" fillId="0" borderId="77" xfId="2" applyNumberFormat="1" applyFont="1" applyBorder="1" applyAlignment="1">
      <alignment horizontal="center" vertical="center"/>
    </xf>
    <xf numFmtId="9" fontId="7" fillId="0" borderId="78" xfId="1" applyFont="1" applyFill="1" applyBorder="1" applyAlignment="1">
      <alignment horizontal="center" vertical="center"/>
    </xf>
    <xf numFmtId="164" fontId="7" fillId="0" borderId="78" xfId="2" applyNumberFormat="1" applyFont="1" applyBorder="1" applyAlignment="1">
      <alignment horizontal="center" vertical="center"/>
    </xf>
    <xf numFmtId="9" fontId="7" fillId="0" borderId="79" xfId="1" applyFont="1" applyFill="1" applyBorder="1" applyAlignment="1">
      <alignment horizontal="center" vertical="center"/>
    </xf>
    <xf numFmtId="164" fontId="7" fillId="0" borderId="79" xfId="2" applyNumberFormat="1" applyFont="1" applyBorder="1" applyAlignment="1">
      <alignment horizontal="center" vertical="center"/>
    </xf>
    <xf numFmtId="164" fontId="14" fillId="3" borderId="41" xfId="2" applyNumberFormat="1" applyFont="1" applyFill="1" applyBorder="1" applyAlignment="1">
      <alignment horizontal="center" vertical="center"/>
    </xf>
    <xf numFmtId="0" fontId="14" fillId="3" borderId="41" xfId="2" applyFont="1" applyFill="1" applyBorder="1" applyAlignment="1">
      <alignment horizontal="center" vertical="center"/>
    </xf>
    <xf numFmtId="9" fontId="14" fillId="3" borderId="41" xfId="1" applyFont="1" applyFill="1" applyBorder="1" applyAlignment="1">
      <alignment horizontal="center" vertical="center"/>
    </xf>
    <xf numFmtId="164" fontId="13" fillId="3" borderId="41" xfId="2" applyNumberFormat="1" applyFont="1" applyFill="1" applyBorder="1" applyAlignment="1">
      <alignment horizontal="center" vertical="center"/>
    </xf>
    <xf numFmtId="9" fontId="13" fillId="3" borderId="41" xfId="1" applyFont="1" applyFill="1" applyBorder="1" applyAlignment="1">
      <alignment horizontal="center" vertical="center"/>
    </xf>
    <xf numFmtId="164" fontId="13" fillId="3" borderId="80" xfId="2" applyNumberFormat="1" applyFont="1" applyFill="1" applyBorder="1" applyAlignment="1">
      <alignment horizontal="center" vertical="center"/>
    </xf>
    <xf numFmtId="9" fontId="11" fillId="3" borderId="82" xfId="3" applyFont="1" applyFill="1" applyBorder="1" applyAlignment="1">
      <alignment horizontal="center" vertical="center"/>
    </xf>
    <xf numFmtId="0" fontId="11" fillId="3" borderId="82" xfId="2" applyFont="1" applyFill="1" applyBorder="1" applyAlignment="1">
      <alignment vertical="center"/>
    </xf>
    <xf numFmtId="9" fontId="11" fillId="3" borderId="82" xfId="1" applyFont="1" applyFill="1" applyBorder="1" applyAlignment="1">
      <alignment horizontal="center" vertical="center"/>
    </xf>
    <xf numFmtId="9" fontId="11" fillId="3" borderId="83" xfId="3" applyFont="1" applyFill="1" applyBorder="1" applyAlignment="1">
      <alignment horizontal="center" vertical="center"/>
    </xf>
    <xf numFmtId="0" fontId="16" fillId="2" borderId="84" xfId="2" applyFont="1" applyFill="1" applyBorder="1" applyAlignment="1">
      <alignment horizontal="centerContinuous" vertical="center" wrapText="1"/>
    </xf>
    <xf numFmtId="0" fontId="14" fillId="2" borderId="49" xfId="2" applyFont="1" applyFill="1" applyBorder="1" applyAlignment="1">
      <alignment horizontal="center" vertical="center"/>
    </xf>
    <xf numFmtId="0" fontId="14" fillId="2" borderId="85" xfId="2" applyFont="1" applyFill="1" applyBorder="1" applyAlignment="1">
      <alignment horizontal="center" vertical="center"/>
    </xf>
    <xf numFmtId="0" fontId="3" fillId="4" borderId="44" xfId="2" applyFont="1" applyFill="1" applyBorder="1"/>
    <xf numFmtId="0" fontId="3" fillId="4" borderId="37" xfId="2" applyFont="1" applyFill="1" applyBorder="1"/>
    <xf numFmtId="9" fontId="14" fillId="3" borderId="70" xfId="1" applyFont="1" applyFill="1" applyBorder="1" applyAlignment="1">
      <alignment horizontal="center" vertical="center"/>
    </xf>
    <xf numFmtId="9" fontId="13" fillId="3" borderId="80" xfId="1" applyFont="1" applyFill="1" applyBorder="1" applyAlignment="1">
      <alignment horizontal="center" vertical="center"/>
    </xf>
    <xf numFmtId="9" fontId="11" fillId="3" borderId="81" xfId="1" applyFont="1" applyFill="1" applyBorder="1" applyAlignment="1">
      <alignment horizontal="center" vertical="center"/>
    </xf>
    <xf numFmtId="9" fontId="11" fillId="3" borderId="83" xfId="1" applyFont="1" applyFill="1" applyBorder="1" applyAlignment="1">
      <alignment horizontal="center" vertical="center"/>
    </xf>
    <xf numFmtId="0" fontId="4" fillId="0" borderId="74" xfId="2" applyFont="1" applyBorder="1" applyAlignment="1">
      <alignment horizontal="center" vertical="center"/>
    </xf>
    <xf numFmtId="0" fontId="3" fillId="0" borderId="29" xfId="2" applyFont="1" applyBorder="1" applyAlignment="1">
      <alignment horizontal="center" vertical="center"/>
    </xf>
    <xf numFmtId="0" fontId="14" fillId="3" borderId="70" xfId="0" applyFont="1" applyFill="1" applyBorder="1" applyAlignment="1">
      <alignment horizontal="center" vertical="center" wrapText="1"/>
    </xf>
    <xf numFmtId="0" fontId="11" fillId="3" borderId="81" xfId="2" applyFont="1" applyFill="1" applyBorder="1" applyAlignment="1">
      <alignment horizontal="center" vertical="center"/>
    </xf>
    <xf numFmtId="0" fontId="15" fillId="4" borderId="44" xfId="2" applyFont="1" applyFill="1" applyBorder="1" applyAlignment="1">
      <alignment horizontal="centerContinuous" vertical="center"/>
    </xf>
    <xf numFmtId="0" fontId="15" fillId="4" borderId="0" xfId="2" applyFont="1" applyFill="1" applyAlignment="1">
      <alignment horizontal="centerContinuous" vertical="center"/>
    </xf>
    <xf numFmtId="0" fontId="13" fillId="4" borderId="0" xfId="2" applyFont="1" applyFill="1" applyAlignment="1">
      <alignment horizontal="centerContinuous" vertical="center"/>
    </xf>
    <xf numFmtId="9" fontId="13" fillId="4" borderId="0" xfId="1" applyFont="1" applyFill="1" applyBorder="1" applyAlignment="1">
      <alignment horizontal="centerContinuous" vertical="center"/>
    </xf>
    <xf numFmtId="0" fontId="13" fillId="4" borderId="37" xfId="2" applyFont="1" applyFill="1" applyBorder="1" applyAlignment="1">
      <alignment horizontal="centerContinuous" vertical="center"/>
    </xf>
    <xf numFmtId="9" fontId="4" fillId="0" borderId="38" xfId="1" applyFont="1" applyFill="1" applyBorder="1" applyAlignment="1">
      <alignment horizontal="center" vertical="center"/>
    </xf>
    <xf numFmtId="9" fontId="4" fillId="0" borderId="40" xfId="1" applyFont="1" applyFill="1" applyBorder="1" applyAlignment="1">
      <alignment horizontal="center" vertical="center"/>
    </xf>
    <xf numFmtId="9" fontId="3" fillId="0" borderId="38" xfId="1" applyFont="1" applyFill="1" applyBorder="1" applyAlignment="1">
      <alignment horizontal="center" vertical="center"/>
    </xf>
    <xf numFmtId="9" fontId="7" fillId="0" borderId="38" xfId="1" applyFont="1" applyFill="1" applyBorder="1" applyAlignment="1">
      <alignment horizontal="center" vertical="center"/>
    </xf>
    <xf numFmtId="9" fontId="7" fillId="0" borderId="77" xfId="1" applyFont="1" applyFill="1" applyBorder="1" applyAlignment="1">
      <alignment horizontal="center" vertical="center"/>
    </xf>
    <xf numFmtId="0" fontId="1" fillId="0" borderId="76" xfId="0" applyFont="1" applyBorder="1" applyAlignment="1">
      <alignment horizontal="center" vertical="center"/>
    </xf>
    <xf numFmtId="0" fontId="1" fillId="0" borderId="86" xfId="0" applyFont="1" applyBorder="1" applyAlignment="1">
      <alignment horizontal="center" vertical="center"/>
    </xf>
    <xf numFmtId="0" fontId="1" fillId="0" borderId="86" xfId="0" applyFont="1" applyBorder="1" applyAlignment="1">
      <alignment horizontal="left" vertical="center"/>
    </xf>
    <xf numFmtId="0" fontId="1" fillId="0" borderId="87" xfId="0" quotePrefix="1" applyFont="1" applyBorder="1" applyAlignment="1">
      <alignment horizontal="center" vertical="center"/>
    </xf>
    <xf numFmtId="0" fontId="1" fillId="0" borderId="87" xfId="0" applyFont="1" applyBorder="1" applyAlignment="1">
      <alignment horizontal="left" vertical="center"/>
    </xf>
    <xf numFmtId="164" fontId="1" fillId="0" borderId="88" xfId="0" applyNumberFormat="1" applyFont="1" applyBorder="1" applyAlignment="1">
      <alignment horizontal="center" vertical="center"/>
    </xf>
    <xf numFmtId="164" fontId="1" fillId="0" borderId="89" xfId="0" applyNumberFormat="1" applyFont="1" applyBorder="1" applyAlignment="1">
      <alignment horizontal="center" vertical="center"/>
    </xf>
    <xf numFmtId="164" fontId="1" fillId="0" borderId="90" xfId="0" applyNumberFormat="1" applyFont="1" applyBorder="1" applyAlignment="1">
      <alignment horizontal="center" vertical="center"/>
    </xf>
    <xf numFmtId="9" fontId="1" fillId="0" borderId="89" xfId="1" applyFont="1" applyFill="1" applyBorder="1" applyAlignment="1">
      <alignment horizontal="center" vertical="center"/>
    </xf>
    <xf numFmtId="9" fontId="1" fillId="0" borderId="92" xfId="1" applyFont="1" applyFill="1" applyBorder="1" applyAlignment="1">
      <alignment horizontal="center" vertical="center"/>
    </xf>
    <xf numFmtId="164" fontId="1" fillId="0" borderId="93" xfId="0" applyNumberFormat="1" applyFont="1" applyBorder="1" applyAlignment="1">
      <alignment horizontal="center" vertical="center"/>
    </xf>
    <xf numFmtId="164" fontId="1" fillId="0" borderId="94" xfId="0" applyNumberFormat="1" applyFont="1" applyBorder="1" applyAlignment="1">
      <alignment horizontal="center" vertical="center"/>
    </xf>
    <xf numFmtId="164" fontId="1" fillId="0" borderId="95" xfId="0" applyNumberFormat="1" applyFont="1" applyBorder="1" applyAlignment="1">
      <alignment horizontal="center" vertical="center"/>
    </xf>
    <xf numFmtId="0" fontId="32" fillId="0" borderId="29" xfId="0" applyFont="1" applyBorder="1" applyAlignment="1">
      <alignment horizontal="center" vertical="center"/>
    </xf>
    <xf numFmtId="0" fontId="33" fillId="0" borderId="44" xfId="0" quotePrefix="1" applyFont="1" applyBorder="1" applyAlignment="1">
      <alignment horizontal="center" vertical="center"/>
    </xf>
    <xf numFmtId="0" fontId="33" fillId="0" borderId="44" xfId="0" applyFont="1" applyBorder="1" applyAlignment="1">
      <alignment horizontal="left" vertical="center"/>
    </xf>
    <xf numFmtId="164" fontId="33" fillId="0" borderId="45" xfId="0" applyNumberFormat="1" applyFont="1" applyBorder="1" applyAlignment="1">
      <alignment horizontal="center" vertical="center"/>
    </xf>
    <xf numFmtId="164" fontId="33" fillId="0" borderId="88" xfId="0" applyNumberFormat="1" applyFont="1" applyBorder="1" applyAlignment="1">
      <alignment horizontal="center" vertical="center"/>
    </xf>
    <xf numFmtId="164" fontId="33" fillId="0" borderId="47" xfId="0" applyNumberFormat="1" applyFont="1" applyBorder="1" applyAlignment="1">
      <alignment horizontal="center" vertical="center"/>
    </xf>
    <xf numFmtId="164" fontId="33" fillId="0" borderId="91" xfId="0" applyNumberFormat="1" applyFont="1" applyBorder="1" applyAlignment="1">
      <alignment horizontal="center" vertical="center"/>
    </xf>
    <xf numFmtId="9" fontId="33" fillId="0" borderId="48" xfId="1" applyFont="1" applyFill="1" applyBorder="1" applyAlignment="1">
      <alignment horizontal="center" vertical="center"/>
    </xf>
    <xf numFmtId="9" fontId="33" fillId="0" borderId="92" xfId="1" applyFont="1" applyFill="1" applyBorder="1" applyAlignment="1">
      <alignment horizontal="center" vertical="center"/>
    </xf>
    <xf numFmtId="164" fontId="33" fillId="0" borderId="39" xfId="0" applyNumberFormat="1" applyFont="1" applyBorder="1" applyAlignment="1">
      <alignment horizontal="center" vertical="center"/>
    </xf>
    <xf numFmtId="164" fontId="33" fillId="0" borderId="89" xfId="0" applyNumberFormat="1" applyFont="1" applyBorder="1" applyAlignment="1">
      <alignment horizontal="center" vertical="center"/>
    </xf>
    <xf numFmtId="0" fontId="16" fillId="5" borderId="30" xfId="0" applyFont="1" applyFill="1" applyBorder="1" applyAlignment="1">
      <alignment horizontal="center" vertical="center" wrapText="1"/>
    </xf>
    <xf numFmtId="0" fontId="16" fillId="5" borderId="52" xfId="0" applyFont="1" applyFill="1" applyBorder="1" applyAlignment="1">
      <alignment horizontal="center" vertical="center" wrapText="1"/>
    </xf>
    <xf numFmtId="0" fontId="16" fillId="5" borderId="33" xfId="0" applyFont="1" applyFill="1" applyBorder="1" applyAlignment="1">
      <alignment horizontal="centerContinuous" vertical="center"/>
    </xf>
    <xf numFmtId="0" fontId="16" fillId="5" borderId="28" xfId="0" applyFont="1" applyFill="1" applyBorder="1" applyAlignment="1">
      <alignment horizontal="centerContinuous" vertical="center"/>
    </xf>
    <xf numFmtId="0" fontId="16" fillId="5" borderId="59" xfId="0" applyFont="1" applyFill="1" applyBorder="1" applyAlignment="1">
      <alignment horizontal="centerContinuous" vertical="center"/>
    </xf>
    <xf numFmtId="0" fontId="16" fillId="5" borderId="50"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6" borderId="60" xfId="0" applyFont="1" applyFill="1" applyBorder="1" applyAlignment="1">
      <alignment horizontal="centerContinuous" vertical="center"/>
    </xf>
    <xf numFmtId="0" fontId="16" fillId="6" borderId="43" xfId="0" applyFont="1" applyFill="1" applyBorder="1" applyAlignment="1">
      <alignment horizontal="centerContinuous" vertical="center"/>
    </xf>
    <xf numFmtId="0" fontId="16" fillId="6" borderId="51" xfId="0" applyFont="1" applyFill="1" applyBorder="1" applyAlignment="1">
      <alignment horizontal="center" vertical="center" wrapText="1"/>
    </xf>
    <xf numFmtId="0" fontId="16" fillId="6" borderId="61" xfId="0" applyFont="1" applyFill="1" applyBorder="1" applyAlignment="1">
      <alignment horizontal="center" vertical="center" wrapText="1"/>
    </xf>
    <xf numFmtId="0" fontId="16" fillId="7" borderId="33" xfId="0" applyFont="1" applyFill="1" applyBorder="1" applyAlignment="1">
      <alignment horizontal="centerContinuous" vertical="center"/>
    </xf>
    <xf numFmtId="0" fontId="16" fillId="7" borderId="28" xfId="0" applyFont="1" applyFill="1" applyBorder="1" applyAlignment="1">
      <alignment horizontal="centerContinuous" vertical="center"/>
    </xf>
    <xf numFmtId="0" fontId="16" fillId="7" borderId="41" xfId="0" applyFont="1" applyFill="1" applyBorder="1" applyAlignment="1">
      <alignment horizontal="centerContinuous" vertical="center"/>
    </xf>
    <xf numFmtId="0" fontId="16" fillId="7" borderId="59" xfId="0" applyFont="1" applyFill="1" applyBorder="1" applyAlignment="1">
      <alignment horizontal="centerContinuous" vertical="center"/>
    </xf>
    <xf numFmtId="0" fontId="16" fillId="7" borderId="50" xfId="0" applyFont="1" applyFill="1" applyBorder="1" applyAlignment="1">
      <alignment horizontal="center" vertical="center" wrapText="1"/>
    </xf>
    <xf numFmtId="0" fontId="16" fillId="7" borderId="30" xfId="0" applyFont="1" applyFill="1" applyBorder="1" applyAlignment="1">
      <alignment horizontal="center" vertical="center" wrapText="1"/>
    </xf>
    <xf numFmtId="0" fontId="16" fillId="7" borderId="27" xfId="0" applyFont="1" applyFill="1" applyBorder="1" applyAlignment="1">
      <alignment horizontal="center" vertical="center" wrapText="1"/>
    </xf>
    <xf numFmtId="0" fontId="16" fillId="9" borderId="30" xfId="0" applyFont="1" applyFill="1" applyBorder="1" applyAlignment="1">
      <alignment horizontal="center" vertical="center" wrapText="1"/>
    </xf>
    <xf numFmtId="0" fontId="16" fillId="10" borderId="33" xfId="0" applyFont="1" applyFill="1" applyBorder="1" applyAlignment="1">
      <alignment vertical="center"/>
    </xf>
    <xf numFmtId="0" fontId="16" fillId="11" borderId="34" xfId="0" applyFont="1" applyFill="1" applyBorder="1" applyAlignment="1">
      <alignment horizontal="center" vertical="center"/>
    </xf>
    <xf numFmtId="0" fontId="16" fillId="11" borderId="35" xfId="0" applyFont="1" applyFill="1" applyBorder="1" applyAlignment="1">
      <alignment horizontal="center" vertical="center"/>
    </xf>
    <xf numFmtId="0" fontId="16" fillId="11" borderId="53" xfId="0" applyFont="1" applyFill="1" applyBorder="1" applyAlignment="1">
      <alignment horizontal="center" vertical="center"/>
    </xf>
    <xf numFmtId="0" fontId="16" fillId="11" borderId="54" xfId="0" applyFont="1" applyFill="1" applyBorder="1" applyAlignment="1">
      <alignment horizontal="center" vertical="center"/>
    </xf>
    <xf numFmtId="0" fontId="16" fillId="12" borderId="60" xfId="0" applyFont="1" applyFill="1" applyBorder="1" applyAlignment="1">
      <alignment horizontal="centerContinuous" vertical="center"/>
    </xf>
    <xf numFmtId="0" fontId="16" fillId="12" borderId="65" xfId="0" applyFont="1" applyFill="1" applyBorder="1" applyAlignment="1">
      <alignment horizontal="centerContinuous" vertical="center"/>
    </xf>
    <xf numFmtId="0" fontId="16" fillId="12" borderId="66" xfId="0" applyFont="1" applyFill="1" applyBorder="1" applyAlignment="1">
      <alignment horizontal="centerContinuous" vertical="center"/>
    </xf>
    <xf numFmtId="0" fontId="16" fillId="12" borderId="51" xfId="0" applyFont="1" applyFill="1" applyBorder="1" applyAlignment="1">
      <alignment horizontal="center" vertical="center" wrapText="1"/>
    </xf>
    <xf numFmtId="0" fontId="16" fillId="12" borderId="30" xfId="0" applyFont="1" applyFill="1" applyBorder="1" applyAlignment="1">
      <alignment horizontal="center" vertical="center" wrapText="1"/>
    </xf>
    <xf numFmtId="0" fontId="34" fillId="0" borderId="0" xfId="0" applyFont="1" applyAlignment="1">
      <alignment vertical="center"/>
    </xf>
    <xf numFmtId="0" fontId="35" fillId="0" borderId="0" xfId="2" applyFont="1"/>
    <xf numFmtId="0" fontId="36" fillId="0" borderId="0" xfId="2" applyFont="1"/>
    <xf numFmtId="0" fontId="37" fillId="0" borderId="0" xfId="2" applyFont="1"/>
    <xf numFmtId="0" fontId="37" fillId="4" borderId="44" xfId="2" applyFont="1" applyFill="1" applyBorder="1"/>
    <xf numFmtId="0" fontId="37" fillId="4" borderId="37" xfId="2" applyFont="1" applyFill="1" applyBorder="1"/>
    <xf numFmtId="164" fontId="37" fillId="0" borderId="29" xfId="2" applyNumberFormat="1" applyFont="1" applyBorder="1" applyAlignment="1">
      <alignment horizontal="center" vertical="center"/>
    </xf>
    <xf numFmtId="164" fontId="37" fillId="0" borderId="38" xfId="2" applyNumberFormat="1" applyFont="1" applyBorder="1" applyAlignment="1">
      <alignment horizontal="center" vertical="center"/>
    </xf>
    <xf numFmtId="9" fontId="37" fillId="0" borderId="40" xfId="1" applyFont="1" applyFill="1" applyBorder="1" applyAlignment="1">
      <alignment horizontal="center" vertical="center"/>
    </xf>
    <xf numFmtId="9" fontId="37" fillId="0" borderId="38" xfId="1" applyFont="1" applyFill="1" applyBorder="1" applyAlignment="1">
      <alignment horizontal="center" vertical="center"/>
    </xf>
    <xf numFmtId="164" fontId="39" fillId="0" borderId="29" xfId="2" applyNumberFormat="1" applyFont="1" applyBorder="1" applyAlignment="1">
      <alignment horizontal="center" vertical="center"/>
    </xf>
    <xf numFmtId="164" fontId="39" fillId="0" borderId="38" xfId="2" applyNumberFormat="1" applyFont="1" applyBorder="1" applyAlignment="1">
      <alignment horizontal="center" vertical="center"/>
    </xf>
    <xf numFmtId="9" fontId="39" fillId="0" borderId="40" xfId="1" applyFont="1" applyFill="1" applyBorder="1" applyAlignment="1">
      <alignment horizontal="center" vertical="center"/>
    </xf>
    <xf numFmtId="9" fontId="39" fillId="0" borderId="38" xfId="1" applyFont="1" applyFill="1" applyBorder="1" applyAlignment="1">
      <alignment horizontal="center" vertical="center"/>
    </xf>
    <xf numFmtId="164" fontId="39" fillId="0" borderId="76" xfId="2" applyNumberFormat="1" applyFont="1" applyBorder="1" applyAlignment="1">
      <alignment horizontal="center" vertical="center"/>
    </xf>
    <xf numFmtId="164" fontId="39" fillId="0" borderId="77" xfId="2" applyNumberFormat="1" applyFont="1" applyBorder="1" applyAlignment="1">
      <alignment horizontal="center" vertical="center"/>
    </xf>
    <xf numFmtId="9" fontId="39" fillId="0" borderId="79" xfId="1" applyFont="1" applyFill="1" applyBorder="1" applyAlignment="1">
      <alignment horizontal="center" vertical="center"/>
    </xf>
    <xf numFmtId="164" fontId="39" fillId="0" borderId="79" xfId="2" applyNumberFormat="1" applyFont="1" applyBorder="1" applyAlignment="1">
      <alignment horizontal="center" vertical="center"/>
    </xf>
    <xf numFmtId="9" fontId="39" fillId="0" borderId="77" xfId="1" applyFont="1" applyFill="1" applyBorder="1" applyAlignment="1">
      <alignment horizontal="center" vertical="center"/>
    </xf>
    <xf numFmtId="0" fontId="37" fillId="0" borderId="0" xfId="2" applyFont="1" applyAlignment="1">
      <alignment horizontal="center"/>
    </xf>
    <xf numFmtId="0" fontId="39" fillId="0" borderId="0" xfId="2" applyFont="1" applyAlignment="1">
      <alignment horizontal="center"/>
    </xf>
    <xf numFmtId="9" fontId="39" fillId="0" borderId="0" xfId="1" applyFont="1" applyFill="1" applyBorder="1" applyAlignment="1">
      <alignment horizontal="center"/>
    </xf>
    <xf numFmtId="164" fontId="24" fillId="3" borderId="41" xfId="2" applyNumberFormat="1" applyFont="1" applyFill="1" applyBorder="1" applyAlignment="1">
      <alignment horizontal="center" vertical="center"/>
    </xf>
    <xf numFmtId="9" fontId="24" fillId="3" borderId="70" xfId="1" applyFont="1" applyFill="1" applyBorder="1" applyAlignment="1">
      <alignment horizontal="center" vertical="center"/>
    </xf>
    <xf numFmtId="9" fontId="40" fillId="3" borderId="82" xfId="3" applyFont="1" applyFill="1" applyBorder="1" applyAlignment="1">
      <alignment horizontal="center" vertical="center"/>
    </xf>
    <xf numFmtId="9" fontId="40" fillId="3" borderId="83" xfId="3" applyFont="1" applyFill="1" applyBorder="1" applyAlignment="1">
      <alignment horizontal="center" vertical="center"/>
    </xf>
    <xf numFmtId="9" fontId="40" fillId="3" borderId="81" xfId="1" applyFont="1" applyFill="1" applyBorder="1" applyAlignment="1">
      <alignment horizontal="center" vertical="center"/>
    </xf>
    <xf numFmtId="9" fontId="40" fillId="3" borderId="83" xfId="1" applyFont="1" applyFill="1" applyBorder="1" applyAlignment="1">
      <alignment horizontal="center" vertical="center"/>
    </xf>
    <xf numFmtId="0" fontId="36" fillId="0" borderId="0" xfId="2" applyFont="1" applyAlignment="1">
      <alignment vertical="top" wrapText="1"/>
    </xf>
    <xf numFmtId="164" fontId="37" fillId="0" borderId="56" xfId="2" applyNumberFormat="1" applyFont="1" applyBorder="1" applyAlignment="1">
      <alignment horizontal="center" vertical="center"/>
    </xf>
    <xf numFmtId="0" fontId="38" fillId="0" borderId="0" xfId="2" applyFont="1"/>
    <xf numFmtId="164" fontId="37" fillId="0" borderId="75" xfId="2" applyNumberFormat="1" applyFont="1" applyBorder="1" applyAlignment="1">
      <alignment horizontal="center" vertical="center"/>
    </xf>
    <xf numFmtId="0" fontId="24" fillId="4" borderId="0" xfId="2" applyFont="1" applyFill="1" applyAlignment="1">
      <alignment horizontal="centerContinuous" vertical="center"/>
    </xf>
    <xf numFmtId="0" fontId="24" fillId="4" borderId="37" xfId="2" applyFont="1" applyFill="1" applyBorder="1" applyAlignment="1">
      <alignment horizontal="centerContinuous" vertical="center"/>
    </xf>
    <xf numFmtId="164" fontId="37" fillId="0" borderId="40" xfId="2" applyNumberFormat="1" applyFont="1" applyBorder="1" applyAlignment="1">
      <alignment horizontal="center" vertical="center"/>
    </xf>
    <xf numFmtId="164" fontId="39" fillId="0" borderId="40" xfId="2" applyNumberFormat="1" applyFont="1" applyBorder="1" applyAlignment="1">
      <alignment horizontal="center" vertical="center"/>
    </xf>
    <xf numFmtId="164" fontId="24" fillId="3" borderId="80" xfId="2" applyNumberFormat="1" applyFont="1" applyFill="1" applyBorder="1" applyAlignment="1">
      <alignment horizontal="center" vertical="center"/>
    </xf>
    <xf numFmtId="9" fontId="24" fillId="3" borderId="80" xfId="1" applyFont="1" applyFill="1" applyBorder="1" applyAlignment="1">
      <alignment horizontal="center" vertical="center"/>
    </xf>
    <xf numFmtId="0" fontId="4" fillId="0" borderId="0" xfId="2" applyFont="1" applyAlignment="1">
      <alignment horizontal="center" vertical="center" wrapText="1"/>
    </xf>
    <xf numFmtId="0" fontId="41" fillId="0" borderId="0" xfId="2" applyFont="1" applyAlignment="1">
      <alignment horizontal="center" vertical="center"/>
    </xf>
    <xf numFmtId="0" fontId="36" fillId="0" borderId="0" xfId="2" applyFont="1" applyAlignment="1">
      <alignment horizontal="center" vertical="center" wrapText="1"/>
    </xf>
    <xf numFmtId="0" fontId="27" fillId="0" borderId="0" xfId="2" applyFont="1" applyAlignment="1">
      <alignment vertical="top" wrapText="1"/>
    </xf>
    <xf numFmtId="0" fontId="1" fillId="0" borderId="25" xfId="0" applyFont="1" applyBorder="1"/>
    <xf numFmtId="9" fontId="1" fillId="13" borderId="26" xfId="0" applyNumberFormat="1" applyFont="1" applyFill="1" applyBorder="1"/>
    <xf numFmtId="0" fontId="1" fillId="13" borderId="4" xfId="0" applyFont="1" applyFill="1" applyBorder="1"/>
    <xf numFmtId="0" fontId="1" fillId="13" borderId="6" xfId="0" applyFont="1" applyFill="1" applyBorder="1"/>
    <xf numFmtId="0" fontId="1" fillId="13" borderId="6" xfId="0" applyFont="1" applyFill="1" applyBorder="1" applyAlignment="1">
      <alignment horizontal="center"/>
    </xf>
    <xf numFmtId="164" fontId="37" fillId="0" borderId="97" xfId="2" applyNumberFormat="1" applyFont="1" applyBorder="1" applyAlignment="1">
      <alignment horizontal="center" vertical="center"/>
    </xf>
    <xf numFmtId="164" fontId="37" fillId="0" borderId="76" xfId="2" applyNumberFormat="1" applyFont="1" applyBorder="1" applyAlignment="1">
      <alignment horizontal="center" vertical="center"/>
    </xf>
    <xf numFmtId="0" fontId="42" fillId="14" borderId="0" xfId="2" applyFont="1" applyFill="1" applyAlignment="1">
      <alignment vertical="top" wrapText="1"/>
    </xf>
    <xf numFmtId="0" fontId="4" fillId="14" borderId="0" xfId="2" applyFont="1" applyFill="1" applyAlignment="1">
      <alignment vertical="top" wrapText="1"/>
    </xf>
    <xf numFmtId="0" fontId="4" fillId="14" borderId="0" xfId="2" applyFont="1" applyFill="1" applyAlignment="1">
      <alignment wrapText="1"/>
    </xf>
    <xf numFmtId="0" fontId="3" fillId="14" borderId="0" xfId="0" applyFont="1" applyFill="1"/>
    <xf numFmtId="0" fontId="16" fillId="12" borderId="27" xfId="0" applyFont="1" applyFill="1" applyBorder="1" applyAlignment="1">
      <alignment horizontal="center" vertical="center" wrapText="1"/>
    </xf>
    <xf numFmtId="0" fontId="16" fillId="12" borderId="98" xfId="0" applyFont="1" applyFill="1" applyBorder="1" applyAlignment="1">
      <alignment horizontal="center" vertical="center" wrapText="1"/>
    </xf>
    <xf numFmtId="164" fontId="33" fillId="0" borderId="48" xfId="0" applyNumberFormat="1" applyFont="1" applyBorder="1" applyAlignment="1">
      <alignment horizontal="center" vertical="center"/>
    </xf>
    <xf numFmtId="164" fontId="33" fillId="0" borderId="92" xfId="0" applyNumberFormat="1" applyFont="1" applyBorder="1" applyAlignment="1">
      <alignment horizontal="center" vertical="center"/>
    </xf>
    <xf numFmtId="0" fontId="43" fillId="14" borderId="0" xfId="2" applyFont="1" applyFill="1" applyAlignment="1">
      <alignment vertical="top"/>
    </xf>
    <xf numFmtId="0" fontId="44" fillId="0" borderId="0" xfId="2" applyFont="1" applyAlignment="1">
      <alignment horizontal="center" vertical="center" wrapText="1"/>
    </xf>
    <xf numFmtId="0" fontId="27" fillId="0" borderId="0" xfId="2" applyFont="1" applyAlignment="1">
      <alignment horizontal="left" vertical="center"/>
    </xf>
    <xf numFmtId="0" fontId="37" fillId="0" borderId="0" xfId="0" applyFont="1" applyAlignment="1">
      <alignment horizontal="left" vertical="center"/>
    </xf>
    <xf numFmtId="0" fontId="25" fillId="15" borderId="0" xfId="0" applyFont="1" applyFill="1"/>
    <xf numFmtId="0" fontId="0" fillId="15" borderId="0" xfId="0" quotePrefix="1" applyFill="1"/>
    <xf numFmtId="0" fontId="0" fillId="15" borderId="0" xfId="0" applyFill="1"/>
    <xf numFmtId="15" fontId="0" fillId="0" borderId="0" xfId="0" applyNumberFormat="1"/>
    <xf numFmtId="0" fontId="25" fillId="0" borderId="0" xfId="0" applyFont="1" applyAlignment="1">
      <alignment horizontal="left" vertical="center"/>
    </xf>
    <xf numFmtId="0" fontId="0" fillId="0" borderId="0" xfId="0" applyAlignment="1">
      <alignment vertical="center"/>
    </xf>
    <xf numFmtId="0" fontId="25" fillId="0" borderId="0" xfId="0" applyFont="1" applyAlignment="1">
      <alignment vertical="center"/>
    </xf>
    <xf numFmtId="0" fontId="46" fillId="0" borderId="0" xfId="0" applyFont="1" applyAlignment="1">
      <alignment vertical="center"/>
    </xf>
    <xf numFmtId="0" fontId="47" fillId="0" borderId="0" xfId="0" applyFont="1" applyAlignment="1">
      <alignment horizontal="left" vertical="center" indent="5"/>
    </xf>
    <xf numFmtId="0" fontId="49" fillId="0" borderId="0" xfId="0" applyFont="1" applyAlignment="1">
      <alignment horizontal="left" vertical="center" indent="10"/>
    </xf>
    <xf numFmtId="0" fontId="50" fillId="0" borderId="0" xfId="0" applyFont="1" applyAlignment="1">
      <alignment horizontal="left" vertical="center" indent="15"/>
    </xf>
    <xf numFmtId="0" fontId="33" fillId="0" borderId="29" xfId="0" applyFont="1" applyBorder="1" applyAlignment="1">
      <alignment horizontal="center" vertical="center"/>
    </xf>
    <xf numFmtId="164" fontId="1" fillId="0" borderId="99" xfId="0" applyNumberFormat="1" applyFont="1" applyBorder="1" applyAlignment="1">
      <alignment horizontal="center" vertical="center"/>
    </xf>
    <xf numFmtId="14" fontId="1" fillId="0" borderId="29" xfId="0" applyNumberFormat="1" applyFont="1" applyBorder="1" applyAlignment="1">
      <alignment horizontal="center" vertical="center"/>
    </xf>
    <xf numFmtId="14" fontId="1" fillId="0" borderId="76" xfId="0" applyNumberFormat="1" applyFont="1" applyBorder="1" applyAlignment="1">
      <alignment horizontal="center" vertical="center"/>
    </xf>
    <xf numFmtId="1" fontId="1" fillId="0" borderId="29" xfId="0" applyNumberFormat="1" applyFont="1" applyBorder="1" applyAlignment="1">
      <alignment horizontal="center" vertical="center"/>
    </xf>
    <xf numFmtId="0" fontId="0" fillId="17" borderId="0" xfId="0" applyFill="1"/>
    <xf numFmtId="0" fontId="45" fillId="4" borderId="29" xfId="0" applyFont="1" applyFill="1" applyBorder="1" applyAlignment="1">
      <alignment horizontal="center" vertical="center" wrapText="1"/>
    </xf>
    <xf numFmtId="0" fontId="0" fillId="16" borderId="100" xfId="0" applyFill="1" applyBorder="1" applyAlignment="1">
      <alignment vertical="center" wrapText="1"/>
    </xf>
    <xf numFmtId="14" fontId="0" fillId="0" borderId="0" xfId="0" applyNumberFormat="1" applyAlignment="1">
      <alignment vertical="center"/>
    </xf>
    <xf numFmtId="0" fontId="52" fillId="0" borderId="0" xfId="0" applyFont="1"/>
    <xf numFmtId="0" fontId="53" fillId="0" borderId="0" xfId="0" applyFont="1"/>
    <xf numFmtId="164" fontId="0" fillId="0" borderId="0" xfId="1" applyNumberFormat="1" applyFont="1"/>
    <xf numFmtId="9" fontId="0" fillId="0" borderId="0" xfId="1" applyFont="1"/>
    <xf numFmtId="0" fontId="0" fillId="17" borderId="100" xfId="0" applyFill="1" applyBorder="1" applyAlignment="1">
      <alignment vertical="center" wrapText="1"/>
    </xf>
    <xf numFmtId="0" fontId="54" fillId="2" borderId="68" xfId="0" applyFont="1" applyFill="1" applyBorder="1" applyAlignment="1">
      <alignment horizontal="center" vertical="center"/>
    </xf>
    <xf numFmtId="0" fontId="54" fillId="2" borderId="69" xfId="0" applyFont="1" applyFill="1" applyBorder="1" applyAlignment="1">
      <alignment horizontal="center" vertical="center"/>
    </xf>
    <xf numFmtId="0" fontId="54" fillId="17" borderId="0" xfId="0" applyFont="1" applyFill="1" applyAlignment="1">
      <alignment horizontal="center" vertical="center"/>
    </xf>
    <xf numFmtId="0" fontId="0" fillId="17" borderId="0" xfId="0" applyFill="1" applyAlignment="1">
      <alignment vertical="center" wrapText="1"/>
    </xf>
    <xf numFmtId="0" fontId="0" fillId="16" borderId="29" xfId="0" applyFill="1" applyBorder="1" applyAlignment="1">
      <alignment horizontal="left" vertical="top"/>
    </xf>
    <xf numFmtId="0" fontId="0" fillId="17" borderId="29" xfId="0" applyFill="1" applyBorder="1" applyAlignment="1">
      <alignment horizontal="left" vertical="top"/>
    </xf>
    <xf numFmtId="0" fontId="0" fillId="0" borderId="0" xfId="0" applyAlignment="1">
      <alignment horizontal="center" vertical="center"/>
    </xf>
    <xf numFmtId="0" fontId="1" fillId="13" borderId="3" xfId="0" applyFont="1" applyFill="1" applyBorder="1" applyAlignment="1">
      <alignment horizontal="center"/>
    </xf>
    <xf numFmtId="0" fontId="1" fillId="13" borderId="5" xfId="0" applyFont="1" applyFill="1" applyBorder="1" applyAlignment="1">
      <alignment horizontal="center"/>
    </xf>
    <xf numFmtId="0" fontId="33" fillId="0" borderId="29" xfId="0" quotePrefix="1" applyFont="1" applyBorder="1" applyAlignment="1">
      <alignment horizontal="center" vertical="center"/>
    </xf>
    <xf numFmtId="0" fontId="16" fillId="10" borderId="50" xfId="0" applyFont="1" applyFill="1" applyBorder="1" applyAlignment="1">
      <alignment horizontal="center" vertical="center" wrapText="1"/>
    </xf>
    <xf numFmtId="0" fontId="33" fillId="0" borderId="37" xfId="0" applyFont="1" applyBorder="1" applyAlignment="1">
      <alignment horizontal="left" vertical="center"/>
    </xf>
    <xf numFmtId="0" fontId="33" fillId="0" borderId="96" xfId="0" applyFont="1" applyBorder="1" applyAlignment="1">
      <alignment horizontal="left" vertical="center"/>
    </xf>
    <xf numFmtId="0" fontId="16" fillId="19" borderId="42" xfId="0" applyFont="1" applyFill="1" applyBorder="1" applyAlignment="1">
      <alignment horizontal="centerContinuous" vertical="center"/>
    </xf>
    <xf numFmtId="0" fontId="16" fillId="19" borderId="43" xfId="0" applyFont="1" applyFill="1" applyBorder="1" applyAlignment="1">
      <alignment horizontal="centerContinuous" vertical="center"/>
    </xf>
    <xf numFmtId="0" fontId="16" fillId="19" borderId="51" xfId="0" applyFont="1" applyFill="1" applyBorder="1" applyAlignment="1">
      <alignment horizontal="center" vertical="center" wrapText="1"/>
    </xf>
    <xf numFmtId="0" fontId="16" fillId="19" borderId="52" xfId="0" applyFont="1" applyFill="1" applyBorder="1" applyAlignment="1">
      <alignment horizontal="center" vertical="center" wrapText="1"/>
    </xf>
    <xf numFmtId="164" fontId="56" fillId="0" borderId="56" xfId="2" applyNumberFormat="1" applyFont="1" applyBorder="1" applyAlignment="1">
      <alignment horizontal="center" vertical="center"/>
    </xf>
    <xf numFmtId="164" fontId="56" fillId="0" borderId="75" xfId="2" applyNumberFormat="1" applyFont="1" applyBorder="1" applyAlignment="1">
      <alignment horizontal="center" vertical="center"/>
    </xf>
    <xf numFmtId="164" fontId="4" fillId="0" borderId="0" xfId="2" applyNumberFormat="1" applyFont="1" applyAlignment="1">
      <alignment vertical="top" wrapText="1"/>
    </xf>
    <xf numFmtId="164" fontId="3" fillId="0" borderId="0" xfId="0" applyNumberFormat="1" applyFont="1"/>
    <xf numFmtId="164" fontId="7" fillId="0" borderId="0" xfId="1" applyNumberFormat="1" applyFont="1" applyFill="1" applyBorder="1" applyAlignment="1">
      <alignment horizontal="center" vertical="center"/>
    </xf>
    <xf numFmtId="164" fontId="3" fillId="0" borderId="0" xfId="0" applyNumberFormat="1" applyFont="1" applyAlignment="1">
      <alignment vertical="center"/>
    </xf>
    <xf numFmtId="164" fontId="8" fillId="0" borderId="0" xfId="1" applyNumberFormat="1" applyFont="1" applyFill="1" applyBorder="1" applyAlignment="1">
      <alignment horizontal="center" vertical="center"/>
    </xf>
    <xf numFmtId="164" fontId="3" fillId="0" borderId="0" xfId="1" applyNumberFormat="1" applyFont="1" applyFill="1" applyBorder="1" applyAlignment="1">
      <alignment horizontal="center"/>
    </xf>
    <xf numFmtId="0" fontId="1" fillId="20" borderId="0" xfId="0" applyFont="1" applyFill="1"/>
    <xf numFmtId="164" fontId="1" fillId="0" borderId="48" xfId="0" applyNumberFormat="1" applyFont="1" applyBorder="1" applyAlignment="1">
      <alignment horizontal="center" vertical="center"/>
    </xf>
    <xf numFmtId="164" fontId="1" fillId="0" borderId="92" xfId="0" applyNumberFormat="1" applyFont="1" applyBorder="1" applyAlignment="1">
      <alignment horizontal="center" vertical="center"/>
    </xf>
    <xf numFmtId="0" fontId="16" fillId="9" borderId="109" xfId="0" applyFont="1" applyFill="1" applyBorder="1" applyAlignment="1">
      <alignment horizontal="center" vertical="center" wrapText="1"/>
    </xf>
    <xf numFmtId="0" fontId="16" fillId="8" borderId="110" xfId="0" applyFont="1" applyFill="1" applyBorder="1" applyAlignment="1">
      <alignment horizontal="centerContinuous" vertical="center"/>
    </xf>
    <xf numFmtId="0" fontId="16" fillId="8" borderId="111" xfId="0" applyFont="1" applyFill="1" applyBorder="1" applyAlignment="1">
      <alignment horizontal="centerContinuous" vertical="center"/>
    </xf>
    <xf numFmtId="0" fontId="16" fillId="8" borderId="109" xfId="0" applyFont="1" applyFill="1" applyBorder="1" applyAlignment="1">
      <alignment horizontal="center" vertical="center" wrapText="1"/>
    </xf>
    <xf numFmtId="0" fontId="16" fillId="8" borderId="112" xfId="0" applyFont="1" applyFill="1" applyBorder="1" applyAlignment="1">
      <alignment horizontal="center" vertical="center" wrapText="1"/>
    </xf>
    <xf numFmtId="164" fontId="1" fillId="0" borderId="113" xfId="0" applyNumberFormat="1" applyFont="1" applyBorder="1" applyAlignment="1">
      <alignment horizontal="center" vertical="center"/>
    </xf>
    <xf numFmtId="164" fontId="1" fillId="0" borderId="114" xfId="0" applyNumberFormat="1" applyFont="1" applyBorder="1" applyAlignment="1">
      <alignment horizontal="center" vertical="center"/>
    </xf>
    <xf numFmtId="164" fontId="1" fillId="0" borderId="115" xfId="0" applyNumberFormat="1" applyFont="1" applyBorder="1" applyAlignment="1">
      <alignment horizontal="center" vertical="center"/>
    </xf>
    <xf numFmtId="164" fontId="1" fillId="0" borderId="116" xfId="0" applyNumberFormat="1" applyFont="1" applyBorder="1" applyAlignment="1">
      <alignment horizontal="center" vertical="center"/>
    </xf>
    <xf numFmtId="164" fontId="1" fillId="0" borderId="117" xfId="0" applyNumberFormat="1" applyFont="1" applyBorder="1" applyAlignment="1">
      <alignment horizontal="center" vertical="center"/>
    </xf>
    <xf numFmtId="164" fontId="1" fillId="0" borderId="118" xfId="0" applyNumberFormat="1" applyFont="1" applyBorder="1" applyAlignment="1">
      <alignment horizontal="center" vertical="center"/>
    </xf>
    <xf numFmtId="0" fontId="16" fillId="9" borderId="119" xfId="0" applyFont="1" applyFill="1" applyBorder="1" applyAlignment="1">
      <alignment horizontal="centerContinuous" vertical="center"/>
    </xf>
    <xf numFmtId="0" fontId="16" fillId="9" borderId="28" xfId="0" applyFont="1" applyFill="1" applyBorder="1" applyAlignment="1">
      <alignment horizontal="centerContinuous" vertical="center"/>
    </xf>
    <xf numFmtId="0" fontId="16" fillId="9" borderId="120" xfId="0" applyFont="1" applyFill="1" applyBorder="1" applyAlignment="1">
      <alignment horizontal="centerContinuous" vertical="center"/>
    </xf>
    <xf numFmtId="0" fontId="16" fillId="9" borderId="52" xfId="0" applyFont="1" applyFill="1" applyBorder="1" applyAlignment="1">
      <alignment horizontal="center" vertical="center" wrapText="1"/>
    </xf>
    <xf numFmtId="164" fontId="24" fillId="3" borderId="41" xfId="1" applyNumberFormat="1" applyFont="1" applyFill="1" applyBorder="1" applyAlignment="1">
      <alignment horizontal="center" vertical="center"/>
    </xf>
    <xf numFmtId="164" fontId="4" fillId="0" borderId="121" xfId="0" applyNumberFormat="1" applyFont="1" applyBorder="1" applyAlignment="1">
      <alignment horizontal="center" vertical="center"/>
    </xf>
    <xf numFmtId="164" fontId="4" fillId="0" borderId="122" xfId="0" applyNumberFormat="1" applyFont="1" applyBorder="1" applyAlignment="1">
      <alignment horizontal="center" vertical="center"/>
    </xf>
    <xf numFmtId="164" fontId="4" fillId="0" borderId="45" xfId="0" applyNumberFormat="1" applyFont="1" applyBorder="1" applyAlignment="1">
      <alignment horizontal="center" vertical="center"/>
    </xf>
    <xf numFmtId="164" fontId="4" fillId="0" borderId="46" xfId="0" applyNumberFormat="1" applyFont="1" applyBorder="1" applyAlignment="1">
      <alignment horizontal="center" vertical="center"/>
    </xf>
    <xf numFmtId="164" fontId="4" fillId="0" borderId="123" xfId="0" applyNumberFormat="1" applyFont="1" applyBorder="1" applyAlignment="1">
      <alignment horizontal="center" vertical="center"/>
    </xf>
    <xf numFmtId="164" fontId="4" fillId="0" borderId="99" xfId="0" applyNumberFormat="1" applyFont="1" applyBorder="1" applyAlignment="1">
      <alignment horizontal="center" vertical="center"/>
    </xf>
    <xf numFmtId="164" fontId="4" fillId="0" borderId="124" xfId="0" applyNumberFormat="1" applyFont="1" applyBorder="1" applyAlignment="1">
      <alignment horizontal="center" vertical="center"/>
    </xf>
    <xf numFmtId="164" fontId="4" fillId="0" borderId="125" xfId="0" applyNumberFormat="1" applyFont="1" applyBorder="1" applyAlignment="1">
      <alignment horizontal="center" vertical="center"/>
    </xf>
    <xf numFmtId="164" fontId="33" fillId="0" borderId="126" xfId="0" applyNumberFormat="1" applyFont="1" applyBorder="1" applyAlignment="1">
      <alignment horizontal="center" vertical="center"/>
    </xf>
    <xf numFmtId="164" fontId="33" fillId="0" borderId="127" xfId="0" applyNumberFormat="1" applyFont="1" applyBorder="1" applyAlignment="1">
      <alignment horizontal="center" vertical="center"/>
    </xf>
    <xf numFmtId="164" fontId="4" fillId="0" borderId="127" xfId="0" applyNumberFormat="1" applyFont="1" applyBorder="1" applyAlignment="1">
      <alignment horizontal="center" vertical="center"/>
    </xf>
    <xf numFmtId="164" fontId="4" fillId="0" borderId="128" xfId="0" applyNumberFormat="1" applyFont="1" applyBorder="1" applyAlignment="1">
      <alignment horizontal="center" vertical="center"/>
    </xf>
    <xf numFmtId="164" fontId="33" fillId="0" borderId="129" xfId="0" applyNumberFormat="1" applyFont="1" applyBorder="1" applyAlignment="1">
      <alignment horizontal="center" vertical="center"/>
    </xf>
    <xf numFmtId="164" fontId="33" fillId="0" borderId="130" xfId="0" applyNumberFormat="1" applyFont="1" applyBorder="1" applyAlignment="1">
      <alignment horizontal="center" vertical="center"/>
    </xf>
    <xf numFmtId="164" fontId="4" fillId="0" borderId="131" xfId="0" applyNumberFormat="1" applyFont="1" applyBorder="1" applyAlignment="1">
      <alignment horizontal="center" vertical="center"/>
    </xf>
    <xf numFmtId="164" fontId="33" fillId="0" borderId="132" xfId="0" applyNumberFormat="1" applyFont="1" applyBorder="1" applyAlignment="1">
      <alignment horizontal="center" vertical="center"/>
    </xf>
    <xf numFmtId="164" fontId="33" fillId="0" borderId="133" xfId="0" applyNumberFormat="1" applyFont="1" applyBorder="1" applyAlignment="1">
      <alignment horizontal="center" vertical="center"/>
    </xf>
    <xf numFmtId="0" fontId="1" fillId="0" borderId="38" xfId="0" applyFont="1" applyBorder="1" applyAlignment="1">
      <alignment horizontal="center" vertical="center"/>
    </xf>
    <xf numFmtId="0" fontId="1" fillId="0" borderId="40" xfId="0" applyFont="1" applyBorder="1" applyAlignment="1">
      <alignment horizontal="center" vertical="center"/>
    </xf>
    <xf numFmtId="0" fontId="1" fillId="0" borderId="77" xfId="0" applyFont="1" applyBorder="1" applyAlignment="1">
      <alignment horizontal="center" vertical="center"/>
    </xf>
    <xf numFmtId="0" fontId="1" fillId="0" borderId="79" xfId="0" applyFont="1" applyBorder="1" applyAlignment="1">
      <alignment horizontal="center" vertical="center"/>
    </xf>
    <xf numFmtId="0" fontId="4" fillId="0" borderId="29" xfId="0" applyFont="1" applyBorder="1" applyAlignment="1">
      <alignment horizontal="center" vertical="center"/>
    </xf>
    <xf numFmtId="0" fontId="4" fillId="0" borderId="86" xfId="0" applyFont="1" applyBorder="1" applyAlignment="1">
      <alignment horizontal="center" vertical="center"/>
    </xf>
    <xf numFmtId="164" fontId="1" fillId="0" borderId="128" xfId="1" applyNumberFormat="1" applyFont="1" applyFill="1" applyBorder="1" applyAlignment="1">
      <alignment horizontal="center" vertical="center"/>
    </xf>
    <xf numFmtId="0" fontId="57" fillId="0" borderId="0" xfId="0" applyFont="1"/>
    <xf numFmtId="0" fontId="1" fillId="0" borderId="0" xfId="0" quotePrefix="1" applyFont="1"/>
    <xf numFmtId="0" fontId="32" fillId="0" borderId="97" xfId="0" applyFont="1" applyBorder="1" applyAlignment="1">
      <alignment horizontal="center" vertical="center"/>
    </xf>
    <xf numFmtId="0" fontId="1" fillId="0" borderId="97" xfId="0" applyFont="1" applyBorder="1" applyAlignment="1">
      <alignment horizontal="left" vertical="center"/>
    </xf>
    <xf numFmtId="0" fontId="33" fillId="0" borderId="97" xfId="0" applyFont="1" applyBorder="1" applyAlignment="1">
      <alignment horizontal="center" vertical="center"/>
    </xf>
    <xf numFmtId="14" fontId="1" fillId="0" borderId="97" xfId="0" applyNumberFormat="1" applyFont="1" applyBorder="1" applyAlignment="1">
      <alignment horizontal="center" vertical="center"/>
    </xf>
    <xf numFmtId="1" fontId="1" fillId="0" borderId="97" xfId="0" applyNumberFormat="1" applyFont="1" applyBorder="1" applyAlignment="1">
      <alignment horizontal="center" vertical="center"/>
    </xf>
    <xf numFmtId="164" fontId="1" fillId="0" borderId="135" xfId="0" applyNumberFormat="1" applyFont="1" applyBorder="1" applyAlignment="1">
      <alignment horizontal="center" vertical="center"/>
    </xf>
    <xf numFmtId="0" fontId="1" fillId="0" borderId="137" xfId="0" applyFont="1" applyBorder="1" applyAlignment="1">
      <alignment horizontal="center" vertical="center"/>
    </xf>
    <xf numFmtId="0" fontId="1" fillId="0" borderId="138" xfId="0" applyFont="1" applyBorder="1" applyAlignment="1">
      <alignment horizontal="center" vertical="center"/>
    </xf>
    <xf numFmtId="164" fontId="1" fillId="0" borderId="78" xfId="0" applyNumberFormat="1" applyFont="1" applyBorder="1" applyAlignment="1">
      <alignment horizontal="center" vertical="center"/>
    </xf>
    <xf numFmtId="0" fontId="58" fillId="0" borderId="0" xfId="0" applyFont="1"/>
    <xf numFmtId="164" fontId="44" fillId="0" borderId="39" xfId="0" applyNumberFormat="1" applyFont="1" applyBorder="1" applyAlignment="1">
      <alignment horizontal="center" vertical="center"/>
    </xf>
    <xf numFmtId="9" fontId="44" fillId="0" borderId="48" xfId="1" applyFont="1" applyFill="1" applyBorder="1" applyAlignment="1">
      <alignment horizontal="center" vertical="center"/>
    </xf>
    <xf numFmtId="164" fontId="44" fillId="0" borderId="127" xfId="0" applyNumberFormat="1" applyFont="1" applyBorder="1" applyAlignment="1">
      <alignment horizontal="center" vertical="center"/>
    </xf>
    <xf numFmtId="0" fontId="44" fillId="0" borderId="37" xfId="0" applyFont="1" applyBorder="1" applyAlignment="1">
      <alignment horizontal="left" vertical="center"/>
    </xf>
    <xf numFmtId="164" fontId="44" fillId="0" borderId="47" xfId="0" applyNumberFormat="1" applyFont="1" applyBorder="1" applyAlignment="1">
      <alignment horizontal="center" vertical="center"/>
    </xf>
    <xf numFmtId="0" fontId="44" fillId="0" borderId="44" xfId="0" quotePrefix="1" applyFont="1" applyBorder="1" applyAlignment="1">
      <alignment horizontal="center" vertical="center"/>
    </xf>
    <xf numFmtId="164" fontId="44" fillId="20" borderId="39" xfId="0" applyNumberFormat="1" applyFont="1" applyFill="1" applyBorder="1" applyAlignment="1">
      <alignment horizontal="center" vertical="center"/>
    </xf>
    <xf numFmtId="14" fontId="33" fillId="0" borderId="29" xfId="0" applyNumberFormat="1" applyFont="1" applyBorder="1" applyAlignment="1">
      <alignment horizontal="center" vertical="center"/>
    </xf>
    <xf numFmtId="14" fontId="4" fillId="0" borderId="29" xfId="0" applyNumberFormat="1" applyFont="1" applyBorder="1" applyAlignment="1">
      <alignment horizontal="center" vertical="center"/>
    </xf>
    <xf numFmtId="164" fontId="44" fillId="0" borderId="45" xfId="0" applyNumberFormat="1" applyFont="1" applyBorder="1" applyAlignment="1">
      <alignment horizontal="center" vertical="center"/>
    </xf>
    <xf numFmtId="164" fontId="44" fillId="0" borderId="126" xfId="0" applyNumberFormat="1" applyFont="1" applyBorder="1" applyAlignment="1">
      <alignment horizontal="center" vertical="center"/>
    </xf>
    <xf numFmtId="164" fontId="59" fillId="16" borderId="121" xfId="0" applyNumberFormat="1" applyFont="1" applyFill="1" applyBorder="1" applyAlignment="1">
      <alignment horizontal="center"/>
    </xf>
    <xf numFmtId="164" fontId="59" fillId="16" borderId="0" xfId="0" applyNumberFormat="1" applyFont="1" applyFill="1" applyAlignment="1">
      <alignment horizontal="center"/>
    </xf>
    <xf numFmtId="164" fontId="59" fillId="16" borderId="45" xfId="0" applyNumberFormat="1" applyFont="1" applyFill="1" applyBorder="1" applyAlignment="1">
      <alignment horizontal="center"/>
    </xf>
    <xf numFmtId="164" fontId="59" fillId="0" borderId="45" xfId="0" applyNumberFormat="1" applyFont="1" applyBorder="1" applyAlignment="1">
      <alignment horizontal="center"/>
    </xf>
    <xf numFmtId="164" fontId="59" fillId="0" borderId="0" xfId="0" applyNumberFormat="1" applyFont="1" applyAlignment="1">
      <alignment horizontal="center"/>
    </xf>
    <xf numFmtId="164" fontId="59" fillId="16" borderId="39" xfId="0" applyNumberFormat="1" applyFont="1" applyFill="1" applyBorder="1" applyAlignment="1">
      <alignment horizontal="center"/>
    </xf>
    <xf numFmtId="164" fontId="44" fillId="0" borderId="132" xfId="0" applyNumberFormat="1" applyFont="1" applyBorder="1" applyAlignment="1">
      <alignment horizontal="center" vertical="center"/>
    </xf>
    <xf numFmtId="164" fontId="44" fillId="0" borderId="123" xfId="0" applyNumberFormat="1" applyFont="1" applyBorder="1" applyAlignment="1">
      <alignment horizontal="center" vertical="center"/>
    </xf>
    <xf numFmtId="164" fontId="44" fillId="0" borderId="78" xfId="0" applyNumberFormat="1" applyFont="1" applyBorder="1" applyAlignment="1">
      <alignment horizontal="center" vertical="center"/>
    </xf>
    <xf numFmtId="164" fontId="60" fillId="0" borderId="46" xfId="0" applyNumberFormat="1" applyFont="1" applyBorder="1" applyAlignment="1">
      <alignment horizontal="center" vertical="center"/>
    </xf>
    <xf numFmtId="164" fontId="60" fillId="0" borderId="39" xfId="0" applyNumberFormat="1" applyFont="1" applyBorder="1" applyAlignment="1">
      <alignment horizontal="center" vertical="center"/>
    </xf>
    <xf numFmtId="164" fontId="61" fillId="0" borderId="39" xfId="0" applyNumberFormat="1" applyFont="1" applyBorder="1" applyAlignment="1">
      <alignment horizontal="center" vertical="center"/>
    </xf>
    <xf numFmtId="164" fontId="62" fillId="0" borderId="39" xfId="0" applyNumberFormat="1" applyFont="1" applyBorder="1" applyAlignment="1">
      <alignment horizontal="center" vertical="center"/>
    </xf>
    <xf numFmtId="164" fontId="33" fillId="0" borderId="78" xfId="0" applyNumberFormat="1" applyFont="1" applyBorder="1" applyAlignment="1">
      <alignment horizontal="center" vertical="center"/>
    </xf>
    <xf numFmtId="0" fontId="33" fillId="0" borderId="37" xfId="0" quotePrefix="1" applyFont="1" applyBorder="1" applyAlignment="1">
      <alignment horizontal="left" vertical="center"/>
    </xf>
    <xf numFmtId="0" fontId="60" fillId="0" borderId="29" xfId="0" applyFont="1" applyBorder="1" applyAlignment="1">
      <alignment horizontal="center" vertical="center"/>
    </xf>
    <xf numFmtId="164" fontId="63" fillId="0" borderId="39" xfId="0" applyNumberFormat="1" applyFont="1" applyBorder="1" applyAlignment="1">
      <alignment horizontal="center" vertical="center"/>
    </xf>
    <xf numFmtId="164" fontId="44" fillId="0" borderId="139" xfId="0" applyNumberFormat="1" applyFont="1" applyBorder="1" applyAlignment="1">
      <alignment horizontal="center" vertical="center"/>
    </xf>
    <xf numFmtId="9" fontId="1" fillId="0" borderId="78" xfId="1" applyFont="1" applyFill="1" applyBorder="1" applyAlignment="1">
      <alignment horizontal="center" vertical="center"/>
    </xf>
    <xf numFmtId="164" fontId="33" fillId="0" borderId="123" xfId="0" applyNumberFormat="1" applyFont="1" applyBorder="1" applyAlignment="1">
      <alignment horizontal="center" vertical="center"/>
    </xf>
    <xf numFmtId="15" fontId="60" fillId="0" borderId="29" xfId="0" applyNumberFormat="1" applyFont="1" applyBorder="1" applyAlignment="1">
      <alignment horizontal="center" vertical="center"/>
    </xf>
    <xf numFmtId="0" fontId="33" fillId="0" borderId="44" xfId="0" quotePrefix="1" applyFont="1" applyBorder="1" applyAlignment="1">
      <alignment horizontal="center" vertical="center" wrapText="1"/>
    </xf>
    <xf numFmtId="164" fontId="44" fillId="0" borderId="48" xfId="0" applyNumberFormat="1" applyFont="1" applyBorder="1" applyAlignment="1">
      <alignment horizontal="center" vertical="center"/>
    </xf>
    <xf numFmtId="164" fontId="44" fillId="0" borderId="92" xfId="0" applyNumberFormat="1" applyFont="1" applyBorder="1" applyAlignment="1">
      <alignment horizontal="center" vertical="center"/>
    </xf>
    <xf numFmtId="9" fontId="44" fillId="0" borderId="92" xfId="1" applyFont="1" applyFill="1" applyBorder="1" applyAlignment="1">
      <alignment horizontal="center" vertical="center"/>
    </xf>
    <xf numFmtId="0" fontId="44" fillId="0" borderId="37" xfId="0" quotePrefix="1" applyFont="1" applyBorder="1" applyAlignment="1">
      <alignment horizontal="left" vertical="center"/>
    </xf>
    <xf numFmtId="14" fontId="44" fillId="0" borderId="29" xfId="0" applyNumberFormat="1" applyFont="1" applyBorder="1" applyAlignment="1">
      <alignment horizontal="center" vertical="center"/>
    </xf>
    <xf numFmtId="0" fontId="44"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34" xfId="0" applyFont="1" applyBorder="1" applyAlignment="1">
      <alignment horizontal="center" vertical="center"/>
    </xf>
    <xf numFmtId="0" fontId="1" fillId="0" borderId="87" xfId="0" applyFont="1" applyBorder="1" applyAlignment="1">
      <alignment horizontal="center" vertical="center"/>
    </xf>
    <xf numFmtId="0" fontId="33" fillId="0" borderId="37" xfId="0" quotePrefix="1" applyFont="1" applyBorder="1" applyAlignment="1">
      <alignment horizontal="center" vertical="center"/>
    </xf>
    <xf numFmtId="0" fontId="1" fillId="0" borderId="37" xfId="0" quotePrefix="1" applyFont="1" applyBorder="1" applyAlignment="1">
      <alignment horizontal="center" vertical="center"/>
    </xf>
    <xf numFmtId="0" fontId="1" fillId="0" borderId="96" xfId="0" quotePrefix="1" applyFont="1" applyBorder="1" applyAlignment="1">
      <alignment horizontal="center" vertical="center"/>
    </xf>
    <xf numFmtId="0" fontId="44" fillId="0" borderId="37" xfId="0" quotePrefix="1" applyFont="1" applyBorder="1" applyAlignment="1">
      <alignment horizontal="center" vertical="center"/>
    </xf>
    <xf numFmtId="0" fontId="64" fillId="0" borderId="29" xfId="0" applyFont="1" applyBorder="1" applyAlignment="1">
      <alignment horizontal="center" vertical="center"/>
    </xf>
    <xf numFmtId="0" fontId="64" fillId="0" borderId="97" xfId="0" applyFont="1" applyBorder="1" applyAlignment="1">
      <alignment horizontal="center" vertical="center"/>
    </xf>
    <xf numFmtId="0" fontId="64" fillId="0" borderId="86" xfId="0" applyFont="1" applyBorder="1" applyAlignment="1">
      <alignment horizontal="center" vertical="center"/>
    </xf>
    <xf numFmtId="0" fontId="64" fillId="0" borderId="0" xfId="0" applyFont="1"/>
    <xf numFmtId="0" fontId="1" fillId="0" borderId="76" xfId="0" quotePrefix="1" applyFont="1" applyBorder="1" applyAlignment="1">
      <alignment horizontal="center" vertical="center"/>
    </xf>
    <xf numFmtId="0" fontId="1" fillId="0" borderId="140" xfId="0" quotePrefix="1" applyFont="1" applyBorder="1" applyAlignment="1">
      <alignment horizontal="center" vertical="center"/>
    </xf>
    <xf numFmtId="0" fontId="1" fillId="0" borderId="140" xfId="0" applyFont="1" applyBorder="1" applyAlignment="1">
      <alignment horizontal="left" vertical="center"/>
    </xf>
    <xf numFmtId="164" fontId="33" fillId="0" borderId="141" xfId="0" applyNumberFormat="1" applyFont="1" applyBorder="1" applyAlignment="1">
      <alignment horizontal="center" vertical="center"/>
    </xf>
    <xf numFmtId="164" fontId="33" fillId="0" borderId="139" xfId="0" applyNumberFormat="1" applyFont="1" applyBorder="1" applyAlignment="1">
      <alignment horizontal="center" vertical="center"/>
    </xf>
    <xf numFmtId="9" fontId="1" fillId="0" borderId="141" xfId="1" applyFont="1" applyFill="1" applyBorder="1" applyAlignment="1">
      <alignment horizontal="center" vertical="center"/>
    </xf>
    <xf numFmtId="9" fontId="33" fillId="0" borderId="141" xfId="1" applyFont="1" applyFill="1" applyBorder="1" applyAlignment="1">
      <alignment horizontal="center" vertical="center"/>
    </xf>
    <xf numFmtId="164" fontId="1" fillId="0" borderId="142" xfId="0" applyNumberFormat="1" applyFont="1" applyBorder="1" applyAlignment="1">
      <alignment horizontal="center" vertical="center"/>
    </xf>
    <xf numFmtId="164" fontId="1" fillId="0" borderId="123" xfId="0" applyNumberFormat="1" applyFont="1" applyBorder="1" applyAlignment="1">
      <alignment horizontal="center" vertical="center"/>
    </xf>
    <xf numFmtId="164" fontId="1" fillId="0" borderId="143" xfId="0" applyNumberFormat="1" applyFont="1" applyBorder="1" applyAlignment="1">
      <alignment horizontal="center" vertical="center"/>
    </xf>
    <xf numFmtId="164" fontId="1" fillId="0" borderId="144" xfId="0" applyNumberFormat="1" applyFont="1" applyBorder="1" applyAlignment="1">
      <alignment horizontal="center" vertical="center"/>
    </xf>
    <xf numFmtId="164" fontId="1" fillId="0" borderId="141" xfId="0" applyNumberFormat="1" applyFont="1" applyBorder="1" applyAlignment="1">
      <alignment horizontal="center" vertical="center"/>
    </xf>
    <xf numFmtId="164" fontId="1" fillId="0" borderId="145" xfId="0" applyNumberFormat="1" applyFont="1" applyBorder="1" applyAlignment="1">
      <alignment horizontal="center" vertical="center"/>
    </xf>
    <xf numFmtId="164" fontId="1" fillId="0" borderId="146" xfId="0" applyNumberFormat="1" applyFont="1" applyBorder="1" applyAlignment="1">
      <alignment horizontal="center" vertical="center"/>
    </xf>
    <xf numFmtId="164" fontId="33" fillId="0" borderId="147" xfId="0" applyNumberFormat="1" applyFont="1" applyBorder="1" applyAlignment="1">
      <alignment horizontal="center" vertical="center"/>
    </xf>
    <xf numFmtId="164" fontId="33" fillId="0" borderId="148" xfId="0" applyNumberFormat="1" applyFont="1" applyBorder="1" applyAlignment="1">
      <alignment horizontal="center" vertical="center"/>
    </xf>
    <xf numFmtId="164" fontId="4" fillId="0" borderId="149" xfId="0" applyNumberFormat="1" applyFont="1" applyBorder="1" applyAlignment="1">
      <alignment horizontal="center" vertical="center"/>
    </xf>
    <xf numFmtId="164" fontId="33" fillId="0" borderId="150" xfId="0" applyNumberFormat="1" applyFont="1" applyBorder="1" applyAlignment="1">
      <alignment horizontal="center" vertical="center"/>
    </xf>
    <xf numFmtId="0" fontId="33" fillId="0" borderId="151" xfId="0" applyFont="1" applyBorder="1" applyAlignment="1">
      <alignment horizontal="left" vertical="center"/>
    </xf>
    <xf numFmtId="0" fontId="64" fillId="0" borderId="76" xfId="0" applyFont="1" applyBorder="1" applyAlignment="1">
      <alignment horizontal="center" vertical="center"/>
    </xf>
    <xf numFmtId="0" fontId="1" fillId="0" borderId="44" xfId="0" quotePrefix="1" applyFont="1" applyBorder="1" applyAlignment="1">
      <alignment horizontal="left" vertical="center"/>
    </xf>
    <xf numFmtId="0" fontId="37" fillId="0" borderId="134" xfId="0" applyFont="1" applyBorder="1" applyAlignment="1">
      <alignment horizontal="left" vertical="center"/>
    </xf>
    <xf numFmtId="0" fontId="37" fillId="0" borderId="140" xfId="0" applyFont="1" applyBorder="1" applyAlignment="1">
      <alignment horizontal="left" vertical="center"/>
    </xf>
    <xf numFmtId="0" fontId="24" fillId="21" borderId="84" xfId="2" applyFont="1" applyFill="1" applyBorder="1" applyAlignment="1">
      <alignment horizontal="centerContinuous" vertical="center" wrapText="1"/>
    </xf>
    <xf numFmtId="0" fontId="24" fillId="21" borderId="28" xfId="2" applyFont="1" applyFill="1" applyBorder="1" applyAlignment="1">
      <alignment horizontal="centerContinuous" vertical="center" wrapText="1"/>
    </xf>
    <xf numFmtId="0" fontId="24" fillId="21" borderId="71" xfId="2" applyFont="1" applyFill="1" applyBorder="1" applyAlignment="1">
      <alignment horizontal="centerContinuous" vertical="center" wrapText="1"/>
    </xf>
    <xf numFmtId="0" fontId="24" fillId="21" borderId="158" xfId="0" applyFont="1" applyFill="1" applyBorder="1" applyAlignment="1">
      <alignment horizontal="center" vertical="center"/>
    </xf>
    <xf numFmtId="0" fontId="24" fillId="21" borderId="155" xfId="0" applyFont="1" applyFill="1" applyBorder="1" applyAlignment="1">
      <alignment horizontal="center" vertical="center"/>
    </xf>
    <xf numFmtId="0" fontId="24" fillId="21" borderId="155" xfId="0" applyFont="1" applyFill="1" applyBorder="1" applyAlignment="1">
      <alignment horizontal="center" vertical="center" wrapText="1"/>
    </xf>
    <xf numFmtId="0" fontId="24" fillId="21" borderId="155" xfId="2" applyFont="1" applyFill="1" applyBorder="1" applyAlignment="1">
      <alignment horizontal="center" vertical="center"/>
    </xf>
    <xf numFmtId="0" fontId="24" fillId="21" borderId="156" xfId="2" applyFont="1" applyFill="1" applyBorder="1" applyAlignment="1">
      <alignment horizontal="center" vertical="center" wrapText="1"/>
    </xf>
    <xf numFmtId="0" fontId="37" fillId="0" borderId="44" xfId="0" applyFont="1" applyBorder="1" applyAlignment="1">
      <alignment horizontal="left" vertical="center"/>
    </xf>
    <xf numFmtId="0" fontId="37" fillId="0" borderId="0" xfId="0" applyFont="1" applyAlignment="1">
      <alignment horizontal="center" vertical="center"/>
    </xf>
    <xf numFmtId="9" fontId="3" fillId="0" borderId="37" xfId="1" applyFont="1" applyBorder="1" applyAlignment="1">
      <alignment horizontal="center"/>
    </xf>
    <xf numFmtId="0" fontId="37" fillId="0" borderId="157" xfId="0" applyFont="1" applyBorder="1" applyAlignment="1">
      <alignment horizontal="left" vertical="center"/>
    </xf>
    <xf numFmtId="0" fontId="37" fillId="0" borderId="157" xfId="0" applyFont="1" applyBorder="1" applyAlignment="1">
      <alignment horizontal="center" vertical="center"/>
    </xf>
    <xf numFmtId="0" fontId="3" fillId="0" borderId="157" xfId="0" applyFont="1" applyBorder="1"/>
    <xf numFmtId="9" fontId="3" fillId="0" borderId="151" xfId="1" applyFont="1" applyBorder="1" applyAlignment="1">
      <alignment horizontal="center"/>
    </xf>
    <xf numFmtId="164" fontId="37" fillId="0" borderId="137" xfId="2" applyNumberFormat="1" applyFont="1" applyBorder="1" applyAlignment="1">
      <alignment horizontal="center" vertical="center"/>
    </xf>
    <xf numFmtId="164" fontId="37" fillId="0" borderId="138" xfId="2" applyNumberFormat="1" applyFont="1" applyBorder="1" applyAlignment="1">
      <alignment horizontal="center" vertical="center"/>
    </xf>
    <xf numFmtId="0" fontId="37" fillId="0" borderId="159" xfId="0" applyFont="1" applyBorder="1" applyAlignment="1">
      <alignment horizontal="left" vertical="center"/>
    </xf>
    <xf numFmtId="0" fontId="37" fillId="0" borderId="159" xfId="0" applyFont="1" applyBorder="1" applyAlignment="1">
      <alignment horizontal="center" vertical="center"/>
    </xf>
    <xf numFmtId="0" fontId="3" fillId="0" borderId="159" xfId="0" applyFont="1" applyBorder="1"/>
    <xf numFmtId="9" fontId="3" fillId="0" borderId="136" xfId="1" applyFont="1" applyBorder="1" applyAlignment="1">
      <alignment horizontal="center"/>
    </xf>
    <xf numFmtId="164" fontId="39" fillId="0" borderId="0" xfId="2" applyNumberFormat="1" applyFont="1" applyAlignment="1">
      <alignment horizontal="center" vertical="center"/>
    </xf>
    <xf numFmtId="9" fontId="39" fillId="0" borderId="0" xfId="1" applyFont="1" applyFill="1" applyBorder="1" applyAlignment="1">
      <alignment horizontal="center" vertical="center"/>
    </xf>
    <xf numFmtId="0" fontId="29" fillId="0" borderId="16" xfId="18" applyFont="1" applyBorder="1" applyAlignment="1">
      <alignment horizontal="centerContinuous" vertical="center" wrapText="1"/>
    </xf>
    <xf numFmtId="0" fontId="25" fillId="13" borderId="9" xfId="0" applyFont="1" applyFill="1" applyBorder="1" applyAlignment="1">
      <alignment horizontal="center"/>
    </xf>
    <xf numFmtId="0" fontId="25" fillId="0" borderId="157" xfId="0" applyFont="1" applyBorder="1" applyAlignment="1">
      <alignment horizontal="centerContinuous"/>
    </xf>
    <xf numFmtId="0" fontId="0" fillId="0" borderId="157" xfId="0" applyBorder="1" applyAlignment="1">
      <alignment horizontal="centerContinuous"/>
    </xf>
    <xf numFmtId="0" fontId="25" fillId="0" borderId="37" xfId="0" applyFont="1" applyBorder="1"/>
    <xf numFmtId="0" fontId="25" fillId="0" borderId="151" xfId="0" applyFont="1" applyBorder="1"/>
    <xf numFmtId="0" fontId="0" fillId="0" borderId="157" xfId="0" applyBorder="1" applyAlignment="1">
      <alignment horizontal="center"/>
    </xf>
    <xf numFmtId="0" fontId="25" fillId="0" borderId="157" xfId="0" applyFont="1" applyBorder="1" applyAlignment="1">
      <alignment horizontal="center"/>
    </xf>
    <xf numFmtId="164" fontId="24" fillId="3" borderId="160" xfId="2" applyNumberFormat="1" applyFont="1" applyFill="1" applyBorder="1" applyAlignment="1">
      <alignment horizontal="center" vertical="center"/>
    </xf>
    <xf numFmtId="164" fontId="24" fillId="3" borderId="161" xfId="2" applyNumberFormat="1" applyFont="1" applyFill="1" applyBorder="1" applyAlignment="1">
      <alignment horizontal="center" vertical="center"/>
    </xf>
    <xf numFmtId="0" fontId="29" fillId="0" borderId="0" xfId="18" applyFont="1" applyAlignment="1">
      <alignment horizontal="centerContinuous" vertical="center" wrapText="1"/>
    </xf>
    <xf numFmtId="0" fontId="0" fillId="0" borderId="0" xfId="0" applyAlignment="1">
      <alignment horizontal="centerContinuous"/>
    </xf>
    <xf numFmtId="0" fontId="25" fillId="0" borderId="153" xfId="0" applyFont="1" applyBorder="1" applyAlignment="1">
      <alignment horizontal="center"/>
    </xf>
    <xf numFmtId="0" fontId="25" fillId="0" borderId="152" xfId="0" applyFont="1" applyBorder="1" applyAlignment="1">
      <alignment horizontal="center"/>
    </xf>
    <xf numFmtId="0" fontId="25" fillId="0" borderId="154" xfId="0" applyFont="1" applyBorder="1" applyAlignment="1">
      <alignment horizontal="center"/>
    </xf>
    <xf numFmtId="0" fontId="25" fillId="0" borderId="29" xfId="0" applyFont="1" applyBorder="1"/>
    <xf numFmtId="0" fontId="0" fillId="0" borderId="37" xfId="0" applyBorder="1" applyAlignment="1">
      <alignment horizontal="center"/>
    </xf>
    <xf numFmtId="0" fontId="25" fillId="0" borderId="76" xfId="0" applyFont="1" applyBorder="1"/>
    <xf numFmtId="0" fontId="0" fillId="0" borderId="151" xfId="0" applyBorder="1" applyAlignment="1">
      <alignment horizontal="center"/>
    </xf>
    <xf numFmtId="164" fontId="27" fillId="0" borderId="163" xfId="18" applyNumberFormat="1" applyFont="1" applyBorder="1" applyAlignment="1">
      <alignment horizontal="center" vertical="center"/>
    </xf>
    <xf numFmtId="164" fontId="27" fillId="0" borderId="164" xfId="18" applyNumberFormat="1" applyFont="1" applyBorder="1" applyAlignment="1">
      <alignment horizontal="center" vertical="center"/>
    </xf>
    <xf numFmtId="164" fontId="27" fillId="0" borderId="165" xfId="18" applyNumberFormat="1" applyFont="1" applyBorder="1" applyAlignment="1">
      <alignment horizontal="center" vertical="center"/>
    </xf>
    <xf numFmtId="164" fontId="4" fillId="0" borderId="14" xfId="18" applyNumberFormat="1" applyFont="1" applyBorder="1" applyAlignment="1">
      <alignment horizontal="center" vertical="center"/>
    </xf>
    <xf numFmtId="164" fontId="4" fillId="0" borderId="163" xfId="18" applyNumberFormat="1" applyFont="1" applyBorder="1" applyAlignment="1">
      <alignment horizontal="center" vertical="center"/>
    </xf>
    <xf numFmtId="164" fontId="4" fillId="0" borderId="164" xfId="18" applyNumberFormat="1" applyFont="1" applyBorder="1" applyAlignment="1">
      <alignment horizontal="center" vertical="center"/>
    </xf>
    <xf numFmtId="164" fontId="25" fillId="0" borderId="166" xfId="0" applyNumberFormat="1" applyFont="1" applyBorder="1" applyAlignment="1">
      <alignment horizontal="center"/>
    </xf>
    <xf numFmtId="0" fontId="29" fillId="0" borderId="44" xfId="18" applyFont="1" applyBorder="1" applyAlignment="1">
      <alignment horizontal="centerContinuous" vertical="center" wrapText="1"/>
    </xf>
    <xf numFmtId="0" fontId="29" fillId="0" borderId="167" xfId="18" applyFont="1" applyBorder="1" applyAlignment="1">
      <alignment horizontal="center" vertical="center" wrapText="1"/>
    </xf>
    <xf numFmtId="0" fontId="4" fillId="0" borderId="44" xfId="18" applyFont="1" applyBorder="1" applyAlignment="1">
      <alignment horizontal="center" vertical="center" wrapText="1"/>
    </xf>
    <xf numFmtId="164" fontId="27" fillId="0" borderId="169" xfId="18" applyNumberFormat="1" applyFont="1" applyBorder="1" applyAlignment="1">
      <alignment horizontal="center" vertical="center"/>
    </xf>
    <xf numFmtId="164" fontId="27" fillId="0" borderId="170" xfId="18" applyNumberFormat="1" applyFont="1" applyBorder="1" applyAlignment="1">
      <alignment horizontal="center" vertical="center"/>
    </xf>
    <xf numFmtId="164" fontId="4" fillId="0" borderId="171" xfId="18" applyNumberFormat="1" applyFont="1" applyBorder="1" applyAlignment="1">
      <alignment horizontal="center" vertical="center"/>
    </xf>
    <xf numFmtId="164" fontId="4" fillId="0" borderId="44" xfId="18" applyNumberFormat="1" applyFont="1" applyBorder="1" applyAlignment="1">
      <alignment horizontal="center" vertical="center"/>
    </xf>
    <xf numFmtId="0" fontId="4" fillId="0" borderId="44" xfId="0" applyFont="1" applyBorder="1"/>
    <xf numFmtId="164" fontId="4" fillId="0" borderId="168" xfId="18" applyNumberFormat="1" applyFont="1" applyBorder="1" applyAlignment="1">
      <alignment horizontal="center" vertical="center"/>
    </xf>
    <xf numFmtId="164" fontId="4" fillId="0" borderId="169" xfId="18" applyNumberFormat="1" applyFont="1" applyBorder="1" applyAlignment="1">
      <alignment horizontal="center" vertical="center"/>
    </xf>
    <xf numFmtId="0" fontId="0" fillId="0" borderId="44" xfId="0" applyBorder="1"/>
    <xf numFmtId="164" fontId="25" fillId="0" borderId="172" xfId="0" applyNumberFormat="1" applyFont="1" applyBorder="1" applyAlignment="1">
      <alignment horizontal="center"/>
    </xf>
    <xf numFmtId="0" fontId="24" fillId="21" borderId="28" xfId="0" applyFont="1" applyFill="1" applyBorder="1" applyAlignment="1">
      <alignment horizontal="centerContinuous"/>
    </xf>
    <xf numFmtId="0" fontId="24" fillId="21" borderId="71" xfId="0" applyFont="1" applyFill="1" applyBorder="1" applyAlignment="1">
      <alignment horizontal="centerContinuous"/>
    </xf>
    <xf numFmtId="0" fontId="24" fillId="21" borderId="155" xfId="0" applyFont="1" applyFill="1" applyBorder="1" applyAlignment="1">
      <alignment horizontal="center"/>
    </xf>
    <xf numFmtId="0" fontId="24" fillId="21" borderId="156" xfId="0" applyFont="1" applyFill="1" applyBorder="1" applyAlignment="1">
      <alignment horizontal="center"/>
    </xf>
    <xf numFmtId="0" fontId="0" fillId="0" borderId="140" xfId="0" applyBorder="1"/>
    <xf numFmtId="0" fontId="0" fillId="0" borderId="157" xfId="0" applyBorder="1"/>
    <xf numFmtId="9" fontId="0" fillId="0" borderId="173" xfId="1" applyFont="1" applyBorder="1" applyAlignment="1">
      <alignment horizontal="center"/>
    </xf>
    <xf numFmtId="9" fontId="0" fillId="0" borderId="138" xfId="1" applyFont="1" applyBorder="1" applyAlignment="1">
      <alignment horizontal="center"/>
    </xf>
    <xf numFmtId="9" fontId="0" fillId="0" borderId="47" xfId="1" applyFont="1" applyBorder="1" applyAlignment="1">
      <alignment horizontal="center"/>
    </xf>
    <xf numFmtId="9" fontId="0" fillId="0" borderId="40" xfId="1" applyFont="1" applyBorder="1" applyAlignment="1">
      <alignment horizontal="center"/>
    </xf>
    <xf numFmtId="22" fontId="0" fillId="0" borderId="0" xfId="0" applyNumberFormat="1"/>
    <xf numFmtId="9" fontId="56" fillId="0" borderId="38" xfId="1" applyFont="1" applyFill="1" applyBorder="1" applyAlignment="1">
      <alignment horizontal="center" vertical="center"/>
    </xf>
    <xf numFmtId="9" fontId="56" fillId="0" borderId="40" xfId="1" applyFont="1" applyFill="1" applyBorder="1" applyAlignment="1">
      <alignment horizontal="center" vertical="center"/>
    </xf>
    <xf numFmtId="0" fontId="25" fillId="0" borderId="97" xfId="0" applyFont="1" applyBorder="1"/>
    <xf numFmtId="0" fontId="45" fillId="0" borderId="0" xfId="0" applyFont="1"/>
    <xf numFmtId="10" fontId="0" fillId="0" borderId="0" xfId="1" applyNumberFormat="1" applyFont="1"/>
    <xf numFmtId="10" fontId="0" fillId="0" borderId="0" xfId="0" applyNumberFormat="1"/>
    <xf numFmtId="9" fontId="4" fillId="0" borderId="0" xfId="1" applyFont="1" applyAlignment="1">
      <alignment horizontal="center" vertical="center"/>
    </xf>
    <xf numFmtId="0" fontId="65" fillId="4" borderId="103" xfId="0" applyFont="1" applyFill="1" applyBorder="1" applyAlignment="1">
      <alignment horizontal="center"/>
    </xf>
    <xf numFmtId="0" fontId="65" fillId="4" borderId="104" xfId="0" applyFont="1" applyFill="1" applyBorder="1"/>
    <xf numFmtId="9" fontId="65" fillId="4" borderId="104" xfId="1" applyFont="1" applyFill="1" applyBorder="1"/>
    <xf numFmtId="9" fontId="65" fillId="4" borderId="105" xfId="1" applyFont="1" applyFill="1" applyBorder="1"/>
    <xf numFmtId="0" fontId="55" fillId="3" borderId="106" xfId="0" applyFont="1" applyFill="1" applyBorder="1" applyAlignment="1">
      <alignment horizontal="center"/>
    </xf>
    <xf numFmtId="0" fontId="55" fillId="3" borderId="68" xfId="0" applyFont="1" applyFill="1" applyBorder="1" applyAlignment="1">
      <alignment horizontal="center"/>
    </xf>
    <xf numFmtId="164" fontId="55" fillId="3" borderId="53" xfId="1" applyNumberFormat="1" applyFont="1" applyFill="1" applyBorder="1" applyAlignment="1">
      <alignment horizontal="center"/>
    </xf>
    <xf numFmtId="164" fontId="55" fillId="3" borderId="54" xfId="1" applyNumberFormat="1" applyFont="1" applyFill="1" applyBorder="1" applyAlignment="1">
      <alignment horizontal="center"/>
    </xf>
    <xf numFmtId="0" fontId="65" fillId="3" borderId="81" xfId="0" applyFont="1" applyFill="1" applyBorder="1" applyAlignment="1">
      <alignment horizontal="center"/>
    </xf>
    <xf numFmtId="0" fontId="65" fillId="3" borderId="107" xfId="0" applyFont="1" applyFill="1" applyBorder="1"/>
    <xf numFmtId="166" fontId="65" fillId="3" borderId="82" xfId="1" applyNumberFormat="1" applyFont="1" applyFill="1" applyBorder="1" applyAlignment="1">
      <alignment horizontal="center"/>
    </xf>
    <xf numFmtId="166" fontId="65" fillId="3" borderId="83" xfId="1" applyNumberFormat="1" applyFont="1" applyFill="1" applyBorder="1" applyAlignment="1">
      <alignment horizontal="center"/>
    </xf>
    <xf numFmtId="0" fontId="56" fillId="0" borderId="29" xfId="0" applyFont="1" applyBorder="1" applyAlignment="1">
      <alignment horizontal="center" vertical="center" wrapText="1"/>
    </xf>
    <xf numFmtId="0" fontId="56" fillId="0" borderId="29" xfId="0" applyFont="1" applyBorder="1" applyAlignment="1">
      <alignment horizontal="center" vertical="center"/>
    </xf>
    <xf numFmtId="164" fontId="56" fillId="0" borderId="101" xfId="0" applyNumberFormat="1" applyFont="1" applyBorder="1" applyAlignment="1">
      <alignment horizontal="center" vertical="center"/>
    </xf>
    <xf numFmtId="164" fontId="56" fillId="0" borderId="102" xfId="0" applyNumberFormat="1" applyFont="1" applyBorder="1" applyAlignment="1">
      <alignment horizontal="center" vertical="center"/>
    </xf>
    <xf numFmtId="164" fontId="56" fillId="0" borderId="29" xfId="0" applyNumberFormat="1" applyFont="1" applyBorder="1" applyAlignment="1">
      <alignment horizontal="center" vertical="center"/>
    </xf>
    <xf numFmtId="0" fontId="56" fillId="0" borderId="29" xfId="0" applyFont="1" applyBorder="1" applyAlignment="1">
      <alignment horizontal="center"/>
    </xf>
    <xf numFmtId="0" fontId="56" fillId="0" borderId="29" xfId="0" applyFont="1" applyBorder="1"/>
    <xf numFmtId="164" fontId="56" fillId="0" borderId="29" xfId="1" applyNumberFormat="1" applyFont="1" applyBorder="1" applyAlignment="1">
      <alignment horizontal="center"/>
    </xf>
    <xf numFmtId="0" fontId="66" fillId="18" borderId="29" xfId="0" applyFont="1" applyFill="1" applyBorder="1" applyAlignment="1">
      <alignment horizontal="center"/>
    </xf>
    <xf numFmtId="0" fontId="66" fillId="18" borderId="29" xfId="0" applyFont="1" applyFill="1" applyBorder="1"/>
    <xf numFmtId="164" fontId="66" fillId="18" borderId="29" xfId="1" applyNumberFormat="1" applyFont="1" applyFill="1" applyBorder="1" applyAlignment="1">
      <alignment horizontal="center"/>
    </xf>
    <xf numFmtId="0" fontId="56" fillId="18" borderId="29" xfId="0" applyFont="1" applyFill="1" applyBorder="1" applyAlignment="1">
      <alignment horizontal="center"/>
    </xf>
    <xf numFmtId="0" fontId="56" fillId="18" borderId="29" xfId="0" applyFont="1" applyFill="1" applyBorder="1"/>
    <xf numFmtId="164" fontId="56" fillId="18" borderId="29" xfId="1" applyNumberFormat="1" applyFont="1" applyFill="1" applyBorder="1" applyAlignment="1">
      <alignment horizontal="center"/>
    </xf>
    <xf numFmtId="9" fontId="37" fillId="0" borderId="0" xfId="1" applyFont="1" applyAlignment="1">
      <alignment horizontal="center"/>
    </xf>
    <xf numFmtId="164" fontId="37" fillId="0" borderId="0" xfId="0" applyNumberFormat="1" applyFont="1" applyAlignment="1">
      <alignment horizontal="left" vertical="center"/>
    </xf>
    <xf numFmtId="164" fontId="0" fillId="0" borderId="0" xfId="0" applyNumberFormat="1"/>
    <xf numFmtId="9" fontId="4" fillId="0" borderId="0" xfId="1" applyFont="1" applyAlignment="1">
      <alignment wrapText="1"/>
    </xf>
    <xf numFmtId="164" fontId="36" fillId="0" borderId="0" xfId="2" applyNumberFormat="1" applyFont="1" applyAlignment="1">
      <alignment horizontal="center" vertical="top" wrapText="1"/>
    </xf>
    <xf numFmtId="164" fontId="36" fillId="0" borderId="0" xfId="2" applyNumberFormat="1" applyFont="1"/>
    <xf numFmtId="164" fontId="37" fillId="0" borderId="0" xfId="0" applyNumberFormat="1" applyFont="1" applyAlignment="1">
      <alignment horizontal="center" vertical="center"/>
    </xf>
    <xf numFmtId="9" fontId="3" fillId="0" borderId="0" xfId="1" applyFont="1" applyAlignment="1">
      <alignment horizontal="center"/>
    </xf>
    <xf numFmtId="9" fontId="4" fillId="0" borderId="0" xfId="1" applyFont="1" applyAlignment="1">
      <alignment horizontal="center" vertical="top" wrapText="1"/>
    </xf>
    <xf numFmtId="164" fontId="0" fillId="0" borderId="11" xfId="0" applyNumberFormat="1" applyBorder="1" applyAlignment="1">
      <alignment horizontal="center"/>
    </xf>
    <xf numFmtId="0" fontId="55" fillId="2" borderId="71" xfId="2" applyFont="1" applyFill="1" applyBorder="1" applyAlignment="1">
      <alignment horizontal="centerContinuous" vertical="center" wrapText="1"/>
    </xf>
    <xf numFmtId="0" fontId="55" fillId="2" borderId="36" xfId="2" applyFont="1" applyFill="1" applyBorder="1" applyAlignment="1">
      <alignment horizontal="center" vertical="center"/>
    </xf>
    <xf numFmtId="0" fontId="55" fillId="2" borderId="73" xfId="2" applyFont="1" applyFill="1" applyBorder="1" applyAlignment="1">
      <alignment horizontal="center" vertical="center"/>
    </xf>
    <xf numFmtId="0" fontId="55" fillId="4" borderId="44" xfId="2" applyFont="1" applyFill="1" applyBorder="1" applyAlignment="1">
      <alignment horizontal="centerContinuous" vertical="center"/>
    </xf>
    <xf numFmtId="0" fontId="55" fillId="4" borderId="0" xfId="2" applyFont="1" applyFill="1" applyAlignment="1">
      <alignment horizontal="centerContinuous" vertical="center"/>
    </xf>
    <xf numFmtId="9" fontId="55" fillId="4" borderId="0" xfId="1" applyFont="1" applyFill="1" applyBorder="1" applyAlignment="1">
      <alignment horizontal="centerContinuous" vertical="center"/>
    </xf>
    <xf numFmtId="0" fontId="55" fillId="4" borderId="37" xfId="2" applyFont="1" applyFill="1" applyBorder="1" applyAlignment="1">
      <alignment horizontal="centerContinuous" vertical="center"/>
    </xf>
    <xf numFmtId="0" fontId="55" fillId="3" borderId="70" xfId="0" applyFont="1" applyFill="1" applyBorder="1" applyAlignment="1">
      <alignment horizontal="center" vertical="center" wrapText="1"/>
    </xf>
    <xf numFmtId="164" fontId="55" fillId="3" borderId="41" xfId="2" applyNumberFormat="1" applyFont="1" applyFill="1" applyBorder="1" applyAlignment="1">
      <alignment horizontal="center" vertical="center"/>
    </xf>
    <xf numFmtId="0" fontId="55" fillId="3" borderId="41" xfId="2" applyFont="1" applyFill="1" applyBorder="1" applyAlignment="1">
      <alignment horizontal="center" vertical="center"/>
    </xf>
    <xf numFmtId="9" fontId="55" fillId="3" borderId="41" xfId="1" applyFont="1" applyFill="1" applyBorder="1" applyAlignment="1">
      <alignment horizontal="center" vertical="center"/>
    </xf>
    <xf numFmtId="164" fontId="55" fillId="3" borderId="80" xfId="2" applyNumberFormat="1" applyFont="1" applyFill="1" applyBorder="1" applyAlignment="1">
      <alignment horizontal="center" vertical="center"/>
    </xf>
    <xf numFmtId="0" fontId="68" fillId="3" borderId="81" xfId="2" applyFont="1" applyFill="1" applyBorder="1" applyAlignment="1">
      <alignment horizontal="center" vertical="center"/>
    </xf>
    <xf numFmtId="9" fontId="68" fillId="3" borderId="82" xfId="3" applyFont="1" applyFill="1" applyBorder="1" applyAlignment="1">
      <alignment horizontal="center" vertical="center"/>
    </xf>
    <xf numFmtId="0" fontId="68" fillId="3" borderId="82" xfId="2" applyFont="1" applyFill="1" applyBorder="1" applyAlignment="1">
      <alignment vertical="center"/>
    </xf>
    <xf numFmtId="9" fontId="68" fillId="3" borderId="83" xfId="3" applyFont="1" applyFill="1" applyBorder="1" applyAlignment="1">
      <alignment horizontal="center" vertical="center"/>
    </xf>
    <xf numFmtId="0" fontId="56" fillId="0" borderId="74" xfId="2" applyFont="1" applyBorder="1" applyAlignment="1">
      <alignment horizontal="center" vertical="center"/>
    </xf>
    <xf numFmtId="164" fontId="56" fillId="0" borderId="55" xfId="2" applyNumberFormat="1" applyFont="1" applyBorder="1" applyAlignment="1">
      <alignment horizontal="center" vertical="center"/>
    </xf>
    <xf numFmtId="0" fontId="56" fillId="0" borderId="55" xfId="2" applyFont="1" applyBorder="1" applyAlignment="1">
      <alignment horizontal="center" vertical="center"/>
    </xf>
    <xf numFmtId="9" fontId="56" fillId="0" borderId="57" xfId="1" applyFont="1" applyFill="1" applyBorder="1" applyAlignment="1">
      <alignment horizontal="center" vertical="center"/>
    </xf>
    <xf numFmtId="164" fontId="56" fillId="0" borderId="57" xfId="2" applyNumberFormat="1" applyFont="1" applyBorder="1" applyAlignment="1">
      <alignment horizontal="center" vertical="center"/>
    </xf>
    <xf numFmtId="9" fontId="56" fillId="0" borderId="58" xfId="1" applyFont="1" applyFill="1" applyBorder="1" applyAlignment="1">
      <alignment horizontal="center" vertical="center"/>
    </xf>
    <xf numFmtId="164" fontId="56" fillId="0" borderId="58" xfId="2" applyNumberFormat="1" applyFont="1" applyBorder="1" applyAlignment="1">
      <alignment horizontal="center" vertical="center"/>
    </xf>
    <xf numFmtId="0" fontId="56" fillId="0" borderId="29" xfId="2" applyFont="1" applyBorder="1" applyAlignment="1">
      <alignment horizontal="center" vertical="center"/>
    </xf>
    <xf numFmtId="164" fontId="56" fillId="0" borderId="29" xfId="2" applyNumberFormat="1" applyFont="1" applyBorder="1" applyAlignment="1">
      <alignment horizontal="center" vertical="center"/>
    </xf>
    <xf numFmtId="0" fontId="56" fillId="0" borderId="29" xfId="2" applyFont="1" applyBorder="1" applyAlignment="1">
      <alignment vertical="center"/>
    </xf>
    <xf numFmtId="164" fontId="56" fillId="0" borderId="38" xfId="2" applyNumberFormat="1" applyFont="1" applyBorder="1" applyAlignment="1">
      <alignment horizontal="center" vertical="center"/>
    </xf>
    <xf numFmtId="9" fontId="56" fillId="0" borderId="39" xfId="1" applyFont="1" applyFill="1" applyBorder="1" applyAlignment="1">
      <alignment horizontal="center" vertical="center"/>
    </xf>
    <xf numFmtId="164" fontId="56" fillId="0" borderId="39" xfId="2" applyNumberFormat="1" applyFont="1" applyBorder="1" applyAlignment="1">
      <alignment horizontal="center" vertical="center"/>
    </xf>
    <xf numFmtId="164" fontId="56" fillId="0" borderId="40" xfId="2" applyNumberFormat="1" applyFont="1" applyBorder="1" applyAlignment="1">
      <alignment horizontal="center" vertical="center"/>
    </xf>
    <xf numFmtId="0" fontId="66" fillId="0" borderId="29" xfId="2" applyFont="1" applyBorder="1" applyAlignment="1">
      <alignment horizontal="center" vertical="center"/>
    </xf>
    <xf numFmtId="164" fontId="66" fillId="0" borderId="29" xfId="2" applyNumberFormat="1" applyFont="1" applyBorder="1" applyAlignment="1">
      <alignment horizontal="center" vertical="center"/>
    </xf>
    <xf numFmtId="0" fontId="66" fillId="0" borderId="29" xfId="2" applyFont="1" applyBorder="1" applyAlignment="1">
      <alignment vertical="center"/>
    </xf>
    <xf numFmtId="164" fontId="66" fillId="0" borderId="38" xfId="2" applyNumberFormat="1" applyFont="1" applyBorder="1" applyAlignment="1">
      <alignment horizontal="center" vertical="center"/>
    </xf>
    <xf numFmtId="9" fontId="66" fillId="0" borderId="39" xfId="1" applyFont="1" applyFill="1" applyBorder="1" applyAlignment="1">
      <alignment horizontal="center" vertical="center"/>
    </xf>
    <xf numFmtId="164" fontId="66" fillId="0" borderId="39" xfId="2" applyNumberFormat="1" applyFont="1" applyBorder="1" applyAlignment="1">
      <alignment horizontal="center" vertical="center"/>
    </xf>
    <xf numFmtId="9" fontId="66" fillId="0" borderId="40" xfId="1" applyFont="1" applyFill="1" applyBorder="1" applyAlignment="1">
      <alignment horizontal="center" vertical="center"/>
    </xf>
    <xf numFmtId="164" fontId="66" fillId="0" borderId="40" xfId="2" applyNumberFormat="1" applyFont="1" applyBorder="1" applyAlignment="1">
      <alignment horizontal="center" vertical="center"/>
    </xf>
    <xf numFmtId="0" fontId="66" fillId="0" borderId="76" xfId="2" applyFont="1" applyBorder="1" applyAlignment="1">
      <alignment horizontal="center" vertical="center"/>
    </xf>
    <xf numFmtId="164" fontId="66" fillId="0" borderId="76" xfId="2" applyNumberFormat="1" applyFont="1" applyBorder="1" applyAlignment="1">
      <alignment horizontal="center" vertical="center"/>
    </xf>
    <xf numFmtId="164" fontId="66" fillId="0" borderId="77" xfId="2" applyNumberFormat="1" applyFont="1" applyBorder="1" applyAlignment="1">
      <alignment horizontal="center" vertical="center"/>
    </xf>
    <xf numFmtId="9" fontId="66" fillId="0" borderId="78" xfId="1" applyFont="1" applyFill="1" applyBorder="1" applyAlignment="1">
      <alignment horizontal="center" vertical="center"/>
    </xf>
    <xf numFmtId="164" fontId="66" fillId="0" borderId="78" xfId="2" applyNumberFormat="1" applyFont="1" applyBorder="1" applyAlignment="1">
      <alignment horizontal="center" vertical="center"/>
    </xf>
    <xf numFmtId="9" fontId="66" fillId="0" borderId="79" xfId="1" applyFont="1" applyFill="1" applyBorder="1" applyAlignment="1">
      <alignment horizontal="center" vertical="center"/>
    </xf>
    <xf numFmtId="164" fontId="66" fillId="0" borderId="79" xfId="2" applyNumberFormat="1" applyFont="1" applyBorder="1" applyAlignment="1">
      <alignment horizontal="center" vertical="center"/>
    </xf>
    <xf numFmtId="0" fontId="56" fillId="0" borderId="0" xfId="2" applyFont="1"/>
    <xf numFmtId="0" fontId="56" fillId="0" borderId="0" xfId="2" applyFont="1" applyAlignment="1">
      <alignment horizontal="center"/>
    </xf>
    <xf numFmtId="0" fontId="66" fillId="0" borderId="0" xfId="2" applyFont="1" applyAlignment="1">
      <alignment horizontal="center"/>
    </xf>
    <xf numFmtId="9" fontId="66" fillId="0" borderId="0" xfId="1" applyFont="1" applyFill="1" applyBorder="1" applyAlignment="1">
      <alignment horizontal="center"/>
    </xf>
    <xf numFmtId="9" fontId="56" fillId="0" borderId="0" xfId="1" applyFont="1" applyFill="1" applyBorder="1" applyAlignment="1">
      <alignment horizontal="center"/>
    </xf>
    <xf numFmtId="0" fontId="36" fillId="20" borderId="0" xfId="2" applyFont="1" applyFill="1" applyAlignment="1">
      <alignment horizontal="center" vertical="center" wrapText="1"/>
    </xf>
    <xf numFmtId="9" fontId="3" fillId="0" borderId="0" xfId="1" applyFont="1"/>
    <xf numFmtId="0" fontId="55" fillId="2" borderId="70" xfId="0" applyFont="1" applyFill="1" applyBorder="1" applyAlignment="1">
      <alignment horizontal="centerContinuous" vertical="center"/>
    </xf>
    <xf numFmtId="0" fontId="55" fillId="2" borderId="41" xfId="0" applyFont="1" applyFill="1" applyBorder="1" applyAlignment="1">
      <alignment horizontal="centerContinuous" vertical="center"/>
    </xf>
    <xf numFmtId="0" fontId="55" fillId="2" borderId="41" xfId="0" applyFont="1" applyFill="1" applyBorder="1" applyAlignment="1">
      <alignment horizontal="centerContinuous"/>
    </xf>
    <xf numFmtId="0" fontId="55" fillId="2" borderId="80" xfId="0" applyFont="1" applyFill="1" applyBorder="1" applyAlignment="1">
      <alignment horizontal="centerContinuous"/>
    </xf>
    <xf numFmtId="9" fontId="37" fillId="0" borderId="138" xfId="1" applyFont="1" applyBorder="1" applyAlignment="1">
      <alignment horizontal="center" vertical="center"/>
    </xf>
    <xf numFmtId="9" fontId="39" fillId="0" borderId="40" xfId="1" applyFont="1" applyBorder="1" applyAlignment="1">
      <alignment horizontal="center" vertical="center"/>
    </xf>
    <xf numFmtId="9" fontId="37" fillId="0" borderId="40" xfId="1" applyFont="1" applyBorder="1" applyAlignment="1">
      <alignment horizontal="center" vertical="center"/>
    </xf>
    <xf numFmtId="9" fontId="39" fillId="0" borderId="79" xfId="1" applyFont="1" applyBorder="1" applyAlignment="1">
      <alignment horizontal="center" vertical="center"/>
    </xf>
    <xf numFmtId="0" fontId="37" fillId="16" borderId="44" xfId="0" applyFont="1" applyFill="1" applyBorder="1" applyAlignment="1">
      <alignment horizontal="left" vertical="center"/>
    </xf>
    <xf numFmtId="0" fontId="37" fillId="16" borderId="0" xfId="0" applyFont="1" applyFill="1" applyAlignment="1">
      <alignment horizontal="left" vertical="center"/>
    </xf>
    <xf numFmtId="0" fontId="37" fillId="16" borderId="0" xfId="0" applyFont="1" applyFill="1" applyAlignment="1">
      <alignment horizontal="center" vertical="center"/>
    </xf>
    <xf numFmtId="0" fontId="3" fillId="16" borderId="0" xfId="0" applyFont="1" applyFill="1"/>
    <xf numFmtId="9" fontId="3" fillId="16" borderId="37" xfId="1" applyFont="1" applyFill="1" applyBorder="1" applyAlignment="1">
      <alignment horizontal="center"/>
    </xf>
    <xf numFmtId="164" fontId="56" fillId="16" borderId="55" xfId="2" applyNumberFormat="1" applyFont="1" applyFill="1" applyBorder="1" applyAlignment="1">
      <alignment horizontal="center" vertical="center"/>
    </xf>
    <xf numFmtId="164" fontId="56" fillId="16" borderId="56" xfId="2" applyNumberFormat="1" applyFont="1" applyFill="1" applyBorder="1" applyAlignment="1">
      <alignment horizontal="center" vertical="center"/>
    </xf>
    <xf numFmtId="9" fontId="56" fillId="16" borderId="57" xfId="1" applyFont="1" applyFill="1" applyBorder="1" applyAlignment="1">
      <alignment horizontal="center" vertical="center"/>
    </xf>
    <xf numFmtId="164" fontId="56" fillId="16" borderId="57" xfId="2" applyNumberFormat="1" applyFont="1" applyFill="1" applyBorder="1" applyAlignment="1">
      <alignment horizontal="center" vertical="center"/>
    </xf>
    <xf numFmtId="9" fontId="56" fillId="16" borderId="58" xfId="1" applyFont="1" applyFill="1" applyBorder="1" applyAlignment="1">
      <alignment horizontal="center" vertical="center"/>
    </xf>
    <xf numFmtId="164" fontId="56" fillId="16" borderId="58" xfId="2" applyNumberFormat="1" applyFont="1" applyFill="1" applyBorder="1" applyAlignment="1">
      <alignment horizontal="center" vertical="center"/>
    </xf>
    <xf numFmtId="164" fontId="56" fillId="16" borderId="75" xfId="2" applyNumberFormat="1" applyFont="1" applyFill="1" applyBorder="1" applyAlignment="1">
      <alignment horizontal="center" vertical="center"/>
    </xf>
    <xf numFmtId="0" fontId="24" fillId="21" borderId="71" xfId="2" applyFont="1" applyFill="1" applyBorder="1" applyAlignment="1">
      <alignment horizontal="left" vertical="center" wrapText="1"/>
    </xf>
    <xf numFmtId="0" fontId="24" fillId="21" borderId="35" xfId="2" applyFont="1" applyFill="1" applyBorder="1" applyAlignment="1">
      <alignment horizontal="left" vertical="center" wrapText="1"/>
    </xf>
    <xf numFmtId="0" fontId="24" fillId="21" borderId="174" xfId="2" applyFont="1" applyFill="1" applyBorder="1" applyAlignment="1">
      <alignment horizontal="center" vertical="center" wrapText="1"/>
    </xf>
    <xf numFmtId="0" fontId="55" fillId="2" borderId="84" xfId="2" applyFont="1" applyFill="1" applyBorder="1" applyAlignment="1">
      <alignment horizontal="centerContinuous" vertical="center" wrapText="1"/>
    </xf>
    <xf numFmtId="0" fontId="55" fillId="2" borderId="49" xfId="2" applyFont="1" applyFill="1" applyBorder="1" applyAlignment="1">
      <alignment horizontal="center" vertical="center"/>
    </xf>
    <xf numFmtId="0" fontId="55" fillId="2" borderId="85" xfId="2" applyFont="1" applyFill="1" applyBorder="1" applyAlignment="1">
      <alignment horizontal="center" vertical="center"/>
    </xf>
    <xf numFmtId="0" fontId="55" fillId="21" borderId="84" xfId="2" applyFont="1" applyFill="1" applyBorder="1" applyAlignment="1">
      <alignment horizontal="centerContinuous" vertical="center" wrapText="1"/>
    </xf>
    <xf numFmtId="0" fontId="55" fillId="21" borderId="28" xfId="2" applyFont="1" applyFill="1" applyBorder="1" applyAlignment="1">
      <alignment horizontal="centerContinuous" vertical="center" wrapText="1"/>
    </xf>
    <xf numFmtId="0" fontId="55" fillId="21" borderId="71" xfId="2" applyFont="1" applyFill="1" applyBorder="1" applyAlignment="1">
      <alignment horizontal="centerContinuous" vertical="center" wrapText="1"/>
    </xf>
    <xf numFmtId="0" fontId="55" fillId="21" borderId="158" xfId="0" applyFont="1" applyFill="1" applyBorder="1" applyAlignment="1">
      <alignment horizontal="center" vertical="center"/>
    </xf>
    <xf numFmtId="0" fontId="55" fillId="21" borderId="155" xfId="0" applyFont="1" applyFill="1" applyBorder="1" applyAlignment="1">
      <alignment horizontal="center" vertical="center"/>
    </xf>
    <xf numFmtId="0" fontId="55" fillId="21" borderId="155" xfId="0" applyFont="1" applyFill="1" applyBorder="1" applyAlignment="1">
      <alignment horizontal="center" vertical="center" wrapText="1"/>
    </xf>
    <xf numFmtId="0" fontId="55" fillId="21" borderId="158" xfId="2" applyFont="1" applyFill="1" applyBorder="1" applyAlignment="1">
      <alignment horizontal="center" vertical="center"/>
    </xf>
    <xf numFmtId="0" fontId="55" fillId="21" borderId="156" xfId="2" applyFont="1" applyFill="1" applyBorder="1" applyAlignment="1">
      <alignment horizontal="center" vertical="center"/>
    </xf>
    <xf numFmtId="9" fontId="55" fillId="3" borderId="70" xfId="1" applyFont="1" applyFill="1" applyBorder="1" applyAlignment="1">
      <alignment horizontal="center" vertical="center"/>
    </xf>
    <xf numFmtId="9" fontId="55" fillId="3" borderId="80" xfId="1" applyFont="1" applyFill="1" applyBorder="1" applyAlignment="1">
      <alignment horizontal="center" vertical="center"/>
    </xf>
    <xf numFmtId="0" fontId="69" fillId="0" borderId="0" xfId="0" applyFont="1"/>
    <xf numFmtId="0" fontId="56" fillId="0" borderId="0" xfId="0" applyFont="1" applyAlignment="1">
      <alignment horizontal="left" vertical="center"/>
    </xf>
    <xf numFmtId="0" fontId="56" fillId="0" borderId="134" xfId="0" applyFont="1" applyBorder="1" applyAlignment="1">
      <alignment horizontal="left" vertical="center"/>
    </xf>
    <xf numFmtId="0" fontId="56" fillId="0" borderId="159" xfId="0" applyFont="1" applyBorder="1" applyAlignment="1">
      <alignment horizontal="left" vertical="center"/>
    </xf>
    <xf numFmtId="0" fontId="56" fillId="0" borderId="159" xfId="0" applyFont="1" applyBorder="1" applyAlignment="1">
      <alignment horizontal="center" vertical="center"/>
    </xf>
    <xf numFmtId="0" fontId="56" fillId="0" borderId="44" xfId="0" applyFont="1" applyBorder="1" applyAlignment="1">
      <alignment horizontal="left" vertical="center"/>
    </xf>
    <xf numFmtId="0" fontId="56" fillId="0" borderId="0" xfId="0" applyFont="1" applyAlignment="1">
      <alignment horizontal="center" vertical="center"/>
    </xf>
    <xf numFmtId="164" fontId="69" fillId="0" borderId="44" xfId="0" applyNumberFormat="1" applyFont="1" applyBorder="1" applyAlignment="1">
      <alignment horizontal="center"/>
    </xf>
    <xf numFmtId="164" fontId="69" fillId="0" borderId="37" xfId="0" applyNumberFormat="1" applyFont="1" applyBorder="1" applyAlignment="1">
      <alignment horizontal="center"/>
    </xf>
    <xf numFmtId="0" fontId="56" fillId="0" borderId="140" xfId="0" applyFont="1" applyBorder="1" applyAlignment="1">
      <alignment horizontal="left" vertical="center"/>
    </xf>
    <xf numFmtId="0" fontId="56" fillId="0" borderId="157" xfId="0" applyFont="1" applyBorder="1" applyAlignment="1">
      <alignment horizontal="left" vertical="center"/>
    </xf>
    <xf numFmtId="0" fontId="56" fillId="0" borderId="157" xfId="0" applyFont="1" applyBorder="1" applyAlignment="1">
      <alignment horizontal="center" vertical="center"/>
    </xf>
    <xf numFmtId="0" fontId="69" fillId="0" borderId="157" xfId="0" applyFont="1" applyBorder="1"/>
    <xf numFmtId="0" fontId="56" fillId="4" borderId="44" xfId="2" applyFont="1" applyFill="1" applyBorder="1"/>
    <xf numFmtId="0" fontId="56" fillId="4" borderId="37" xfId="2" applyFont="1" applyFill="1" applyBorder="1"/>
    <xf numFmtId="0" fontId="69" fillId="21" borderId="152" xfId="0" applyFont="1" applyFill="1" applyBorder="1"/>
    <xf numFmtId="0" fontId="69" fillId="21" borderId="154" xfId="0" applyFont="1" applyFill="1" applyBorder="1"/>
    <xf numFmtId="0" fontId="69" fillId="0" borderId="0" xfId="0" applyFont="1" applyAlignment="1">
      <alignment vertical="center"/>
    </xf>
    <xf numFmtId="164" fontId="56" fillId="0" borderId="137" xfId="2" applyNumberFormat="1" applyFont="1" applyBorder="1" applyAlignment="1">
      <alignment horizontal="center" vertical="center"/>
    </xf>
    <xf numFmtId="164" fontId="56" fillId="0" borderId="138" xfId="2" applyNumberFormat="1" applyFont="1" applyBorder="1" applyAlignment="1">
      <alignment horizontal="center" vertical="center"/>
    </xf>
    <xf numFmtId="9" fontId="66" fillId="0" borderId="38" xfId="1" applyFont="1" applyFill="1" applyBorder="1" applyAlignment="1">
      <alignment horizontal="center" vertical="center"/>
    </xf>
    <xf numFmtId="9" fontId="66" fillId="0" borderId="77" xfId="1" applyFont="1" applyFill="1" applyBorder="1" applyAlignment="1">
      <alignment horizontal="center" vertical="center"/>
    </xf>
    <xf numFmtId="164" fontId="66" fillId="0" borderId="0" xfId="2" applyNumberFormat="1" applyFont="1" applyAlignment="1">
      <alignment horizontal="center" vertical="center"/>
    </xf>
    <xf numFmtId="9" fontId="66" fillId="0" borderId="0" xfId="1" applyFont="1" applyFill="1" applyBorder="1" applyAlignment="1">
      <alignment horizontal="center" vertical="center"/>
    </xf>
    <xf numFmtId="0" fontId="56" fillId="0" borderId="0" xfId="0" applyFont="1"/>
    <xf numFmtId="0" fontId="70" fillId="0" borderId="0" xfId="0" applyFont="1"/>
    <xf numFmtId="164" fontId="69" fillId="16" borderId="44" xfId="0" applyNumberFormat="1" applyFont="1" applyFill="1" applyBorder="1" applyAlignment="1">
      <alignment horizontal="center"/>
    </xf>
    <xf numFmtId="164" fontId="69" fillId="16" borderId="37" xfId="0" applyNumberFormat="1" applyFont="1" applyFill="1" applyBorder="1" applyAlignment="1">
      <alignment horizontal="center"/>
    </xf>
    <xf numFmtId="164" fontId="69" fillId="16" borderId="140" xfId="0" applyNumberFormat="1" applyFont="1" applyFill="1" applyBorder="1" applyAlignment="1">
      <alignment horizontal="center"/>
    </xf>
    <xf numFmtId="164" fontId="69" fillId="16" borderId="151" xfId="0" applyNumberFormat="1" applyFont="1" applyFill="1" applyBorder="1" applyAlignment="1">
      <alignment horizontal="center"/>
    </xf>
    <xf numFmtId="0" fontId="7" fillId="0" borderId="0" xfId="0" applyFont="1" applyAlignment="1">
      <alignment wrapText="1"/>
    </xf>
    <xf numFmtId="14" fontId="3" fillId="0" borderId="0" xfId="0" applyNumberFormat="1" applyFont="1"/>
    <xf numFmtId="0" fontId="12" fillId="0" borderId="0" xfId="0" applyFont="1"/>
    <xf numFmtId="167" fontId="3" fillId="0" borderId="0" xfId="0" applyNumberFormat="1" applyFont="1"/>
    <xf numFmtId="0" fontId="72" fillId="0" borderId="0" xfId="0" applyFont="1"/>
    <xf numFmtId="9" fontId="3" fillId="0" borderId="136" xfId="1" applyFont="1" applyBorder="1" applyAlignment="1">
      <alignment horizontal="center" vertical="center"/>
    </xf>
    <xf numFmtId="0" fontId="0" fillId="0" borderId="0" xfId="0" applyAlignment="1">
      <alignment horizontal="left" vertical="center" indent="1"/>
    </xf>
    <xf numFmtId="0" fontId="0" fillId="0" borderId="0" xfId="0" applyAlignment="1">
      <alignment vertical="center" wrapText="1"/>
    </xf>
    <xf numFmtId="0" fontId="3" fillId="0" borderId="0" xfId="0" applyFont="1" applyAlignment="1">
      <alignment wrapText="1"/>
    </xf>
    <xf numFmtId="164" fontId="73" fillId="0" borderId="19" xfId="18" applyNumberFormat="1" applyFont="1" applyBorder="1" applyAlignment="1">
      <alignment horizontal="center" vertical="center"/>
    </xf>
    <xf numFmtId="164" fontId="73" fillId="0" borderId="17" xfId="18" applyNumberFormat="1" applyFont="1" applyBorder="1" applyAlignment="1">
      <alignment horizontal="center" vertical="center"/>
    </xf>
    <xf numFmtId="164" fontId="73" fillId="0" borderId="15" xfId="18" applyNumberFormat="1" applyFont="1" applyBorder="1" applyAlignment="1">
      <alignment horizontal="center" vertical="center"/>
    </xf>
    <xf numFmtId="164" fontId="33" fillId="0" borderId="13" xfId="18" applyNumberFormat="1" applyFont="1" applyBorder="1" applyAlignment="1">
      <alignment horizontal="center" vertical="center"/>
    </xf>
    <xf numFmtId="0" fontId="74" fillId="0" borderId="157" xfId="0" applyFont="1" applyBorder="1" applyAlignment="1">
      <alignment horizontal="center"/>
    </xf>
    <xf numFmtId="0" fontId="72" fillId="0" borderId="0" xfId="0" applyFont="1" applyAlignment="1">
      <alignment horizontal="center"/>
    </xf>
    <xf numFmtId="9" fontId="72" fillId="0" borderId="0" xfId="1" applyFont="1"/>
    <xf numFmtId="10" fontId="72" fillId="0" borderId="0" xfId="0" applyNumberFormat="1" applyFont="1"/>
    <xf numFmtId="10" fontId="72" fillId="0" borderId="0" xfId="1" applyNumberFormat="1" applyFont="1"/>
    <xf numFmtId="0" fontId="72" fillId="0" borderId="157" xfId="0" applyFont="1" applyBorder="1" applyAlignment="1">
      <alignment horizontal="center"/>
    </xf>
    <xf numFmtId="0" fontId="72" fillId="0" borderId="44" xfId="0" applyFont="1" applyBorder="1" applyAlignment="1">
      <alignment horizontal="center"/>
    </xf>
    <xf numFmtId="0" fontId="72" fillId="0" borderId="140" xfId="0" applyFont="1" applyBorder="1" applyAlignment="1">
      <alignment horizontal="center"/>
    </xf>
    <xf numFmtId="164" fontId="73" fillId="0" borderId="168" xfId="18" applyNumberFormat="1" applyFont="1" applyBorder="1" applyAlignment="1">
      <alignment horizontal="center" vertical="center"/>
    </xf>
    <xf numFmtId="164" fontId="73" fillId="0" borderId="169" xfId="18" applyNumberFormat="1" applyFont="1" applyBorder="1" applyAlignment="1">
      <alignment horizontal="center" vertical="center"/>
    </xf>
    <xf numFmtId="164" fontId="73" fillId="0" borderId="170" xfId="18" applyNumberFormat="1" applyFont="1" applyBorder="1" applyAlignment="1">
      <alignment horizontal="center" vertical="center"/>
    </xf>
    <xf numFmtId="164" fontId="33" fillId="0" borderId="171" xfId="18" applyNumberFormat="1" applyFont="1" applyBorder="1" applyAlignment="1">
      <alignment horizontal="center" vertical="center"/>
    </xf>
    <xf numFmtId="164" fontId="72" fillId="0" borderId="0" xfId="0" applyNumberFormat="1" applyFont="1"/>
    <xf numFmtId="0" fontId="25" fillId="0" borderId="0" xfId="0" applyFont="1" applyAlignment="1">
      <alignment horizontal="center"/>
    </xf>
    <xf numFmtId="10" fontId="25" fillId="0" borderId="0" xfId="0" applyNumberFormat="1" applyFont="1"/>
    <xf numFmtId="164" fontId="33" fillId="17" borderId="13" xfId="18" applyNumberFormat="1" applyFont="1" applyFill="1" applyBorder="1" applyAlignment="1">
      <alignment horizontal="center" vertical="center"/>
    </xf>
    <xf numFmtId="9" fontId="75" fillId="0" borderId="47" xfId="1" applyFont="1" applyBorder="1" applyAlignment="1">
      <alignment horizontal="center"/>
    </xf>
    <xf numFmtId="9" fontId="76" fillId="0" borderId="47" xfId="1" applyFont="1" applyBorder="1" applyAlignment="1">
      <alignment horizontal="center"/>
    </xf>
    <xf numFmtId="9" fontId="71" fillId="0" borderId="47" xfId="1" applyFont="1" applyBorder="1" applyAlignment="1">
      <alignment horizontal="center"/>
    </xf>
    <xf numFmtId="0" fontId="74" fillId="0" borderId="29" xfId="0" applyFont="1" applyBorder="1"/>
    <xf numFmtId="9" fontId="72" fillId="0" borderId="47" xfId="1" applyFont="1" applyBorder="1" applyAlignment="1">
      <alignment horizontal="center"/>
    </xf>
    <xf numFmtId="9" fontId="72" fillId="0" borderId="40" xfId="1" applyFont="1" applyBorder="1" applyAlignment="1">
      <alignment horizontal="center"/>
    </xf>
    <xf numFmtId="0" fontId="74" fillId="0" borderId="76" xfId="0" applyFont="1" applyBorder="1"/>
    <xf numFmtId="9" fontId="72" fillId="0" borderId="139" xfId="1" applyFont="1" applyBorder="1" applyAlignment="1">
      <alignment horizontal="center"/>
    </xf>
    <xf numFmtId="9" fontId="72" fillId="0" borderId="79" xfId="1" applyFont="1" applyBorder="1" applyAlignment="1">
      <alignment horizontal="center"/>
    </xf>
    <xf numFmtId="0" fontId="77" fillId="0" borderId="74" xfId="2" applyFont="1" applyBorder="1" applyAlignment="1">
      <alignment horizontal="center" vertical="center"/>
    </xf>
    <xf numFmtId="164" fontId="77" fillId="0" borderId="55" xfId="2" applyNumberFormat="1" applyFont="1" applyBorder="1" applyAlignment="1">
      <alignment horizontal="center" vertical="center"/>
    </xf>
    <xf numFmtId="0" fontId="77" fillId="0" borderId="55" xfId="2" applyFont="1" applyBorder="1" applyAlignment="1">
      <alignment horizontal="center" vertical="center"/>
    </xf>
    <xf numFmtId="164" fontId="77" fillId="0" borderId="56" xfId="2" applyNumberFormat="1" applyFont="1" applyBorder="1" applyAlignment="1">
      <alignment horizontal="center" vertical="center"/>
    </xf>
    <xf numFmtId="9" fontId="77" fillId="0" borderId="57" xfId="1" applyFont="1" applyFill="1" applyBorder="1" applyAlignment="1">
      <alignment horizontal="center" vertical="center"/>
    </xf>
    <xf numFmtId="164" fontId="77" fillId="0" borderId="57" xfId="2" applyNumberFormat="1" applyFont="1" applyBorder="1" applyAlignment="1">
      <alignment horizontal="center" vertical="center"/>
    </xf>
    <xf numFmtId="9" fontId="77" fillId="0" borderId="58" xfId="1" applyFont="1" applyFill="1" applyBorder="1" applyAlignment="1">
      <alignment horizontal="center" vertical="center"/>
    </xf>
    <xf numFmtId="164" fontId="77" fillId="0" borderId="58" xfId="2" applyNumberFormat="1" applyFont="1" applyBorder="1" applyAlignment="1">
      <alignment horizontal="center" vertical="center"/>
    </xf>
    <xf numFmtId="164" fontId="77" fillId="0" borderId="75" xfId="2" applyNumberFormat="1" applyFont="1" applyBorder="1" applyAlignment="1">
      <alignment horizontal="center" vertical="center"/>
    </xf>
    <xf numFmtId="0" fontId="79" fillId="0" borderId="0" xfId="0" applyFont="1"/>
    <xf numFmtId="9" fontId="77" fillId="0" borderId="38" xfId="1" applyFont="1" applyFill="1" applyBorder="1" applyAlignment="1">
      <alignment horizontal="center" vertical="center"/>
    </xf>
    <xf numFmtId="9" fontId="77" fillId="0" borderId="40" xfId="1" applyFont="1" applyFill="1" applyBorder="1" applyAlignment="1">
      <alignment horizontal="center" vertical="center"/>
    </xf>
    <xf numFmtId="0" fontId="77" fillId="0" borderId="0" xfId="0" applyFont="1" applyAlignment="1">
      <alignment horizontal="left" vertical="center"/>
    </xf>
    <xf numFmtId="0" fontId="77" fillId="0" borderId="134" xfId="0" applyFont="1" applyBorder="1" applyAlignment="1">
      <alignment horizontal="left" vertical="center"/>
    </xf>
    <xf numFmtId="0" fontId="77" fillId="0" borderId="159" xfId="0" applyFont="1" applyBorder="1" applyAlignment="1">
      <alignment horizontal="left" vertical="center"/>
    </xf>
    <xf numFmtId="0" fontId="77" fillId="0" borderId="159" xfId="0" applyFont="1" applyBorder="1" applyAlignment="1">
      <alignment horizontal="center" vertical="center"/>
    </xf>
    <xf numFmtId="0" fontId="77" fillId="0" borderId="44" xfId="0" applyFont="1" applyBorder="1" applyAlignment="1">
      <alignment horizontal="left" vertical="center"/>
    </xf>
    <xf numFmtId="0" fontId="77" fillId="0" borderId="0" xfId="0" applyFont="1" applyAlignment="1">
      <alignment horizontal="center" vertical="center"/>
    </xf>
    <xf numFmtId="0" fontId="77" fillId="0" borderId="140" xfId="0" applyFont="1" applyBorder="1" applyAlignment="1">
      <alignment horizontal="left" vertical="center"/>
    </xf>
    <xf numFmtId="0" fontId="77" fillId="0" borderId="157" xfId="0" applyFont="1" applyBorder="1" applyAlignment="1">
      <alignment horizontal="left" vertical="center"/>
    </xf>
    <xf numFmtId="0" fontId="77" fillId="0" borderId="157" xfId="0" applyFont="1" applyBorder="1" applyAlignment="1">
      <alignment horizontal="center" vertical="center"/>
    </xf>
    <xf numFmtId="0" fontId="79" fillId="0" borderId="157" xfId="0" applyFont="1" applyBorder="1"/>
    <xf numFmtId="0" fontId="80" fillId="4" borderId="44" xfId="2" applyFont="1" applyFill="1" applyBorder="1" applyAlignment="1">
      <alignment horizontal="centerContinuous" vertical="center"/>
    </xf>
    <xf numFmtId="0" fontId="80" fillId="4" borderId="0" xfId="2" applyFont="1" applyFill="1" applyAlignment="1">
      <alignment horizontal="centerContinuous" vertical="center"/>
    </xf>
    <xf numFmtId="9" fontId="80" fillId="4" borderId="0" xfId="1" applyFont="1" applyFill="1" applyBorder="1" applyAlignment="1">
      <alignment horizontal="centerContinuous" vertical="center"/>
    </xf>
    <xf numFmtId="0" fontId="80" fillId="4" borderId="37" xfId="2" applyFont="1" applyFill="1" applyBorder="1" applyAlignment="1">
      <alignment horizontal="centerContinuous" vertical="center"/>
    </xf>
    <xf numFmtId="0" fontId="77" fillId="4" borderId="44" xfId="2" applyFont="1" applyFill="1" applyBorder="1"/>
    <xf numFmtId="0" fontId="77" fillId="4" borderId="37" xfId="2" applyFont="1" applyFill="1" applyBorder="1"/>
    <xf numFmtId="0" fontId="79" fillId="21" borderId="152" xfId="0" applyFont="1" applyFill="1" applyBorder="1"/>
    <xf numFmtId="0" fontId="79" fillId="21" borderId="154" xfId="0" applyFont="1" applyFill="1" applyBorder="1"/>
    <xf numFmtId="0" fontId="77" fillId="0" borderId="29" xfId="2" applyFont="1" applyBorder="1" applyAlignment="1">
      <alignment horizontal="center" vertical="center"/>
    </xf>
    <xf numFmtId="164" fontId="77" fillId="0" borderId="29" xfId="2" applyNumberFormat="1" applyFont="1" applyBorder="1" applyAlignment="1">
      <alignment horizontal="center" vertical="center"/>
    </xf>
    <xf numFmtId="0" fontId="77" fillId="0" borderId="29" xfId="2" applyFont="1" applyBorder="1" applyAlignment="1">
      <alignment vertical="center"/>
    </xf>
    <xf numFmtId="164" fontId="77" fillId="0" borderId="38" xfId="2" applyNumberFormat="1" applyFont="1" applyBorder="1" applyAlignment="1">
      <alignment horizontal="center" vertical="center"/>
    </xf>
    <xf numFmtId="9" fontId="77" fillId="0" borderId="39" xfId="1" applyFont="1" applyFill="1" applyBorder="1" applyAlignment="1">
      <alignment horizontal="center" vertical="center"/>
    </xf>
    <xf numFmtId="164" fontId="77" fillId="0" borderId="39" xfId="2" applyNumberFormat="1" applyFont="1" applyBorder="1" applyAlignment="1">
      <alignment horizontal="center" vertical="center"/>
    </xf>
    <xf numFmtId="164" fontId="77" fillId="0" borderId="40" xfId="2" applyNumberFormat="1" applyFont="1" applyBorder="1" applyAlignment="1">
      <alignment horizontal="center" vertical="center"/>
    </xf>
    <xf numFmtId="0" fontId="79" fillId="0" borderId="0" xfId="0" applyFont="1" applyAlignment="1">
      <alignment vertical="center"/>
    </xf>
    <xf numFmtId="164" fontId="77" fillId="0" borderId="137" xfId="2" applyNumberFormat="1" applyFont="1" applyBorder="1" applyAlignment="1">
      <alignment horizontal="center" vertical="center"/>
    </xf>
    <xf numFmtId="164" fontId="77" fillId="0" borderId="138" xfId="2" applyNumberFormat="1" applyFont="1" applyBorder="1" applyAlignment="1">
      <alignment horizontal="center" vertical="center"/>
    </xf>
    <xf numFmtId="0" fontId="78" fillId="0" borderId="29" xfId="2" applyFont="1" applyBorder="1" applyAlignment="1">
      <alignment horizontal="center" vertical="center"/>
    </xf>
    <xf numFmtId="164" fontId="78" fillId="0" borderId="29" xfId="2" applyNumberFormat="1" applyFont="1" applyBorder="1" applyAlignment="1">
      <alignment horizontal="center" vertical="center"/>
    </xf>
    <xf numFmtId="0" fontId="78" fillId="0" borderId="29" xfId="2" applyFont="1" applyBorder="1" applyAlignment="1">
      <alignment vertical="center"/>
    </xf>
    <xf numFmtId="164" fontId="78" fillId="0" borderId="38" xfId="2" applyNumberFormat="1" applyFont="1" applyBorder="1" applyAlignment="1">
      <alignment horizontal="center" vertical="center"/>
    </xf>
    <xf numFmtId="9" fontId="78" fillId="0" borderId="39" xfId="1" applyFont="1" applyFill="1" applyBorder="1" applyAlignment="1">
      <alignment horizontal="center" vertical="center"/>
    </xf>
    <xf numFmtId="164" fontId="78" fillId="0" borderId="39" xfId="2" applyNumberFormat="1" applyFont="1" applyBorder="1" applyAlignment="1">
      <alignment horizontal="center" vertical="center"/>
    </xf>
    <xf numFmtId="9" fontId="78" fillId="0" borderId="40" xfId="1" applyFont="1" applyFill="1" applyBorder="1" applyAlignment="1">
      <alignment horizontal="center" vertical="center"/>
    </xf>
    <xf numFmtId="164" fontId="78" fillId="0" borderId="40" xfId="2" applyNumberFormat="1" applyFont="1" applyBorder="1" applyAlignment="1">
      <alignment horizontal="center" vertical="center"/>
    </xf>
    <xf numFmtId="9" fontId="78" fillId="0" borderId="38" xfId="1" applyFont="1" applyFill="1" applyBorder="1" applyAlignment="1">
      <alignment horizontal="center" vertical="center"/>
    </xf>
    <xf numFmtId="0" fontId="78" fillId="0" borderId="76" xfId="2" applyFont="1" applyBorder="1" applyAlignment="1">
      <alignment horizontal="center" vertical="center"/>
    </xf>
    <xf numFmtId="164" fontId="78" fillId="0" borderId="76" xfId="2" applyNumberFormat="1" applyFont="1" applyBorder="1" applyAlignment="1">
      <alignment horizontal="center" vertical="center"/>
    </xf>
    <xf numFmtId="164" fontId="78" fillId="0" borderId="77" xfId="2" applyNumberFormat="1" applyFont="1" applyBorder="1" applyAlignment="1">
      <alignment horizontal="center" vertical="center"/>
    </xf>
    <xf numFmtId="9" fontId="78" fillId="0" borderId="78" xfId="1" applyFont="1" applyFill="1" applyBorder="1" applyAlignment="1">
      <alignment horizontal="center" vertical="center"/>
    </xf>
    <xf numFmtId="164" fontId="78" fillId="0" borderId="78" xfId="2" applyNumberFormat="1" applyFont="1" applyBorder="1" applyAlignment="1">
      <alignment horizontal="center" vertical="center"/>
    </xf>
    <xf numFmtId="9" fontId="78" fillId="0" borderId="79" xfId="1" applyFont="1" applyFill="1" applyBorder="1" applyAlignment="1">
      <alignment horizontal="center" vertical="center"/>
    </xf>
    <xf numFmtId="164" fontId="78" fillId="0" borderId="79" xfId="2" applyNumberFormat="1" applyFont="1" applyBorder="1" applyAlignment="1">
      <alignment horizontal="center" vertical="center"/>
    </xf>
    <xf numFmtId="9" fontId="78" fillId="0" borderId="77" xfId="1" applyFont="1" applyFill="1" applyBorder="1" applyAlignment="1">
      <alignment horizontal="center" vertical="center"/>
    </xf>
    <xf numFmtId="164" fontId="78" fillId="0" borderId="0" xfId="2" applyNumberFormat="1" applyFont="1" applyAlignment="1">
      <alignment horizontal="center" vertical="center"/>
    </xf>
    <xf numFmtId="9" fontId="78" fillId="0" borderId="0" xfId="1" applyFont="1" applyFill="1" applyBorder="1" applyAlignment="1">
      <alignment horizontal="center" vertical="center"/>
    </xf>
    <xf numFmtId="0" fontId="77" fillId="0" borderId="0" xfId="2" applyFont="1"/>
    <xf numFmtId="0" fontId="77" fillId="0" borderId="0" xfId="2" applyFont="1" applyAlignment="1">
      <alignment horizontal="center"/>
    </xf>
    <xf numFmtId="0" fontId="78" fillId="0" borderId="0" xfId="2" applyFont="1" applyAlignment="1">
      <alignment horizontal="center"/>
    </xf>
    <xf numFmtId="9" fontId="78" fillId="0" borderId="0" xfId="1" applyFont="1" applyFill="1" applyBorder="1" applyAlignment="1">
      <alignment horizontal="center"/>
    </xf>
    <xf numFmtId="9" fontId="77" fillId="0" borderId="0" xfId="1" applyFont="1" applyFill="1" applyBorder="1" applyAlignment="1">
      <alignment horizontal="center"/>
    </xf>
    <xf numFmtId="0" fontId="80" fillId="3" borderId="70" xfId="0" applyFont="1" applyFill="1" applyBorder="1" applyAlignment="1">
      <alignment horizontal="center" vertical="center" wrapText="1"/>
    </xf>
    <xf numFmtId="164" fontId="80" fillId="3" borderId="41" xfId="2" applyNumberFormat="1" applyFont="1" applyFill="1" applyBorder="1" applyAlignment="1">
      <alignment horizontal="center" vertical="center"/>
    </xf>
    <xf numFmtId="0" fontId="80" fillId="3" borderId="41" xfId="2" applyFont="1" applyFill="1" applyBorder="1" applyAlignment="1">
      <alignment horizontal="center" vertical="center"/>
    </xf>
    <xf numFmtId="9" fontId="80" fillId="3" borderId="41" xfId="1" applyFont="1" applyFill="1" applyBorder="1" applyAlignment="1">
      <alignment horizontal="center" vertical="center"/>
    </xf>
    <xf numFmtId="164" fontId="80" fillId="3" borderId="80" xfId="2" applyNumberFormat="1" applyFont="1" applyFill="1" applyBorder="1" applyAlignment="1">
      <alignment horizontal="center" vertical="center"/>
    </xf>
    <xf numFmtId="164" fontId="80" fillId="3" borderId="41" xfId="1" applyNumberFormat="1" applyFont="1" applyFill="1" applyBorder="1" applyAlignment="1">
      <alignment horizontal="center" vertical="center"/>
    </xf>
    <xf numFmtId="0" fontId="81" fillId="0" borderId="0" xfId="0" applyFont="1"/>
    <xf numFmtId="9" fontId="80" fillId="3" borderId="70" xfId="1" applyFont="1" applyFill="1" applyBorder="1" applyAlignment="1">
      <alignment horizontal="center" vertical="center"/>
    </xf>
    <xf numFmtId="9" fontId="80" fillId="3" borderId="80" xfId="1" applyFont="1" applyFill="1" applyBorder="1" applyAlignment="1">
      <alignment horizontal="center" vertical="center"/>
    </xf>
    <xf numFmtId="0" fontId="82" fillId="3" borderId="81" xfId="2" applyFont="1" applyFill="1" applyBorder="1" applyAlignment="1">
      <alignment horizontal="center" vertical="center"/>
    </xf>
    <xf numFmtId="9" fontId="82" fillId="3" borderId="82" xfId="3" applyFont="1" applyFill="1" applyBorder="1" applyAlignment="1">
      <alignment horizontal="center" vertical="center"/>
    </xf>
    <xf numFmtId="0" fontId="82" fillId="3" borderId="82" xfId="2" applyFont="1" applyFill="1" applyBorder="1" applyAlignment="1">
      <alignment vertical="center"/>
    </xf>
    <xf numFmtId="9" fontId="82" fillId="3" borderId="83" xfId="3" applyFont="1" applyFill="1" applyBorder="1" applyAlignment="1">
      <alignment horizontal="center" vertical="center"/>
    </xf>
    <xf numFmtId="9" fontId="82" fillId="3" borderId="81" xfId="1" applyFont="1" applyFill="1" applyBorder="1" applyAlignment="1">
      <alignment horizontal="center" vertical="center"/>
    </xf>
    <xf numFmtId="9" fontId="82" fillId="3" borderId="83" xfId="1" applyFont="1" applyFill="1" applyBorder="1" applyAlignment="1">
      <alignment horizontal="center" vertical="center"/>
    </xf>
    <xf numFmtId="164" fontId="77" fillId="0" borderId="0" xfId="0" applyNumberFormat="1" applyFont="1" applyAlignment="1">
      <alignment horizontal="left" vertical="center"/>
    </xf>
    <xf numFmtId="0" fontId="77" fillId="16" borderId="74" xfId="2" applyFont="1" applyFill="1" applyBorder="1" applyAlignment="1">
      <alignment horizontal="center" vertical="center"/>
    </xf>
    <xf numFmtId="164" fontId="77" fillId="16" borderId="55" xfId="2" applyNumberFormat="1" applyFont="1" applyFill="1" applyBorder="1" applyAlignment="1">
      <alignment horizontal="center" vertical="center"/>
    </xf>
    <xf numFmtId="0" fontId="77" fillId="16" borderId="55" xfId="2" applyFont="1" applyFill="1" applyBorder="1" applyAlignment="1">
      <alignment horizontal="center" vertical="center"/>
    </xf>
    <xf numFmtId="164" fontId="77" fillId="16" borderId="56" xfId="2" applyNumberFormat="1" applyFont="1" applyFill="1" applyBorder="1" applyAlignment="1">
      <alignment horizontal="center" vertical="center"/>
    </xf>
    <xf numFmtId="9" fontId="77" fillId="16" borderId="57" xfId="1" applyFont="1" applyFill="1" applyBorder="1" applyAlignment="1">
      <alignment horizontal="center" vertical="center"/>
    </xf>
    <xf numFmtId="164" fontId="77" fillId="16" borderId="57" xfId="2" applyNumberFormat="1" applyFont="1" applyFill="1" applyBorder="1" applyAlignment="1">
      <alignment horizontal="center" vertical="center"/>
    </xf>
    <xf numFmtId="9" fontId="77" fillId="16" borderId="58" xfId="1" applyFont="1" applyFill="1" applyBorder="1" applyAlignment="1">
      <alignment horizontal="center" vertical="center"/>
    </xf>
    <xf numFmtId="164" fontId="77" fillId="16" borderId="58" xfId="2" applyNumberFormat="1" applyFont="1" applyFill="1" applyBorder="1" applyAlignment="1">
      <alignment horizontal="center" vertical="center"/>
    </xf>
    <xf numFmtId="164" fontId="77" fillId="16" borderId="75" xfId="2" applyNumberFormat="1" applyFont="1" applyFill="1" applyBorder="1" applyAlignment="1">
      <alignment horizontal="center" vertical="center"/>
    </xf>
    <xf numFmtId="0" fontId="77" fillId="16" borderId="44" xfId="0" applyFont="1" applyFill="1" applyBorder="1" applyAlignment="1">
      <alignment horizontal="left" vertical="center"/>
    </xf>
    <xf numFmtId="0" fontId="77" fillId="16" borderId="0" xfId="0" applyFont="1" applyFill="1" applyAlignment="1">
      <alignment horizontal="left" vertical="center"/>
    </xf>
    <xf numFmtId="0" fontId="77" fillId="16" borderId="0" xfId="0" applyFont="1" applyFill="1" applyAlignment="1">
      <alignment horizontal="center" vertical="center"/>
    </xf>
    <xf numFmtId="0" fontId="82" fillId="3" borderId="72" xfId="2" applyFont="1" applyFill="1" applyBorder="1" applyAlignment="1">
      <alignment horizontal="center" vertical="center"/>
    </xf>
    <xf numFmtId="9" fontId="82" fillId="3" borderId="67" xfId="3" applyFont="1" applyFill="1" applyBorder="1" applyAlignment="1">
      <alignment horizontal="center" vertical="center"/>
    </xf>
    <xf numFmtId="0" fontId="82" fillId="3" borderId="67" xfId="2" applyFont="1" applyFill="1" applyBorder="1" applyAlignment="1">
      <alignment vertical="center"/>
    </xf>
    <xf numFmtId="9" fontId="82" fillId="3" borderId="162" xfId="3" applyFont="1" applyFill="1" applyBorder="1" applyAlignment="1">
      <alignment horizontal="center" vertical="center"/>
    </xf>
    <xf numFmtId="0" fontId="80" fillId="3" borderId="49" xfId="0" applyFont="1" applyFill="1" applyBorder="1" applyAlignment="1">
      <alignment horizontal="center" vertical="center" wrapText="1"/>
    </xf>
    <xf numFmtId="164" fontId="80" fillId="3" borderId="30" xfId="2" applyNumberFormat="1" applyFont="1" applyFill="1" applyBorder="1" applyAlignment="1">
      <alignment horizontal="center" vertical="center"/>
    </xf>
    <xf numFmtId="0" fontId="80" fillId="3" borderId="30" xfId="2" applyFont="1" applyFill="1" applyBorder="1" applyAlignment="1">
      <alignment horizontal="center" vertical="center"/>
    </xf>
    <xf numFmtId="9" fontId="80" fillId="3" borderId="30" xfId="1" applyFont="1" applyFill="1" applyBorder="1" applyAlignment="1">
      <alignment horizontal="center" vertical="center"/>
    </xf>
    <xf numFmtId="164" fontId="24" fillId="3" borderId="175" xfId="1" applyNumberFormat="1" applyFont="1" applyFill="1" applyBorder="1" applyAlignment="1">
      <alignment horizontal="center" vertical="center"/>
    </xf>
    <xf numFmtId="0" fontId="55" fillId="3" borderId="176" xfId="0" applyFont="1" applyFill="1" applyBorder="1" applyAlignment="1">
      <alignment horizontal="center" vertical="center" wrapText="1"/>
    </xf>
    <xf numFmtId="164" fontId="55" fillId="3" borderId="177" xfId="2" applyNumberFormat="1" applyFont="1" applyFill="1" applyBorder="1" applyAlignment="1">
      <alignment horizontal="center" vertical="center"/>
    </xf>
    <xf numFmtId="0" fontId="55" fillId="3" borderId="177" xfId="2" applyFont="1" applyFill="1" applyBorder="1" applyAlignment="1">
      <alignment horizontal="center" vertical="center"/>
    </xf>
    <xf numFmtId="9" fontId="55" fillId="3" borderId="177" xfId="1" applyFont="1" applyFill="1" applyBorder="1" applyAlignment="1">
      <alignment horizontal="center" vertical="center"/>
    </xf>
    <xf numFmtId="164" fontId="55" fillId="3" borderId="178" xfId="2" applyNumberFormat="1" applyFont="1" applyFill="1" applyBorder="1" applyAlignment="1">
      <alignment horizontal="center" vertical="center"/>
    </xf>
    <xf numFmtId="0" fontId="56" fillId="0" borderId="179" xfId="2" applyFont="1" applyBorder="1" applyAlignment="1">
      <alignment horizontal="center" vertical="center"/>
    </xf>
    <xf numFmtId="164" fontId="56" fillId="0" borderId="180" xfId="2" applyNumberFormat="1" applyFont="1" applyBorder="1" applyAlignment="1">
      <alignment horizontal="center" vertical="center"/>
    </xf>
    <xf numFmtId="0" fontId="56" fillId="0" borderId="180" xfId="2" applyFont="1" applyBorder="1" applyAlignment="1">
      <alignment horizontal="center" vertical="center"/>
    </xf>
    <xf numFmtId="164" fontId="56" fillId="0" borderId="181" xfId="2" applyNumberFormat="1" applyFont="1" applyBorder="1" applyAlignment="1">
      <alignment horizontal="center" vertical="center"/>
    </xf>
    <xf numFmtId="9" fontId="56" fillId="0" borderId="182" xfId="1" applyFont="1" applyFill="1" applyBorder="1" applyAlignment="1">
      <alignment horizontal="center" vertical="center"/>
    </xf>
    <xf numFmtId="164" fontId="56" fillId="0" borderId="182" xfId="2" applyNumberFormat="1" applyFont="1" applyBorder="1" applyAlignment="1">
      <alignment horizontal="center" vertical="center"/>
    </xf>
    <xf numFmtId="9" fontId="56" fillId="0" borderId="183" xfId="1" applyFont="1" applyFill="1" applyBorder="1" applyAlignment="1">
      <alignment horizontal="center" vertical="center"/>
    </xf>
    <xf numFmtId="164" fontId="56" fillId="0" borderId="183" xfId="2" applyNumberFormat="1" applyFont="1" applyBorder="1" applyAlignment="1">
      <alignment horizontal="center" vertical="center"/>
    </xf>
    <xf numFmtId="0" fontId="56" fillId="0" borderId="0" xfId="0" applyFont="1" applyAlignment="1">
      <alignment wrapText="1"/>
    </xf>
    <xf numFmtId="0" fontId="56" fillId="0" borderId="37" xfId="0" applyFont="1" applyBorder="1" applyAlignment="1">
      <alignment wrapText="1"/>
    </xf>
    <xf numFmtId="164" fontId="55" fillId="3" borderId="175" xfId="1" applyNumberFormat="1" applyFont="1" applyFill="1" applyBorder="1" applyAlignment="1">
      <alignment horizontal="center" vertical="center"/>
    </xf>
    <xf numFmtId="165" fontId="3" fillId="0" borderId="0" xfId="0" applyNumberFormat="1" applyFont="1" applyAlignment="1">
      <alignment vertical="center"/>
    </xf>
    <xf numFmtId="9" fontId="3" fillId="0" borderId="154" xfId="1" applyFont="1" applyBorder="1" applyAlignment="1">
      <alignment horizontal="center" vertical="center"/>
    </xf>
    <xf numFmtId="9" fontId="3" fillId="0" borderId="37" xfId="1" applyFont="1" applyBorder="1" applyAlignment="1">
      <alignment horizontal="center" vertical="center"/>
    </xf>
    <xf numFmtId="0" fontId="37" fillId="0" borderId="0" xfId="0" applyFont="1"/>
    <xf numFmtId="0" fontId="77" fillId="0" borderId="0" xfId="0" applyFont="1"/>
    <xf numFmtId="9" fontId="37" fillId="0" borderId="136" xfId="1" applyFont="1" applyBorder="1" applyAlignment="1">
      <alignment horizontal="center" vertical="center"/>
    </xf>
    <xf numFmtId="164" fontId="56" fillId="0" borderId="134" xfId="0" applyNumberFormat="1" applyFont="1" applyBorder="1" applyAlignment="1">
      <alignment horizontal="center" vertical="center"/>
    </xf>
    <xf numFmtId="164" fontId="56" fillId="0" borderId="136" xfId="0" applyNumberFormat="1" applyFont="1" applyBorder="1" applyAlignment="1">
      <alignment horizontal="center" vertical="center"/>
    </xf>
    <xf numFmtId="164" fontId="56" fillId="0" borderId="44" xfId="0" applyNumberFormat="1" applyFont="1" applyBorder="1" applyAlignment="1">
      <alignment horizontal="centerContinuous" vertical="center"/>
    </xf>
    <xf numFmtId="164" fontId="56" fillId="0" borderId="37" xfId="0" applyNumberFormat="1" applyFont="1" applyBorder="1" applyAlignment="1">
      <alignment horizontal="centerContinuous" vertical="center"/>
    </xf>
    <xf numFmtId="164" fontId="56" fillId="0" borderId="44" xfId="0" applyNumberFormat="1" applyFont="1" applyBorder="1" applyAlignment="1">
      <alignment horizontal="center" vertical="center"/>
    </xf>
    <xf numFmtId="164" fontId="56" fillId="0" borderId="37" xfId="0" applyNumberFormat="1" applyFont="1" applyBorder="1" applyAlignment="1">
      <alignment horizontal="center" vertical="center"/>
    </xf>
    <xf numFmtId="164" fontId="56" fillId="16" borderId="44" xfId="0" applyNumberFormat="1" applyFont="1" applyFill="1" applyBorder="1" applyAlignment="1">
      <alignment horizontal="center" vertical="center"/>
    </xf>
    <xf numFmtId="164" fontId="56" fillId="16" borderId="37" xfId="0" applyNumberFormat="1" applyFont="1" applyFill="1" applyBorder="1" applyAlignment="1">
      <alignment horizontal="center" vertical="center"/>
    </xf>
    <xf numFmtId="164" fontId="56" fillId="0" borderId="140" xfId="0" applyNumberFormat="1" applyFont="1" applyBorder="1" applyAlignment="1">
      <alignment horizontal="center" vertical="center"/>
    </xf>
    <xf numFmtId="164" fontId="56" fillId="0" borderId="151" xfId="0" applyNumberFormat="1" applyFont="1" applyBorder="1" applyAlignment="1">
      <alignment horizontal="center" vertical="center"/>
    </xf>
    <xf numFmtId="0" fontId="83" fillId="2" borderId="28" xfId="2" applyFont="1" applyFill="1" applyBorder="1" applyAlignment="1">
      <alignment horizontal="centerContinuous" vertical="center" wrapText="1"/>
    </xf>
    <xf numFmtId="0" fontId="83" fillId="2" borderId="71" xfId="2" applyFont="1" applyFill="1" applyBorder="1" applyAlignment="1">
      <alignment horizontal="centerContinuous" vertical="center" wrapText="1"/>
    </xf>
    <xf numFmtId="0" fontId="83" fillId="2" borderId="36" xfId="2" applyFont="1" applyFill="1" applyBorder="1" applyAlignment="1">
      <alignment horizontal="center" vertical="center"/>
    </xf>
    <xf numFmtId="0" fontId="83" fillId="2" borderId="36" xfId="2" applyFont="1" applyFill="1" applyBorder="1" applyAlignment="1">
      <alignment horizontal="center" vertical="center" wrapText="1"/>
    </xf>
    <xf numFmtId="9" fontId="83" fillId="2" borderId="36" xfId="1" applyFont="1" applyFill="1" applyBorder="1" applyAlignment="1">
      <alignment horizontal="center" vertical="center" wrapText="1"/>
    </xf>
    <xf numFmtId="9" fontId="83" fillId="2" borderId="36" xfId="1" applyFont="1" applyFill="1" applyBorder="1" applyAlignment="1">
      <alignment horizontal="center" vertical="center"/>
    </xf>
    <xf numFmtId="0" fontId="83" fillId="2" borderId="73" xfId="2" applyFont="1" applyFill="1" applyBorder="1" applyAlignment="1">
      <alignment horizontal="center" vertical="center"/>
    </xf>
    <xf numFmtId="0" fontId="83" fillId="21" borderId="84" xfId="2" applyFont="1" applyFill="1" applyBorder="1" applyAlignment="1">
      <alignment horizontal="centerContinuous" vertical="center" wrapText="1"/>
    </xf>
    <xf numFmtId="0" fontId="83" fillId="21" borderId="71" xfId="2" applyFont="1" applyFill="1" applyBorder="1" applyAlignment="1">
      <alignment horizontal="centerContinuous" vertical="center" wrapText="1"/>
    </xf>
    <xf numFmtId="0" fontId="83" fillId="21" borderId="158" xfId="2" applyFont="1" applyFill="1" applyBorder="1" applyAlignment="1">
      <alignment horizontal="center" vertical="center"/>
    </xf>
    <xf numFmtId="0" fontId="83" fillId="21" borderId="156" xfId="2" applyFont="1" applyFill="1" applyBorder="1" applyAlignment="1">
      <alignment horizontal="center" vertical="center"/>
    </xf>
    <xf numFmtId="0" fontId="84" fillId="0" borderId="0" xfId="0" applyFont="1"/>
    <xf numFmtId="0" fontId="83" fillId="2" borderId="84" xfId="2" applyFont="1" applyFill="1" applyBorder="1" applyAlignment="1">
      <alignment horizontal="centerContinuous" vertical="center" wrapText="1"/>
    </xf>
    <xf numFmtId="0" fontId="85" fillId="0" borderId="0" xfId="0" applyFont="1" applyAlignment="1">
      <alignment horizontal="left" vertical="center"/>
    </xf>
    <xf numFmtId="0" fontId="83" fillId="21" borderId="28" xfId="2" applyFont="1" applyFill="1" applyBorder="1" applyAlignment="1">
      <alignment horizontal="centerContinuous" vertical="center" wrapText="1"/>
    </xf>
    <xf numFmtId="0" fontId="83" fillId="2" borderId="49" xfId="2" applyFont="1" applyFill="1" applyBorder="1" applyAlignment="1">
      <alignment horizontal="center" vertical="center"/>
    </xf>
    <xf numFmtId="0" fontId="83" fillId="2" borderId="85" xfId="2" applyFont="1" applyFill="1" applyBorder="1" applyAlignment="1">
      <alignment horizontal="center" vertical="center"/>
    </xf>
    <xf numFmtId="0" fontId="83" fillId="21" borderId="158" xfId="0" applyFont="1" applyFill="1" applyBorder="1" applyAlignment="1">
      <alignment horizontal="center" vertical="center"/>
    </xf>
    <xf numFmtId="0" fontId="83" fillId="21" borderId="155" xfId="0" applyFont="1" applyFill="1" applyBorder="1" applyAlignment="1">
      <alignment horizontal="center" vertical="center"/>
    </xf>
    <xf numFmtId="0" fontId="83" fillId="21" borderId="155" xfId="0" applyFont="1" applyFill="1" applyBorder="1" applyAlignment="1">
      <alignment horizontal="center" vertical="center" wrapText="1"/>
    </xf>
    <xf numFmtId="0" fontId="86" fillId="2" borderId="28" xfId="2" applyFont="1" applyFill="1" applyBorder="1" applyAlignment="1">
      <alignment horizontal="centerContinuous" vertical="center" wrapText="1"/>
    </xf>
    <xf numFmtId="0" fontId="86" fillId="2" borderId="71" xfId="2" applyFont="1" applyFill="1" applyBorder="1" applyAlignment="1">
      <alignment horizontal="centerContinuous" vertical="center" wrapText="1"/>
    </xf>
    <xf numFmtId="0" fontId="86" fillId="2" borderId="84" xfId="2" applyFont="1" applyFill="1" applyBorder="1" applyAlignment="1">
      <alignment horizontal="centerContinuous" vertical="center" wrapText="1"/>
    </xf>
    <xf numFmtId="0" fontId="86" fillId="21" borderId="84" xfId="2" applyFont="1" applyFill="1" applyBorder="1" applyAlignment="1">
      <alignment horizontal="centerContinuous" vertical="center" wrapText="1"/>
    </xf>
    <xf numFmtId="0" fontId="86" fillId="21" borderId="28" xfId="2" applyFont="1" applyFill="1" applyBorder="1" applyAlignment="1">
      <alignment horizontal="centerContinuous" vertical="center" wrapText="1"/>
    </xf>
    <xf numFmtId="0" fontId="86" fillId="21" borderId="71" xfId="2" applyFont="1" applyFill="1" applyBorder="1" applyAlignment="1">
      <alignment horizontal="centerContinuous" vertical="center" wrapText="1"/>
    </xf>
    <xf numFmtId="0" fontId="86" fillId="2" borderId="36" xfId="2" applyFont="1" applyFill="1" applyBorder="1" applyAlignment="1">
      <alignment horizontal="center" vertical="center"/>
    </xf>
    <xf numFmtId="0" fontId="86" fillId="2" borderId="36" xfId="2" applyFont="1" applyFill="1" applyBorder="1" applyAlignment="1">
      <alignment horizontal="center" vertical="center" wrapText="1"/>
    </xf>
    <xf numFmtId="9" fontId="86" fillId="2" borderId="36" xfId="1" applyFont="1" applyFill="1" applyBorder="1" applyAlignment="1">
      <alignment horizontal="center" vertical="center" wrapText="1"/>
    </xf>
    <xf numFmtId="9" fontId="86" fillId="2" borderId="36" xfId="1" applyFont="1" applyFill="1" applyBorder="1" applyAlignment="1">
      <alignment horizontal="center" vertical="center"/>
    </xf>
    <xf numFmtId="0" fontId="86" fillId="2" borderId="73" xfId="2" applyFont="1" applyFill="1" applyBorder="1" applyAlignment="1">
      <alignment horizontal="center" vertical="center"/>
    </xf>
    <xf numFmtId="0" fontId="86" fillId="2" borderId="49" xfId="2" applyFont="1" applyFill="1" applyBorder="1" applyAlignment="1">
      <alignment horizontal="center" vertical="center"/>
    </xf>
    <xf numFmtId="0" fontId="86" fillId="2" borderId="85" xfId="2" applyFont="1" applyFill="1" applyBorder="1" applyAlignment="1">
      <alignment horizontal="center" vertical="center"/>
    </xf>
    <xf numFmtId="0" fontId="86" fillId="21" borderId="158" xfId="0" applyFont="1" applyFill="1" applyBorder="1" applyAlignment="1">
      <alignment horizontal="center" vertical="center"/>
    </xf>
    <xf numFmtId="0" fontId="86" fillId="21" borderId="155" xfId="0" applyFont="1" applyFill="1" applyBorder="1" applyAlignment="1">
      <alignment horizontal="center" vertical="center"/>
    </xf>
    <xf numFmtId="0" fontId="86" fillId="21" borderId="155" xfId="0" applyFont="1" applyFill="1" applyBorder="1" applyAlignment="1">
      <alignment horizontal="center" vertical="center" wrapText="1"/>
    </xf>
    <xf numFmtId="0" fontId="86" fillId="21" borderId="158" xfId="2" applyFont="1" applyFill="1" applyBorder="1" applyAlignment="1">
      <alignment horizontal="center" vertical="center"/>
    </xf>
    <xf numFmtId="0" fontId="86" fillId="21" borderId="156" xfId="2" applyFont="1" applyFill="1" applyBorder="1" applyAlignment="1">
      <alignment horizontal="center" vertical="center"/>
    </xf>
    <xf numFmtId="0" fontId="87" fillId="0" borderId="0" xfId="2" applyFont="1"/>
    <xf numFmtId="9" fontId="3" fillId="0" borderId="97" xfId="1" applyFont="1" applyBorder="1" applyAlignment="1">
      <alignment horizontal="center" vertical="center"/>
    </xf>
    <xf numFmtId="9" fontId="3" fillId="0" borderId="29" xfId="1" applyFont="1" applyBorder="1" applyAlignment="1">
      <alignment horizontal="center" vertical="center"/>
    </xf>
    <xf numFmtId="9" fontId="3" fillId="0" borderId="76" xfId="1" applyFont="1" applyBorder="1" applyAlignment="1">
      <alignment horizontal="center" vertical="center"/>
    </xf>
    <xf numFmtId="164" fontId="44" fillId="0" borderId="133" xfId="0" applyNumberFormat="1" applyFont="1" applyBorder="1" applyAlignment="1">
      <alignment horizontal="center" vertical="center"/>
    </xf>
    <xf numFmtId="164" fontId="44" fillId="0" borderId="129" xfId="0" applyNumberFormat="1" applyFont="1" applyBorder="1" applyAlignment="1">
      <alignment horizontal="center" vertical="center"/>
    </xf>
    <xf numFmtId="0" fontId="29" fillId="0" borderId="184" xfId="18" applyFont="1" applyBorder="1" applyAlignment="1">
      <alignment horizontal="centerContinuous" vertical="center" wrapText="1"/>
    </xf>
    <xf numFmtId="0" fontId="25" fillId="13" borderId="153" xfId="0" applyFont="1" applyFill="1" applyBorder="1" applyAlignment="1">
      <alignment horizontal="center"/>
    </xf>
    <xf numFmtId="0" fontId="25" fillId="13" borderId="152" xfId="0" applyFont="1" applyFill="1" applyBorder="1" applyAlignment="1">
      <alignment horizontal="center"/>
    </xf>
    <xf numFmtId="164" fontId="33" fillId="0" borderId="0" xfId="18" applyNumberFormat="1" applyFont="1" applyAlignment="1">
      <alignment horizontal="center" vertical="center"/>
    </xf>
    <xf numFmtId="0" fontId="27" fillId="0" borderId="0" xfId="18" applyFont="1" applyAlignment="1">
      <alignment horizontal="left" vertical="center"/>
    </xf>
    <xf numFmtId="168" fontId="27" fillId="0" borderId="13" xfId="1" applyNumberFormat="1" applyFont="1" applyBorder="1" applyAlignment="1">
      <alignment horizontal="center" vertical="center"/>
    </xf>
    <xf numFmtId="9" fontId="0" fillId="0" borderId="0" xfId="1" applyFont="1" applyAlignment="1">
      <alignment horizontal="center"/>
    </xf>
    <xf numFmtId="0" fontId="0" fillId="0" borderId="159" xfId="0" applyBorder="1"/>
    <xf numFmtId="9" fontId="0" fillId="0" borderId="159" xfId="1" applyFont="1" applyBorder="1" applyAlignment="1">
      <alignment horizontal="center"/>
    </xf>
    <xf numFmtId="2" fontId="25" fillId="0" borderId="0" xfId="0" applyNumberFormat="1" applyFont="1" applyAlignment="1">
      <alignment horizontal="center"/>
    </xf>
    <xf numFmtId="2" fontId="0" fillId="0" borderId="0" xfId="0" applyNumberFormat="1" applyAlignment="1">
      <alignment horizontal="center"/>
    </xf>
    <xf numFmtId="164" fontId="33" fillId="22" borderId="13" xfId="18" applyNumberFormat="1" applyFont="1" applyFill="1" applyBorder="1" applyAlignment="1">
      <alignment horizontal="center" vertical="center"/>
    </xf>
    <xf numFmtId="164" fontId="80" fillId="3" borderId="30" xfId="1" applyNumberFormat="1" applyFont="1" applyFill="1" applyBorder="1" applyAlignment="1">
      <alignment horizontal="center" vertical="center"/>
    </xf>
    <xf numFmtId="169" fontId="0" fillId="0" borderId="0" xfId="1" applyNumberFormat="1" applyFont="1"/>
    <xf numFmtId="0" fontId="77" fillId="0" borderId="44" xfId="2" applyFont="1" applyBorder="1"/>
    <xf numFmtId="0" fontId="77" fillId="0" borderId="37" xfId="2" applyFont="1" applyBorder="1" applyAlignment="1">
      <alignment horizontal="center"/>
    </xf>
    <xf numFmtId="164" fontId="80" fillId="3" borderId="85" xfId="1" applyNumberFormat="1" applyFont="1" applyFill="1" applyBorder="1" applyAlignment="1">
      <alignment horizontal="center" vertical="center"/>
    </xf>
    <xf numFmtId="0" fontId="88" fillId="13" borderId="0" xfId="0" applyFont="1" applyFill="1" applyAlignment="1">
      <alignment horizontal="center"/>
    </xf>
    <xf numFmtId="0" fontId="88" fillId="0" borderId="0" xfId="0" applyFont="1" applyAlignment="1">
      <alignment horizontal="center"/>
    </xf>
    <xf numFmtId="0" fontId="89" fillId="2" borderId="28" xfId="2" applyFont="1" applyFill="1" applyBorder="1" applyAlignment="1">
      <alignment horizontal="centerContinuous" vertical="center" wrapText="1"/>
    </xf>
    <xf numFmtId="0" fontId="89" fillId="2" borderId="36" xfId="2" applyFont="1" applyFill="1" applyBorder="1" applyAlignment="1">
      <alignment horizontal="center" vertical="center"/>
    </xf>
    <xf numFmtId="0" fontId="89" fillId="2" borderId="36" xfId="2" applyFont="1" applyFill="1" applyBorder="1" applyAlignment="1">
      <alignment horizontal="center" vertical="center" wrapText="1"/>
    </xf>
    <xf numFmtId="9" fontId="89" fillId="2" borderId="36" xfId="1" applyFont="1" applyFill="1" applyBorder="1" applyAlignment="1">
      <alignment horizontal="center" vertical="center" wrapText="1"/>
    </xf>
    <xf numFmtId="9" fontId="89" fillId="2" borderId="36" xfId="1" applyFont="1" applyFill="1" applyBorder="1" applyAlignment="1">
      <alignment horizontal="center" vertical="center"/>
    </xf>
    <xf numFmtId="0" fontId="89" fillId="2" borderId="73" xfId="2" applyFont="1" applyFill="1" applyBorder="1" applyAlignment="1">
      <alignment horizontal="center" vertical="center"/>
    </xf>
    <xf numFmtId="0" fontId="90" fillId="0" borderId="74" xfId="2" applyFont="1" applyBorder="1" applyAlignment="1">
      <alignment horizontal="center" vertical="center"/>
    </xf>
    <xf numFmtId="164" fontId="90" fillId="0" borderId="55" xfId="2" applyNumberFormat="1" applyFont="1" applyBorder="1" applyAlignment="1">
      <alignment horizontal="center" vertical="center"/>
    </xf>
    <xf numFmtId="0" fontId="90" fillId="0" borderId="55" xfId="2" applyFont="1" applyBorder="1" applyAlignment="1">
      <alignment horizontal="center" vertical="center"/>
    </xf>
    <xf numFmtId="164" fontId="90" fillId="0" borderId="56" xfId="2" applyNumberFormat="1" applyFont="1" applyBorder="1" applyAlignment="1">
      <alignment horizontal="center" vertical="center"/>
    </xf>
    <xf numFmtId="9" fontId="90" fillId="0" borderId="57" xfId="1" applyFont="1" applyFill="1" applyBorder="1" applyAlignment="1">
      <alignment horizontal="center" vertical="center"/>
    </xf>
    <xf numFmtId="164" fontId="90" fillId="0" borderId="57" xfId="2" applyNumberFormat="1" applyFont="1" applyBorder="1" applyAlignment="1">
      <alignment horizontal="center" vertical="center"/>
    </xf>
    <xf numFmtId="9" fontId="90" fillId="0" borderId="58" xfId="1" applyFont="1" applyFill="1" applyBorder="1" applyAlignment="1">
      <alignment horizontal="center" vertical="center"/>
    </xf>
    <xf numFmtId="164" fontId="90" fillId="0" borderId="58" xfId="2" applyNumberFormat="1" applyFont="1" applyBorder="1" applyAlignment="1">
      <alignment horizontal="center" vertical="center"/>
    </xf>
    <xf numFmtId="164" fontId="90" fillId="0" borderId="75" xfId="2" applyNumberFormat="1" applyFont="1" applyBorder="1" applyAlignment="1">
      <alignment horizontal="center" vertical="center"/>
    </xf>
    <xf numFmtId="0" fontId="89" fillId="4" borderId="44" xfId="2" applyFont="1" applyFill="1" applyBorder="1" applyAlignment="1">
      <alignment horizontal="centerContinuous" vertical="center"/>
    </xf>
    <xf numFmtId="0" fontId="89" fillId="4" borderId="0" xfId="2" applyFont="1" applyFill="1" applyAlignment="1">
      <alignment horizontal="centerContinuous" vertical="center"/>
    </xf>
    <xf numFmtId="9" fontId="89" fillId="4" borderId="0" xfId="1" applyFont="1" applyFill="1" applyBorder="1" applyAlignment="1">
      <alignment horizontal="centerContinuous" vertical="center"/>
    </xf>
    <xf numFmtId="0" fontId="89" fillId="4" borderId="37" xfId="2" applyFont="1" applyFill="1" applyBorder="1" applyAlignment="1">
      <alignment horizontal="centerContinuous" vertical="center"/>
    </xf>
    <xf numFmtId="0" fontId="90" fillId="0" borderId="29" xfId="2" applyFont="1" applyBorder="1" applyAlignment="1">
      <alignment horizontal="center" vertical="center"/>
    </xf>
    <xf numFmtId="164" fontId="90" fillId="0" borderId="29" xfId="2" applyNumberFormat="1" applyFont="1" applyBorder="1" applyAlignment="1">
      <alignment horizontal="center" vertical="center"/>
    </xf>
    <xf numFmtId="0" fontId="90" fillId="0" borderId="29" xfId="2" applyFont="1" applyBorder="1" applyAlignment="1">
      <alignment vertical="center"/>
    </xf>
    <xf numFmtId="164" fontId="90" fillId="0" borderId="38" xfId="2" applyNumberFormat="1" applyFont="1" applyBorder="1" applyAlignment="1">
      <alignment horizontal="center" vertical="center"/>
    </xf>
    <xf numFmtId="9" fontId="90" fillId="0" borderId="39" xfId="1" applyFont="1" applyFill="1" applyBorder="1" applyAlignment="1">
      <alignment horizontal="center" vertical="center"/>
    </xf>
    <xf numFmtId="164" fontId="90" fillId="0" borderId="39" xfId="2" applyNumberFormat="1" applyFont="1" applyBorder="1" applyAlignment="1">
      <alignment horizontal="center" vertical="center"/>
    </xf>
    <xf numFmtId="9" fontId="90" fillId="0" borderId="40" xfId="1" applyFont="1" applyFill="1" applyBorder="1" applyAlignment="1">
      <alignment horizontal="center" vertical="center"/>
    </xf>
    <xf numFmtId="164" fontId="90" fillId="0" borderId="40" xfId="2" applyNumberFormat="1" applyFont="1" applyBorder="1" applyAlignment="1">
      <alignment horizontal="center" vertical="center"/>
    </xf>
    <xf numFmtId="0" fontId="91" fillId="0" borderId="29" xfId="2" applyFont="1" applyBorder="1" applyAlignment="1">
      <alignment horizontal="center" vertical="center"/>
    </xf>
    <xf numFmtId="164" fontId="91" fillId="0" borderId="29" xfId="2" applyNumberFormat="1" applyFont="1" applyBorder="1" applyAlignment="1">
      <alignment horizontal="center" vertical="center"/>
    </xf>
    <xf numFmtId="0" fontId="91" fillId="0" borderId="29" xfId="2" applyFont="1" applyBorder="1" applyAlignment="1">
      <alignment vertical="center"/>
    </xf>
    <xf numFmtId="164" fontId="91" fillId="0" borderId="38" xfId="2" applyNumberFormat="1" applyFont="1" applyBorder="1" applyAlignment="1">
      <alignment horizontal="center" vertical="center"/>
    </xf>
    <xf numFmtId="9" fontId="91" fillId="0" borderId="39" xfId="1" applyFont="1" applyFill="1" applyBorder="1" applyAlignment="1">
      <alignment horizontal="center" vertical="center"/>
    </xf>
    <xf numFmtId="164" fontId="91" fillId="0" borderId="39" xfId="2" applyNumberFormat="1" applyFont="1" applyBorder="1" applyAlignment="1">
      <alignment horizontal="center" vertical="center"/>
    </xf>
    <xf numFmtId="9" fontId="91" fillId="0" borderId="40" xfId="1" applyFont="1" applyFill="1" applyBorder="1" applyAlignment="1">
      <alignment horizontal="center" vertical="center"/>
    </xf>
    <xf numFmtId="164" fontId="91" fillId="0" borderId="40" xfId="2" applyNumberFormat="1" applyFont="1" applyBorder="1" applyAlignment="1">
      <alignment horizontal="center" vertical="center"/>
    </xf>
    <xf numFmtId="0" fontId="91" fillId="0" borderId="76" xfId="2" applyFont="1" applyBorder="1" applyAlignment="1">
      <alignment horizontal="center" vertical="center"/>
    </xf>
    <xf numFmtId="164" fontId="91" fillId="0" borderId="76" xfId="2" applyNumberFormat="1" applyFont="1" applyBorder="1" applyAlignment="1">
      <alignment horizontal="center" vertical="center"/>
    </xf>
    <xf numFmtId="164" fontId="91" fillId="0" borderId="77" xfId="2" applyNumberFormat="1" applyFont="1" applyBorder="1" applyAlignment="1">
      <alignment horizontal="center" vertical="center"/>
    </xf>
    <xf numFmtId="9" fontId="91" fillId="0" borderId="78" xfId="1" applyFont="1" applyFill="1" applyBorder="1" applyAlignment="1">
      <alignment horizontal="center" vertical="center"/>
    </xf>
    <xf numFmtId="164" fontId="91" fillId="0" borderId="78" xfId="2" applyNumberFormat="1" applyFont="1" applyBorder="1" applyAlignment="1">
      <alignment horizontal="center" vertical="center"/>
    </xf>
    <xf numFmtId="9" fontId="91" fillId="0" borderId="79" xfId="1" applyFont="1" applyFill="1" applyBorder="1" applyAlignment="1">
      <alignment horizontal="center" vertical="center"/>
    </xf>
    <xf numFmtId="164" fontId="91" fillId="0" borderId="79" xfId="2" applyNumberFormat="1" applyFont="1" applyBorder="1" applyAlignment="1">
      <alignment horizontal="center" vertical="center"/>
    </xf>
    <xf numFmtId="0" fontId="90" fillId="0" borderId="0" xfId="2" applyFont="1"/>
    <xf numFmtId="0" fontId="90" fillId="0" borderId="0" xfId="2" applyFont="1" applyAlignment="1">
      <alignment horizontal="center"/>
    </xf>
    <xf numFmtId="0" fontId="91" fillId="0" borderId="0" xfId="2" applyFont="1" applyAlignment="1">
      <alignment horizontal="center"/>
    </xf>
    <xf numFmtId="9" fontId="91" fillId="0" borderId="0" xfId="1" applyFont="1" applyFill="1" applyBorder="1" applyAlignment="1">
      <alignment horizontal="center"/>
    </xf>
    <xf numFmtId="9" fontId="90" fillId="0" borderId="0" xfId="1" applyFont="1" applyFill="1" applyBorder="1" applyAlignment="1">
      <alignment horizontal="center"/>
    </xf>
    <xf numFmtId="0" fontId="89" fillId="3" borderId="70" xfId="0" applyFont="1" applyFill="1" applyBorder="1" applyAlignment="1">
      <alignment horizontal="center" vertical="center" wrapText="1"/>
    </xf>
    <xf numFmtId="164" fontId="89" fillId="3" borderId="41" xfId="2" applyNumberFormat="1" applyFont="1" applyFill="1" applyBorder="1" applyAlignment="1">
      <alignment horizontal="center" vertical="center"/>
    </xf>
    <xf numFmtId="0" fontId="89" fillId="3" borderId="41" xfId="2" applyFont="1" applyFill="1" applyBorder="1" applyAlignment="1">
      <alignment horizontal="center" vertical="center"/>
    </xf>
    <xf numFmtId="9" fontId="89" fillId="3" borderId="41" xfId="1" applyFont="1" applyFill="1" applyBorder="1" applyAlignment="1">
      <alignment horizontal="center" vertical="center"/>
    </xf>
    <xf numFmtId="164" fontId="89" fillId="3" borderId="41" xfId="1" applyNumberFormat="1" applyFont="1" applyFill="1" applyBorder="1" applyAlignment="1">
      <alignment horizontal="center" vertical="center"/>
    </xf>
    <xf numFmtId="164" fontId="89" fillId="3" borderId="80" xfId="2" applyNumberFormat="1" applyFont="1" applyFill="1" applyBorder="1" applyAlignment="1">
      <alignment horizontal="center" vertical="center"/>
    </xf>
    <xf numFmtId="0" fontId="92" fillId="3" borderId="81" xfId="2" applyFont="1" applyFill="1" applyBorder="1" applyAlignment="1">
      <alignment horizontal="center" vertical="center"/>
    </xf>
    <xf numFmtId="9" fontId="92" fillId="3" borderId="82" xfId="3" applyFont="1" applyFill="1" applyBorder="1" applyAlignment="1">
      <alignment horizontal="center" vertical="center"/>
    </xf>
    <xf numFmtId="0" fontId="92" fillId="3" borderId="82" xfId="2" applyFont="1" applyFill="1" applyBorder="1" applyAlignment="1">
      <alignment vertical="center"/>
    </xf>
    <xf numFmtId="9" fontId="92" fillId="3" borderId="83" xfId="3" applyFont="1" applyFill="1" applyBorder="1" applyAlignment="1">
      <alignment horizontal="center" vertical="center"/>
    </xf>
    <xf numFmtId="165" fontId="81" fillId="0" borderId="0" xfId="0" applyNumberFormat="1" applyFont="1"/>
    <xf numFmtId="0" fontId="24" fillId="23" borderId="160" xfId="0" applyFont="1" applyFill="1" applyBorder="1" applyAlignment="1">
      <alignment horizontal="center" vertical="center" wrapText="1"/>
    </xf>
    <xf numFmtId="165" fontId="0" fillId="0" borderId="0" xfId="0" applyNumberFormat="1" applyAlignment="1">
      <alignment horizontal="center"/>
    </xf>
    <xf numFmtId="9" fontId="0" fillId="0" borderId="37" xfId="1" applyFont="1" applyBorder="1" applyAlignment="1">
      <alignment horizontal="center"/>
    </xf>
    <xf numFmtId="165" fontId="0" fillId="0" borderId="157" xfId="0" applyNumberFormat="1" applyBorder="1" applyAlignment="1">
      <alignment horizontal="center"/>
    </xf>
    <xf numFmtId="9" fontId="0" fillId="0" borderId="151" xfId="1" applyFont="1" applyBorder="1" applyAlignment="1">
      <alignment horizontal="center"/>
    </xf>
    <xf numFmtId="0" fontId="24" fillId="24" borderId="185" xfId="0" applyFont="1" applyFill="1" applyBorder="1" applyAlignment="1">
      <alignment horizontal="center" vertical="center" wrapText="1"/>
    </xf>
    <xf numFmtId="0" fontId="24" fillId="24" borderId="161" xfId="0" applyFont="1" applyFill="1" applyBorder="1" applyAlignment="1">
      <alignment horizontal="center" vertical="center" wrapText="1"/>
    </xf>
    <xf numFmtId="0" fontId="24" fillId="23" borderId="186" xfId="0" applyFont="1" applyFill="1" applyBorder="1" applyAlignment="1">
      <alignment horizontal="center" vertical="center" wrapText="1"/>
    </xf>
    <xf numFmtId="0" fontId="24" fillId="24" borderId="160" xfId="0" applyFont="1" applyFill="1" applyBorder="1" applyAlignment="1">
      <alignment horizontal="center" vertical="center" wrapText="1"/>
    </xf>
    <xf numFmtId="165" fontId="0" fillId="0" borderId="44" xfId="0" applyNumberFormat="1" applyBorder="1" applyAlignment="1">
      <alignment horizontal="center"/>
    </xf>
    <xf numFmtId="165" fontId="0" fillId="0" borderId="140" xfId="0" applyNumberFormat="1" applyBorder="1" applyAlignment="1">
      <alignment horizontal="center"/>
    </xf>
    <xf numFmtId="165" fontId="0" fillId="0" borderId="44" xfId="1" applyNumberFormat="1" applyFont="1" applyBorder="1" applyAlignment="1">
      <alignment horizontal="center"/>
    </xf>
    <xf numFmtId="165" fontId="0" fillId="0" borderId="0" xfId="1" applyNumberFormat="1" applyFont="1" applyBorder="1" applyAlignment="1">
      <alignment horizontal="center"/>
    </xf>
    <xf numFmtId="165" fontId="0" fillId="0" borderId="140" xfId="1" applyNumberFormat="1" applyFont="1" applyBorder="1" applyAlignment="1">
      <alignment horizontal="center"/>
    </xf>
    <xf numFmtId="165" fontId="0" fillId="0" borderId="157" xfId="1" applyNumberFormat="1" applyFont="1" applyBorder="1" applyAlignment="1">
      <alignment horizontal="center"/>
    </xf>
    <xf numFmtId="0" fontId="24" fillId="25" borderId="161" xfId="0" applyFont="1" applyFill="1" applyBorder="1" applyAlignment="1">
      <alignment horizontal="center" vertical="center" wrapText="1"/>
    </xf>
    <xf numFmtId="0" fontId="24" fillId="25" borderId="152" xfId="0" applyFont="1" applyFill="1" applyBorder="1" applyAlignment="1">
      <alignment horizontal="center" vertical="center" wrapText="1"/>
    </xf>
    <xf numFmtId="0" fontId="24" fillId="25" borderId="153" xfId="0" applyFont="1" applyFill="1" applyBorder="1" applyAlignment="1">
      <alignment horizontal="center" vertical="center" wrapText="1"/>
    </xf>
    <xf numFmtId="0" fontId="93" fillId="21" borderId="160" xfId="0" applyFont="1" applyFill="1" applyBorder="1" applyAlignment="1">
      <alignment horizontal="center" vertical="center" wrapText="1"/>
    </xf>
    <xf numFmtId="0" fontId="93" fillId="21" borderId="185" xfId="0" applyFont="1" applyFill="1" applyBorder="1" applyAlignment="1">
      <alignment horizontal="center" vertical="center" wrapText="1"/>
    </xf>
    <xf numFmtId="0" fontId="93" fillId="26" borderId="161" xfId="0" applyFont="1" applyFill="1" applyBorder="1" applyAlignment="1">
      <alignment horizontal="center" vertical="center" wrapText="1"/>
    </xf>
    <xf numFmtId="0" fontId="56" fillId="0" borderId="134" xfId="0" applyFont="1" applyBorder="1" applyAlignment="1">
      <alignment horizontal="center" vertical="center" wrapText="1"/>
    </xf>
    <xf numFmtId="0" fontId="56" fillId="0" borderId="159" xfId="0" applyFont="1" applyBorder="1" applyAlignment="1">
      <alignment horizontal="center" vertical="center" wrapText="1"/>
    </xf>
    <xf numFmtId="6" fontId="56" fillId="0" borderId="97" xfId="0" applyNumberFormat="1" applyFont="1" applyBorder="1" applyAlignment="1">
      <alignment horizontal="center" vertical="center" wrapText="1"/>
    </xf>
    <xf numFmtId="9" fontId="56" fillId="0" borderId="159" xfId="0" applyNumberFormat="1" applyFont="1" applyBorder="1" applyAlignment="1">
      <alignment horizontal="center" vertical="center" wrapText="1"/>
    </xf>
    <xf numFmtId="6" fontId="56" fillId="0" borderId="159" xfId="0" applyNumberFormat="1" applyFont="1" applyBorder="1" applyAlignment="1">
      <alignment horizontal="center" vertical="center" wrapText="1"/>
    </xf>
    <xf numFmtId="0" fontId="56" fillId="0" borderId="136" xfId="0" applyFont="1" applyBorder="1" applyAlignment="1">
      <alignment horizontal="center" vertical="center" wrapText="1"/>
    </xf>
    <xf numFmtId="0" fontId="56" fillId="0" borderId="44" xfId="0" applyFont="1" applyBorder="1" applyAlignment="1">
      <alignment horizontal="center" vertical="center" wrapText="1"/>
    </xf>
    <xf numFmtId="0" fontId="56" fillId="0" borderId="0" xfId="0" applyFont="1" applyAlignment="1">
      <alignment horizontal="center" vertical="center" wrapText="1"/>
    </xf>
    <xf numFmtId="6" fontId="56" fillId="0" borderId="29" xfId="0" applyNumberFormat="1" applyFont="1" applyBorder="1" applyAlignment="1">
      <alignment horizontal="center" vertical="center" wrapText="1"/>
    </xf>
    <xf numFmtId="9" fontId="56" fillId="0" borderId="0" xfId="0" applyNumberFormat="1" applyFont="1" applyAlignment="1">
      <alignment horizontal="center" vertical="center" wrapText="1"/>
    </xf>
    <xf numFmtId="6" fontId="56" fillId="0" borderId="0" xfId="0" applyNumberFormat="1" applyFont="1" applyAlignment="1">
      <alignment horizontal="center" vertical="center" wrapText="1"/>
    </xf>
    <xf numFmtId="0" fontId="56" fillId="0" borderId="37" xfId="0" applyFont="1" applyBorder="1" applyAlignment="1">
      <alignment horizontal="center" vertical="center" wrapText="1"/>
    </xf>
    <xf numFmtId="0" fontId="56" fillId="0" borderId="140" xfId="0" applyFont="1" applyBorder="1" applyAlignment="1">
      <alignment horizontal="center" vertical="center" wrapText="1"/>
    </xf>
    <xf numFmtId="0" fontId="56" fillId="0" borderId="157" xfId="0" applyFont="1" applyBorder="1" applyAlignment="1">
      <alignment horizontal="center" vertical="center" wrapText="1"/>
    </xf>
    <xf numFmtId="6" fontId="56" fillId="0" borderId="76" xfId="0" applyNumberFormat="1" applyFont="1" applyBorder="1" applyAlignment="1">
      <alignment horizontal="center" vertical="center" wrapText="1"/>
    </xf>
    <xf numFmtId="9" fontId="56" fillId="0" borderId="157" xfId="0" applyNumberFormat="1" applyFont="1" applyBorder="1" applyAlignment="1">
      <alignment horizontal="center" vertical="center" wrapText="1"/>
    </xf>
    <xf numFmtId="6" fontId="56" fillId="0" borderId="157" xfId="0" applyNumberFormat="1" applyFont="1" applyBorder="1" applyAlignment="1">
      <alignment horizontal="center" vertical="center" wrapText="1"/>
    </xf>
    <xf numFmtId="0" fontId="56" fillId="0" borderId="151" xfId="0" applyFont="1" applyBorder="1" applyAlignment="1">
      <alignment horizontal="center" vertical="center" wrapText="1"/>
    </xf>
    <xf numFmtId="164" fontId="77" fillId="0" borderId="101" xfId="2" applyNumberFormat="1" applyFont="1" applyBorder="1" applyAlignment="1">
      <alignment horizontal="center" vertical="center"/>
    </xf>
    <xf numFmtId="164" fontId="77" fillId="0" borderId="47" xfId="2" applyNumberFormat="1" applyFont="1" applyBorder="1" applyAlignment="1">
      <alignment horizontal="center" vertical="center"/>
    </xf>
    <xf numFmtId="164" fontId="78" fillId="0" borderId="47" xfId="2" applyNumberFormat="1" applyFont="1" applyBorder="1" applyAlignment="1">
      <alignment horizontal="center" vertical="center"/>
    </xf>
    <xf numFmtId="164" fontId="78" fillId="0" borderId="139" xfId="2" applyNumberFormat="1" applyFont="1" applyBorder="1" applyAlignment="1">
      <alignment horizontal="center" vertical="center"/>
    </xf>
    <xf numFmtId="164" fontId="90" fillId="0" borderId="47" xfId="2" applyNumberFormat="1" applyFont="1" applyBorder="1" applyAlignment="1">
      <alignment horizontal="center" vertical="center"/>
    </xf>
    <xf numFmtId="164" fontId="91" fillId="0" borderId="47" xfId="2" applyNumberFormat="1" applyFont="1" applyBorder="1" applyAlignment="1">
      <alignment horizontal="center" vertical="center"/>
    </xf>
    <xf numFmtId="164" fontId="91" fillId="0" borderId="139" xfId="2" applyNumberFormat="1" applyFont="1" applyBorder="1" applyAlignment="1">
      <alignment horizontal="center" vertical="center"/>
    </xf>
    <xf numFmtId="0" fontId="79" fillId="0" borderId="188" xfId="0" applyFont="1" applyBorder="1"/>
    <xf numFmtId="9" fontId="82" fillId="3" borderId="72" xfId="1" applyFont="1" applyFill="1" applyBorder="1" applyAlignment="1">
      <alignment horizontal="center" vertical="center"/>
    </xf>
    <xf numFmtId="9" fontId="82" fillId="3" borderId="162" xfId="1" applyFont="1" applyFill="1" applyBorder="1" applyAlignment="1">
      <alignment horizontal="center" vertical="center"/>
    </xf>
    <xf numFmtId="0" fontId="77" fillId="0" borderId="188" xfId="0" applyFont="1" applyBorder="1" applyAlignment="1">
      <alignment horizontal="left" vertical="center"/>
    </xf>
    <xf numFmtId="0" fontId="79" fillId="0" borderId="189" xfId="0" applyFont="1" applyBorder="1"/>
    <xf numFmtId="9" fontId="80" fillId="3" borderId="49" xfId="1" applyFont="1" applyFill="1" applyBorder="1" applyAlignment="1">
      <alignment horizontal="center" vertical="center"/>
    </xf>
    <xf numFmtId="9" fontId="80" fillId="3" borderId="85" xfId="1" applyFont="1" applyFill="1" applyBorder="1" applyAlignment="1">
      <alignment horizontal="center" vertical="center"/>
    </xf>
    <xf numFmtId="0" fontId="77" fillId="0" borderId="189" xfId="0" applyFont="1" applyBorder="1" applyAlignment="1">
      <alignment horizontal="left" vertical="center"/>
    </xf>
    <xf numFmtId="164" fontId="80" fillId="3" borderId="175" xfId="1" applyNumberFormat="1" applyFont="1" applyFill="1" applyBorder="1" applyAlignment="1">
      <alignment horizontal="center" vertical="center"/>
    </xf>
    <xf numFmtId="9" fontId="82" fillId="3" borderId="190" xfId="3" applyFont="1" applyFill="1" applyBorder="1" applyAlignment="1">
      <alignment horizontal="center" vertical="center"/>
    </xf>
    <xf numFmtId="164" fontId="80" fillId="3" borderId="50" xfId="1" applyNumberFormat="1" applyFont="1" applyFill="1" applyBorder="1" applyAlignment="1">
      <alignment horizontal="center" vertical="center"/>
    </xf>
    <xf numFmtId="164" fontId="80" fillId="3" borderId="85" xfId="2" applyNumberFormat="1" applyFont="1" applyFill="1" applyBorder="1" applyAlignment="1">
      <alignment horizontal="center" vertical="center"/>
    </xf>
    <xf numFmtId="0" fontId="55" fillId="21" borderId="71" xfId="2" applyFont="1" applyFill="1" applyBorder="1" applyAlignment="1">
      <alignment horizontal="left" vertical="center" wrapText="1"/>
    </xf>
    <xf numFmtId="0" fontId="55" fillId="21" borderId="156" xfId="2" applyFont="1" applyFill="1" applyBorder="1" applyAlignment="1">
      <alignment horizontal="center" vertical="center" wrapText="1"/>
    </xf>
    <xf numFmtId="9" fontId="69" fillId="0" borderId="136" xfId="1" applyFont="1" applyBorder="1" applyAlignment="1">
      <alignment horizontal="center"/>
    </xf>
    <xf numFmtId="9" fontId="69" fillId="0" borderId="37" xfId="1" applyFont="1" applyBorder="1" applyAlignment="1">
      <alignment horizontal="center"/>
    </xf>
    <xf numFmtId="9" fontId="69" fillId="0" borderId="151" xfId="1" applyFont="1" applyBorder="1" applyAlignment="1">
      <alignment horizontal="center"/>
    </xf>
    <xf numFmtId="0" fontId="16" fillId="2" borderId="41" xfId="2" applyFont="1" applyFill="1" applyBorder="1" applyAlignment="1">
      <alignment horizontal="center" vertical="center" wrapText="1"/>
    </xf>
    <xf numFmtId="0" fontId="16" fillId="2" borderId="67" xfId="2" applyFont="1" applyFill="1" applyBorder="1" applyAlignment="1">
      <alignment horizontal="center" vertical="center" wrapText="1"/>
    </xf>
    <xf numFmtId="0" fontId="16" fillId="2" borderId="70" xfId="2" applyFont="1" applyFill="1" applyBorder="1" applyAlignment="1">
      <alignment horizontal="center" vertical="center"/>
    </xf>
    <xf numFmtId="0" fontId="16" fillId="2" borderId="72" xfId="2" applyFont="1" applyFill="1" applyBorder="1" applyAlignment="1">
      <alignment horizontal="center" vertical="center"/>
    </xf>
    <xf numFmtId="0" fontId="16" fillId="2" borderId="41" xfId="2" applyFont="1" applyFill="1" applyBorder="1" applyAlignment="1">
      <alignment horizontal="center" vertical="center"/>
    </xf>
    <xf numFmtId="0" fontId="16" fillId="2" borderId="67" xfId="2" applyFont="1" applyFill="1" applyBorder="1" applyAlignment="1">
      <alignment horizontal="center" vertical="center"/>
    </xf>
    <xf numFmtId="0" fontId="89" fillId="2" borderId="70" xfId="2" applyFont="1" applyFill="1" applyBorder="1" applyAlignment="1">
      <alignment horizontal="center" vertical="center"/>
    </xf>
    <xf numFmtId="0" fontId="89" fillId="2" borderId="72" xfId="2" applyFont="1" applyFill="1" applyBorder="1" applyAlignment="1">
      <alignment horizontal="center" vertical="center"/>
    </xf>
    <xf numFmtId="0" fontId="89" fillId="2" borderId="41" xfId="2" applyFont="1" applyFill="1" applyBorder="1" applyAlignment="1">
      <alignment horizontal="center" vertical="center"/>
    </xf>
    <xf numFmtId="0" fontId="89" fillId="2" borderId="67" xfId="2" applyFont="1" applyFill="1" applyBorder="1" applyAlignment="1">
      <alignment horizontal="center" vertical="center"/>
    </xf>
    <xf numFmtId="9" fontId="89" fillId="2" borderId="28" xfId="1" applyFont="1" applyFill="1" applyBorder="1" applyAlignment="1">
      <alignment horizontal="center" vertical="center"/>
    </xf>
    <xf numFmtId="9" fontId="89" fillId="2" borderId="36" xfId="1" applyFont="1" applyFill="1" applyBorder="1" applyAlignment="1">
      <alignment horizontal="center" vertical="center"/>
    </xf>
    <xf numFmtId="0" fontId="89" fillId="2" borderId="28" xfId="2" applyFont="1" applyFill="1" applyBorder="1" applyAlignment="1">
      <alignment horizontal="center" vertical="center" wrapText="1"/>
    </xf>
    <xf numFmtId="0" fontId="89" fillId="2" borderId="36" xfId="2" applyFont="1" applyFill="1" applyBorder="1" applyAlignment="1">
      <alignment horizontal="center" vertical="center" wrapText="1"/>
    </xf>
    <xf numFmtId="0" fontId="89" fillId="2" borderId="71" xfId="2" applyFont="1" applyFill="1" applyBorder="1" applyAlignment="1">
      <alignment horizontal="center" vertical="center" wrapText="1"/>
    </xf>
    <xf numFmtId="0" fontId="89" fillId="2" borderId="41" xfId="2" applyFont="1" applyFill="1" applyBorder="1" applyAlignment="1">
      <alignment horizontal="center" vertical="center" wrapText="1"/>
    </xf>
    <xf numFmtId="0" fontId="89" fillId="2" borderId="67" xfId="2" applyFont="1" applyFill="1" applyBorder="1" applyAlignment="1">
      <alignment horizontal="center" vertical="center" wrapText="1"/>
    </xf>
    <xf numFmtId="0" fontId="83" fillId="2" borderId="41" xfId="2" applyFont="1" applyFill="1" applyBorder="1" applyAlignment="1">
      <alignment horizontal="center" vertical="center" wrapText="1"/>
    </xf>
    <xf numFmtId="0" fontId="83" fillId="2" borderId="67" xfId="2" applyFont="1" applyFill="1" applyBorder="1" applyAlignment="1">
      <alignment horizontal="center" vertical="center" wrapText="1"/>
    </xf>
    <xf numFmtId="9" fontId="55" fillId="2" borderId="28" xfId="1" applyFont="1" applyFill="1" applyBorder="1" applyAlignment="1">
      <alignment horizontal="center" vertical="center"/>
    </xf>
    <xf numFmtId="9" fontId="55" fillId="2" borderId="36" xfId="1" applyFont="1" applyFill="1" applyBorder="1" applyAlignment="1">
      <alignment horizontal="center" vertical="center"/>
    </xf>
    <xf numFmtId="0" fontId="55" fillId="2" borderId="28" xfId="2" applyFont="1" applyFill="1" applyBorder="1" applyAlignment="1">
      <alignment horizontal="center" vertical="center" wrapText="1"/>
    </xf>
    <xf numFmtId="0" fontId="55" fillId="2" borderId="36" xfId="2" applyFont="1" applyFill="1" applyBorder="1" applyAlignment="1">
      <alignment horizontal="center" vertical="center" wrapText="1"/>
    </xf>
    <xf numFmtId="0" fontId="55" fillId="2" borderId="71" xfId="2" applyFont="1" applyFill="1" applyBorder="1" applyAlignment="1">
      <alignment horizontal="center" vertical="center" wrapText="1"/>
    </xf>
    <xf numFmtId="0" fontId="83" fillId="2" borderId="70" xfId="2" applyFont="1" applyFill="1" applyBorder="1" applyAlignment="1">
      <alignment horizontal="center" vertical="center"/>
    </xf>
    <xf numFmtId="0" fontId="83" fillId="2" borderId="72" xfId="2" applyFont="1" applyFill="1" applyBorder="1" applyAlignment="1">
      <alignment horizontal="center" vertical="center"/>
    </xf>
    <xf numFmtId="0" fontId="83" fillId="2" borderId="41" xfId="2" applyFont="1" applyFill="1" applyBorder="1" applyAlignment="1">
      <alignment horizontal="center" vertical="center"/>
    </xf>
    <xf numFmtId="0" fontId="83" fillId="2" borderId="67" xfId="2" applyFont="1" applyFill="1" applyBorder="1" applyAlignment="1">
      <alignment horizontal="center" vertical="center"/>
    </xf>
    <xf numFmtId="0" fontId="86" fillId="2" borderId="70" xfId="2" applyFont="1" applyFill="1" applyBorder="1" applyAlignment="1">
      <alignment horizontal="center" vertical="center"/>
    </xf>
    <xf numFmtId="0" fontId="86" fillId="2" borderId="72" xfId="2" applyFont="1" applyFill="1" applyBorder="1" applyAlignment="1">
      <alignment horizontal="center" vertical="center"/>
    </xf>
    <xf numFmtId="0" fontId="86" fillId="2" borderId="41" xfId="2" applyFont="1" applyFill="1" applyBorder="1" applyAlignment="1">
      <alignment horizontal="center" vertical="center"/>
    </xf>
    <xf numFmtId="0" fontId="86" fillId="2" borderId="67" xfId="2" applyFont="1" applyFill="1" applyBorder="1" applyAlignment="1">
      <alignment horizontal="center" vertical="center"/>
    </xf>
    <xf numFmtId="0" fontId="86" fillId="2" borderId="41" xfId="2" applyFont="1" applyFill="1" applyBorder="1" applyAlignment="1">
      <alignment horizontal="center" vertical="center" wrapText="1"/>
    </xf>
    <xf numFmtId="0" fontId="86" fillId="2" borderId="67" xfId="2" applyFont="1" applyFill="1" applyBorder="1" applyAlignment="1">
      <alignment horizontal="center" vertical="center" wrapText="1"/>
    </xf>
    <xf numFmtId="9" fontId="86" fillId="2" borderId="33" xfId="1" applyFont="1" applyFill="1" applyBorder="1" applyAlignment="1">
      <alignment horizontal="center" vertical="center"/>
    </xf>
    <xf numFmtId="9" fontId="86" fillId="2" borderId="187" xfId="1" applyFont="1" applyFill="1" applyBorder="1" applyAlignment="1">
      <alignment horizontal="center" vertical="center"/>
    </xf>
    <xf numFmtId="0" fontId="86" fillId="2" borderId="28" xfId="2" applyFont="1" applyFill="1" applyBorder="1" applyAlignment="1">
      <alignment horizontal="center" vertical="center" wrapText="1"/>
    </xf>
    <xf numFmtId="0" fontId="86" fillId="2" borderId="36" xfId="2" applyFont="1" applyFill="1" applyBorder="1" applyAlignment="1">
      <alignment horizontal="center" vertical="center" wrapText="1"/>
    </xf>
    <xf numFmtId="0" fontId="86" fillId="2" borderId="71" xfId="2" applyFont="1" applyFill="1" applyBorder="1" applyAlignment="1">
      <alignment horizontal="center" vertical="center" wrapText="1"/>
    </xf>
    <xf numFmtId="9" fontId="83" fillId="2" borderId="28" xfId="1" applyFont="1" applyFill="1" applyBorder="1" applyAlignment="1">
      <alignment horizontal="center" vertical="center"/>
    </xf>
    <xf numFmtId="9" fontId="83" fillId="2" borderId="36" xfId="1" applyFont="1" applyFill="1" applyBorder="1" applyAlignment="1">
      <alignment horizontal="center" vertical="center"/>
    </xf>
    <xf numFmtId="0" fontId="83" fillId="2" borderId="28" xfId="2" applyFont="1" applyFill="1" applyBorder="1" applyAlignment="1">
      <alignment horizontal="center" vertical="center" wrapText="1"/>
    </xf>
    <xf numFmtId="0" fontId="83" fillId="2" borderId="36" xfId="2" applyFont="1" applyFill="1" applyBorder="1" applyAlignment="1">
      <alignment horizontal="center" vertical="center" wrapText="1"/>
    </xf>
    <xf numFmtId="0" fontId="83" fillId="2" borderId="71" xfId="2" applyFont="1" applyFill="1" applyBorder="1" applyAlignment="1">
      <alignment horizontal="center" vertical="center" wrapText="1"/>
    </xf>
    <xf numFmtId="9" fontId="86" fillId="2" borderId="28" xfId="1" applyFont="1" applyFill="1" applyBorder="1" applyAlignment="1">
      <alignment horizontal="center" vertical="center"/>
    </xf>
    <xf numFmtId="9" fontId="86" fillId="2" borderId="36" xfId="1" applyFont="1" applyFill="1" applyBorder="1" applyAlignment="1">
      <alignment horizontal="center" vertical="center"/>
    </xf>
    <xf numFmtId="0" fontId="77" fillId="0" borderId="1"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3" xfId="0" applyFont="1" applyBorder="1" applyAlignment="1">
      <alignment horizontal="center" vertical="center" wrapText="1"/>
    </xf>
    <xf numFmtId="0" fontId="77" fillId="0" borderId="4" xfId="0" applyFont="1" applyBorder="1" applyAlignment="1">
      <alignment horizontal="center" vertical="center" wrapText="1"/>
    </xf>
    <xf numFmtId="0" fontId="77" fillId="0" borderId="5" xfId="0" applyFont="1" applyBorder="1" applyAlignment="1">
      <alignment horizontal="center" vertical="center" wrapText="1"/>
    </xf>
    <xf numFmtId="0" fontId="77" fillId="0" borderId="6" xfId="0" applyFont="1" applyBorder="1" applyAlignment="1">
      <alignment horizontal="center" vertical="center" wrapText="1"/>
    </xf>
    <xf numFmtId="0" fontId="3" fillId="0" borderId="0" xfId="0" applyFont="1" applyAlignment="1">
      <alignment horizontal="center" wrapText="1"/>
    </xf>
    <xf numFmtId="0" fontId="24" fillId="21" borderId="84" xfId="0" applyFont="1" applyFill="1" applyBorder="1" applyAlignment="1">
      <alignment horizontal="center" vertical="center" wrapText="1"/>
    </xf>
    <xf numFmtId="0" fontId="24" fillId="21" borderId="158" xfId="0" applyFont="1" applyFill="1" applyBorder="1" applyAlignment="1">
      <alignment horizontal="center" vertical="center" wrapText="1"/>
    </xf>
    <xf numFmtId="0" fontId="24" fillId="21" borderId="41" xfId="0" applyFont="1" applyFill="1" applyBorder="1" applyAlignment="1">
      <alignment horizontal="center" vertical="center" wrapText="1"/>
    </xf>
    <xf numFmtId="0" fontId="24" fillId="21" borderId="82" xfId="0" applyFont="1" applyFill="1" applyBorder="1" applyAlignment="1">
      <alignment horizontal="center" vertical="center" wrapText="1"/>
    </xf>
    <xf numFmtId="0" fontId="0" fillId="17" borderId="108" xfId="0" applyFill="1" applyBorder="1" applyAlignment="1">
      <alignment horizontal="center" vertical="center" wrapText="1"/>
    </xf>
    <xf numFmtId="0" fontId="0" fillId="16" borderId="108" xfId="0" applyFill="1" applyBorder="1" applyAlignment="1">
      <alignment horizontal="center" vertical="center" wrapText="1"/>
    </xf>
    <xf numFmtId="0" fontId="55" fillId="2" borderId="71" xfId="0" applyFont="1" applyFill="1" applyBorder="1" applyAlignment="1">
      <alignment horizontal="center" vertical="center" wrapText="1"/>
    </xf>
    <xf numFmtId="0" fontId="55" fillId="2" borderId="85" xfId="0" applyFont="1" applyFill="1" applyBorder="1" applyAlignment="1">
      <alignment horizontal="center" vertical="center" wrapText="1"/>
    </xf>
    <xf numFmtId="0" fontId="55" fillId="2" borderId="84" xfId="0" applyFont="1" applyFill="1" applyBorder="1" applyAlignment="1">
      <alignment horizontal="center" vertical="center"/>
    </xf>
    <xf numFmtId="0" fontId="55" fillId="2" borderId="49" xfId="0" applyFont="1" applyFill="1" applyBorder="1" applyAlignment="1">
      <alignment horizontal="center" vertical="center"/>
    </xf>
    <xf numFmtId="0" fontId="55" fillId="2" borderId="28" xfId="0" applyFont="1" applyFill="1" applyBorder="1" applyAlignment="1">
      <alignment horizontal="center" vertical="center"/>
    </xf>
    <xf numFmtId="0" fontId="55" fillId="2" borderId="30" xfId="0" applyFont="1" applyFill="1" applyBorder="1" applyAlignment="1">
      <alignment horizontal="center" vertical="center"/>
    </xf>
    <xf numFmtId="0" fontId="55" fillId="2" borderId="28" xfId="0" applyFont="1" applyFill="1" applyBorder="1" applyAlignment="1">
      <alignment horizontal="center" vertical="center" wrapText="1"/>
    </xf>
    <xf numFmtId="0" fontId="55" fillId="2" borderId="30" xfId="0" applyFont="1" applyFill="1" applyBorder="1" applyAlignment="1">
      <alignment horizontal="center" vertical="center" wrapText="1"/>
    </xf>
    <xf numFmtId="0" fontId="14" fillId="2" borderId="68" xfId="0" applyFont="1" applyFill="1" applyBorder="1" applyAlignment="1">
      <alignment horizontal="center" vertical="center" wrapText="1"/>
    </xf>
    <xf numFmtId="0" fontId="3" fillId="0" borderId="0" xfId="0" applyFont="1" applyAlignment="1">
      <alignment vertical="center" wrapText="1"/>
    </xf>
    <xf numFmtId="0" fontId="56" fillId="16" borderId="74" xfId="2" applyFont="1" applyFill="1" applyBorder="1" applyAlignment="1">
      <alignment horizontal="center" vertical="center" wrapText="1"/>
    </xf>
    <xf numFmtId="0" fontId="56" fillId="0" borderId="74" xfId="2" applyFont="1" applyBorder="1" applyAlignment="1">
      <alignment horizontal="center" vertical="center" wrapText="1"/>
    </xf>
    <xf numFmtId="0" fontId="56" fillId="0" borderId="179" xfId="2" applyFont="1" applyBorder="1" applyAlignment="1">
      <alignment horizontal="center" vertical="center" wrapText="1"/>
    </xf>
    <xf numFmtId="0" fontId="56" fillId="16" borderId="74" xfId="2" applyFont="1" applyFill="1" applyBorder="1" applyAlignment="1">
      <alignment horizontal="left" vertical="center" wrapText="1"/>
    </xf>
    <xf numFmtId="0" fontId="56" fillId="0" borderId="74" xfId="2" applyFont="1" applyBorder="1" applyAlignment="1">
      <alignment horizontal="left" vertical="center" wrapText="1"/>
    </xf>
    <xf numFmtId="0" fontId="56" fillId="0" borderId="179" xfId="2" applyFont="1" applyBorder="1" applyAlignment="1">
      <alignment horizontal="left" vertical="center" wrapText="1"/>
    </xf>
    <xf numFmtId="0" fontId="87" fillId="0" borderId="74" xfId="2"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0" fontId="21" fillId="0" borderId="0" xfId="0" applyFont="1" applyAlignment="1">
      <alignment horizontal="center" vertical="top" wrapText="1"/>
    </xf>
    <xf numFmtId="0" fontId="0" fillId="0" borderId="0" xfId="0" applyAlignment="1">
      <alignment horizontal="center" wrapText="1"/>
    </xf>
    <xf numFmtId="0" fontId="36" fillId="0" borderId="0" xfId="2" applyFont="1" applyAlignment="1">
      <alignment wrapText="1"/>
    </xf>
    <xf numFmtId="0" fontId="56" fillId="16" borderId="55" xfId="2" applyFont="1" applyFill="1" applyBorder="1" applyAlignment="1">
      <alignment horizontal="center" vertical="center" wrapText="1"/>
    </xf>
    <xf numFmtId="0" fontId="56" fillId="0" borderId="55" xfId="2" applyFont="1" applyBorder="1" applyAlignment="1">
      <alignment horizontal="center" vertical="center" wrapText="1"/>
    </xf>
    <xf numFmtId="0" fontId="56" fillId="0" borderId="180" xfId="2" applyFont="1" applyBorder="1" applyAlignment="1">
      <alignment horizontal="center" vertical="center" wrapText="1"/>
    </xf>
    <xf numFmtId="0" fontId="55" fillId="4" borderId="0" xfId="2" applyFont="1" applyFill="1" applyAlignment="1">
      <alignment horizontal="centerContinuous" vertical="center" wrapText="1"/>
    </xf>
    <xf numFmtId="0" fontId="56" fillId="0" borderId="29" xfId="2" applyFont="1" applyBorder="1" applyAlignment="1">
      <alignment vertical="center" wrapText="1"/>
    </xf>
    <xf numFmtId="0" fontId="66" fillId="0" borderId="29" xfId="2" applyFont="1" applyBorder="1" applyAlignment="1">
      <alignment vertical="center" wrapText="1"/>
    </xf>
    <xf numFmtId="0" fontId="66" fillId="0" borderId="76" xfId="2" applyFont="1" applyBorder="1" applyAlignment="1">
      <alignment horizontal="center" vertical="center" wrapText="1"/>
    </xf>
    <xf numFmtId="0" fontId="56" fillId="0" borderId="0" xfId="2" applyFont="1" applyAlignment="1">
      <alignment wrapText="1"/>
    </xf>
    <xf numFmtId="0" fontId="55" fillId="3" borderId="177" xfId="2" applyFont="1" applyFill="1" applyBorder="1" applyAlignment="1">
      <alignment horizontal="center" vertical="center" wrapText="1"/>
    </xf>
    <xf numFmtId="0" fontId="68" fillId="3" borderId="82" xfId="2" applyFont="1" applyFill="1" applyBorder="1" applyAlignment="1">
      <alignment vertical="center" wrapText="1"/>
    </xf>
    <xf numFmtId="0" fontId="37" fillId="0" borderId="0" xfId="2" applyFont="1" applyAlignment="1">
      <alignment wrapText="1"/>
    </xf>
    <xf numFmtId="0" fontId="7" fillId="0" borderId="0" xfId="2" applyFont="1" applyAlignment="1">
      <alignment vertical="center" wrapText="1"/>
    </xf>
    <xf numFmtId="0" fontId="27" fillId="0" borderId="0" xfId="2" applyFont="1" applyAlignment="1">
      <alignment horizontal="left" vertical="center" wrapText="1"/>
    </xf>
  </cellXfs>
  <cellStyles count="20">
    <cellStyle name="Comma 2" xfId="4" xr:uid="{00000000-0005-0000-0000-000000000000}"/>
    <cellStyle name="Comma 3" xfId="5" xr:uid="{00000000-0005-0000-0000-000001000000}"/>
    <cellStyle name="Currency 2" xfId="6" xr:uid="{00000000-0005-0000-0000-000003000000}"/>
    <cellStyle name="Currency 2 2" xfId="7" xr:uid="{00000000-0005-0000-0000-000004000000}"/>
    <cellStyle name="Normal" xfId="0" builtinId="0"/>
    <cellStyle name="Normal 2" xfId="2" xr:uid="{00000000-0005-0000-0000-000006000000}"/>
    <cellStyle name="Normal 3" xfId="8" xr:uid="{00000000-0005-0000-0000-000007000000}"/>
    <cellStyle name="Normal 3 2" xfId="9" xr:uid="{00000000-0005-0000-0000-000008000000}"/>
    <cellStyle name="Normal 4" xfId="10" xr:uid="{00000000-0005-0000-0000-000009000000}"/>
    <cellStyle name="Normal_Survey Analysis - For Participants" xfId="19" xr:uid="{00000000-0005-0000-0000-00000A000000}"/>
    <cellStyle name="Normal_surveyfinal" xfId="18" xr:uid="{00000000-0005-0000-0000-00000B000000}"/>
    <cellStyle name="Percent" xfId="1" builtinId="5"/>
    <cellStyle name="Percent 2" xfId="3" xr:uid="{00000000-0005-0000-0000-00000D000000}"/>
    <cellStyle name="Percent 3" xfId="11" xr:uid="{00000000-0005-0000-0000-00000E000000}"/>
    <cellStyle name="Percent 3 2" xfId="12" xr:uid="{00000000-0005-0000-0000-00000F000000}"/>
    <cellStyle name="Percent 4" xfId="13" xr:uid="{00000000-0005-0000-0000-000010000000}"/>
    <cellStyle name="Percent 5" xfId="14" xr:uid="{00000000-0005-0000-0000-000011000000}"/>
    <cellStyle name="Style 30" xfId="15" xr:uid="{00000000-0005-0000-0000-000012000000}"/>
    <cellStyle name="TextNormal" xfId="16" xr:uid="{00000000-0005-0000-0000-000013000000}"/>
    <cellStyle name="TextNormal 2" xfId="17" xr:uid="{00000000-0005-0000-0000-000014000000}"/>
  </cellStyles>
  <dxfs count="209">
    <dxf>
      <fill>
        <patternFill>
          <bgColor theme="0" tint="-4.9989318521683403E-2"/>
        </patternFill>
      </fill>
    </dxf>
    <dxf>
      <fill>
        <patternFill>
          <bgColor rgb="FFD9D9D9"/>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C00000"/>
      </font>
      <fill>
        <patternFill>
          <bgColor theme="4" tint="0.79998168889431442"/>
        </patternFill>
      </fill>
      <border>
        <left style="dotted">
          <color theme="9"/>
        </left>
        <right style="dotted">
          <color theme="9"/>
        </right>
        <top style="dotted">
          <color theme="9"/>
        </top>
        <bottom style="dotted">
          <color theme="9"/>
        </bottom>
        <vertical/>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2F2F2"/>
        </patternFill>
      </fill>
    </dxf>
    <dxf>
      <fill>
        <patternFill>
          <bgColor rgb="FFF2F2F2"/>
        </patternFill>
      </fill>
    </dxf>
    <dxf>
      <fill>
        <patternFill>
          <bgColor rgb="FFF2F2F2"/>
        </patternFill>
      </fill>
    </dxf>
    <dxf>
      <fill>
        <patternFill>
          <bgColor rgb="FFF2F2F2"/>
        </patternFill>
      </fill>
    </dxf>
    <dxf>
      <font>
        <color rgb="FF00B050"/>
      </font>
    </dxf>
    <dxf>
      <font>
        <color rgb="FF00B050"/>
      </font>
    </dxf>
    <dxf>
      <fill>
        <patternFill>
          <bgColor rgb="FFF2F2F2"/>
        </patternFill>
      </fill>
    </dxf>
    <dxf>
      <fill>
        <patternFill>
          <bgColor rgb="FFF2F2F2"/>
        </patternFill>
      </fill>
    </dxf>
    <dxf>
      <fill>
        <patternFill>
          <bgColor theme="0" tint="-0.14996795556505021"/>
        </patternFill>
      </fill>
    </dxf>
    <dxf>
      <fill>
        <patternFill>
          <bgColor theme="0" tint="-4.9989318521683403E-2"/>
        </patternFill>
      </fill>
    </dxf>
  </dxfs>
  <tableStyles count="0" defaultTableStyle="TableStyleMedium9" defaultPivotStyle="PivotStyleLight16"/>
  <colors>
    <mruColors>
      <color rgb="FF5F6269"/>
      <color rgb="FF002957"/>
      <color rgb="FFB88C00"/>
      <color rgb="FF0055B8"/>
      <color rgb="FFF37A4F"/>
      <color rgb="FFF0531E"/>
      <color rgb="FF006600"/>
      <color rgb="FFAFABAB"/>
      <color rgb="FF00336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'Master - Charts'!$B$13</c:f>
              <c:strCache>
                <c:ptCount val="1"/>
                <c:pt idx="0">
                  <c:v>25th</c:v>
                </c:pt>
              </c:strCache>
            </c:strRef>
          </c:tx>
          <c:spPr>
            <a:noFill/>
          </c:spPr>
          <c:invertIfNegative val="0"/>
          <c:cat>
            <c:strRef>
              <c:f>'Master - Charts'!$C$4:$E$4</c:f>
              <c:strCache>
                <c:ptCount val="3"/>
                <c:pt idx="0">
                  <c:v>Base Salary</c:v>
                </c:pt>
                <c:pt idx="1">
                  <c:v>Target TCC</c:v>
                </c:pt>
                <c:pt idx="2">
                  <c:v>Target TDC</c:v>
                </c:pt>
              </c:strCache>
            </c:strRef>
          </c:cat>
          <c:val>
            <c:numRef>
              <c:f>'Master - Charts'!$C$13:$E$13</c:f>
              <c:numCache>
                <c:formatCode>"$"#,##0</c:formatCode>
                <c:ptCount val="3"/>
                <c:pt idx="0">
                  <c:v>0</c:v>
                </c:pt>
                <c:pt idx="1">
                  <c:v>0</c:v>
                </c:pt>
                <c:pt idx="2">
                  <c:v>0</c:v>
                </c:pt>
              </c:numCache>
            </c:numRef>
          </c:val>
          <c:extLst>
            <c:ext xmlns:c16="http://schemas.microsoft.com/office/drawing/2014/chart" uri="{C3380CC4-5D6E-409C-BE32-E72D297353CC}">
              <c16:uniqueId val="{00000000-BC20-436F-8485-E62A5F90F63E}"/>
            </c:ext>
          </c:extLst>
        </c:ser>
        <c:ser>
          <c:idx val="1"/>
          <c:order val="1"/>
          <c:tx>
            <c:strRef>
              <c:f>'Master - Charts'!$B$14</c:f>
              <c:strCache>
                <c:ptCount val="1"/>
                <c:pt idx="0">
                  <c:v>50th</c:v>
                </c:pt>
              </c:strCache>
            </c:strRef>
          </c:tx>
          <c:spPr>
            <a:solidFill>
              <a:srgbClr val="002957"/>
            </a:solidFill>
          </c:spPr>
          <c:invertIfNegative val="0"/>
          <c:cat>
            <c:strRef>
              <c:f>'Master - Charts'!$C$4:$E$4</c:f>
              <c:strCache>
                <c:ptCount val="3"/>
                <c:pt idx="0">
                  <c:v>Base Salary</c:v>
                </c:pt>
                <c:pt idx="1">
                  <c:v>Target TCC</c:v>
                </c:pt>
                <c:pt idx="2">
                  <c:v>Target TDC</c:v>
                </c:pt>
              </c:strCache>
            </c:strRef>
          </c:cat>
          <c:val>
            <c:numRef>
              <c:f>'Master - Charts'!$C$14:$E$14</c:f>
              <c:numCache>
                <c:formatCode>"$"#,##0</c:formatCode>
                <c:ptCount val="3"/>
                <c:pt idx="0">
                  <c:v>0</c:v>
                </c:pt>
                <c:pt idx="1">
                  <c:v>0</c:v>
                </c:pt>
                <c:pt idx="2">
                  <c:v>0</c:v>
                </c:pt>
              </c:numCache>
            </c:numRef>
          </c:val>
          <c:extLst>
            <c:ext xmlns:c16="http://schemas.microsoft.com/office/drawing/2014/chart" uri="{C3380CC4-5D6E-409C-BE32-E72D297353CC}">
              <c16:uniqueId val="{00000001-BC20-436F-8485-E62A5F90F63E}"/>
            </c:ext>
          </c:extLst>
        </c:ser>
        <c:ser>
          <c:idx val="2"/>
          <c:order val="2"/>
          <c:tx>
            <c:strRef>
              <c:f>'Master - Charts'!$B$15</c:f>
              <c:strCache>
                <c:ptCount val="1"/>
                <c:pt idx="0">
                  <c:v>75th</c:v>
                </c:pt>
              </c:strCache>
            </c:strRef>
          </c:tx>
          <c:spPr>
            <a:solidFill>
              <a:srgbClr val="AFABAB"/>
            </a:solidFill>
          </c:spPr>
          <c:invertIfNegative val="0"/>
          <c:cat>
            <c:strRef>
              <c:f>'Master - Charts'!$C$4:$E$4</c:f>
              <c:strCache>
                <c:ptCount val="3"/>
                <c:pt idx="0">
                  <c:v>Base Salary</c:v>
                </c:pt>
                <c:pt idx="1">
                  <c:v>Target TCC</c:v>
                </c:pt>
                <c:pt idx="2">
                  <c:v>Target TDC</c:v>
                </c:pt>
              </c:strCache>
            </c:strRef>
          </c:cat>
          <c:val>
            <c:numRef>
              <c:f>'Master - Charts'!$C$15:$E$15</c:f>
              <c:numCache>
                <c:formatCode>"$"#,##0</c:formatCode>
                <c:ptCount val="3"/>
                <c:pt idx="0">
                  <c:v>0</c:v>
                </c:pt>
                <c:pt idx="1">
                  <c:v>0</c:v>
                </c:pt>
                <c:pt idx="2">
                  <c:v>0</c:v>
                </c:pt>
              </c:numCache>
            </c:numRef>
          </c:val>
          <c:extLst>
            <c:ext xmlns:c16="http://schemas.microsoft.com/office/drawing/2014/chart" uri="{C3380CC4-5D6E-409C-BE32-E72D297353CC}">
              <c16:uniqueId val="{00000002-BC20-436F-8485-E62A5F90F63E}"/>
            </c:ext>
          </c:extLst>
        </c:ser>
        <c:dLbls>
          <c:showLegendKey val="0"/>
          <c:showVal val="0"/>
          <c:showCatName val="0"/>
          <c:showSerName val="0"/>
          <c:showPercent val="0"/>
          <c:showBubbleSize val="0"/>
        </c:dLbls>
        <c:gapWidth val="150"/>
        <c:overlap val="100"/>
        <c:axId val="721418768"/>
        <c:axId val="721418376"/>
      </c:barChart>
      <c:scatterChart>
        <c:scatterStyle val="lineMarker"/>
        <c:varyColors val="0"/>
        <c:ser>
          <c:idx val="3"/>
          <c:order val="3"/>
          <c:tx>
            <c:strRef>
              <c:f>'Master - Charts'!$B$17</c:f>
              <c:strCache>
                <c:ptCount val="1"/>
                <c:pt idx="0">
                  <c:v>-</c:v>
                </c:pt>
              </c:strCache>
            </c:strRef>
          </c:tx>
          <c:spPr>
            <a:ln w="28575">
              <a:noFill/>
            </a:ln>
          </c:spPr>
          <c:marker>
            <c:symbol val="square"/>
            <c:size val="10"/>
            <c:spPr>
              <a:solidFill>
                <a:srgbClr val="F0531E"/>
              </a:solidFill>
              <a:ln>
                <a:solidFill>
                  <a:sysClr val="windowText" lastClr="000000"/>
                </a:solidFill>
              </a:ln>
            </c:spPr>
          </c:marker>
          <c:yVal>
            <c:numRef>
              <c:f>'Master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BC20-436F-8485-E62A5F90F63E}"/>
            </c:ext>
          </c:extLst>
        </c:ser>
        <c:ser>
          <c:idx val="4"/>
          <c:order val="4"/>
          <c:tx>
            <c:strRef>
              <c:f>'Master - Charts'!$B$16</c:f>
              <c:strCache>
                <c:ptCount val="1"/>
                <c:pt idx="0">
                  <c:v>Average</c:v>
                </c:pt>
              </c:strCache>
            </c:strRef>
          </c:tx>
          <c:spPr>
            <a:ln w="28575">
              <a:noFill/>
            </a:ln>
          </c:spPr>
          <c:marker>
            <c:symbol val="dash"/>
            <c:size val="15"/>
            <c:spPr>
              <a:solidFill>
                <a:srgbClr val="5F6269"/>
              </a:solidFill>
              <a:ln>
                <a:solidFill>
                  <a:schemeClr val="tx1"/>
                </a:solidFill>
              </a:ln>
            </c:spPr>
          </c:marker>
          <c:yVal>
            <c:numRef>
              <c:f>'Master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BC20-436F-8485-E62A5F90F63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numFmt formatCode="General"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noFill/>
            </a:ln>
          </c:spPr>
        </c:majorGridlines>
        <c:numFmt formatCode="&quot;$&quot;#,##0"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1"/>
          <c:tx>
            <c:strRef>
              <c:f>'TC Chart'!$B$37</c:f>
              <c:strCache>
                <c:ptCount val="1"/>
                <c:pt idx="0">
                  <c:v>25th</c:v>
                </c:pt>
              </c:strCache>
            </c:strRef>
          </c:tx>
          <c:spPr>
            <a:noFill/>
          </c:spPr>
          <c:invertIfNegative val="0"/>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(Donnelly)</c:v>
                  </c:pt>
                  <c:pt idx="10">
                    <c:v>NEO5 (Del Rio)</c:v>
                  </c:pt>
                </c:lvl>
              </c:multiLvlStrCache>
            </c:multiLvlStrRef>
          </c:cat>
          <c:val>
            <c:numRef>
              <c:f>'TC Chart'!$C$37:$N$37</c:f>
              <c:numCache>
                <c:formatCode>"$"#,##0</c:formatCode>
                <c:ptCount val="12"/>
                <c:pt idx="0">
                  <c:v>4412.0242187500007</c:v>
                </c:pt>
                <c:pt idx="1">
                  <c:v>4495.8069976325005</c:v>
                </c:pt>
                <c:pt idx="2">
                  <c:v>1835.1016758663027</c:v>
                </c:pt>
                <c:pt idx="3">
                  <c:v>1908.7374252364079</c:v>
                </c:pt>
                <c:pt idx="4">
                  <c:v>2191.283285</c:v>
                </c:pt>
                <c:pt idx="5">
                  <c:v>2231.5866249999999</c:v>
                </c:pt>
                <c:pt idx="6">
                  <c:v>1506.127285</c:v>
                </c:pt>
                <c:pt idx="7">
                  <c:v>1633.0278450000001</c:v>
                </c:pt>
                <c:pt idx="8">
                  <c:v>1670.454</c:v>
                </c:pt>
                <c:pt idx="9">
                  <c:v>1727.7329999999999</c:v>
                </c:pt>
                <c:pt idx="10">
                  <c:v>1457.4747200000002</c:v>
                </c:pt>
                <c:pt idx="11">
                  <c:v>1557.1222647336897</c:v>
                </c:pt>
              </c:numCache>
            </c:numRef>
          </c:val>
          <c:extLst>
            <c:ext xmlns:c16="http://schemas.microsoft.com/office/drawing/2014/chart" uri="{C3380CC4-5D6E-409C-BE32-E72D297353CC}">
              <c16:uniqueId val="{00000000-5529-49B2-985D-C1E7D31CAC80}"/>
            </c:ext>
          </c:extLst>
        </c:ser>
        <c:ser>
          <c:idx val="1"/>
          <c:order val="2"/>
          <c:tx>
            <c:strRef>
              <c:f>'TC Chart'!$B$38</c:f>
              <c:strCache>
                <c:ptCount val="1"/>
                <c:pt idx="0">
                  <c:v>50th</c:v>
                </c:pt>
              </c:strCache>
            </c:strRef>
          </c:tx>
          <c:spPr>
            <a:solidFill>
              <a:srgbClr val="002957"/>
            </a:solidFill>
          </c:spPr>
          <c:invertIfNegative val="0"/>
          <c:dPt>
            <c:idx val="1"/>
            <c:invertIfNegative val="0"/>
            <c:bubble3D val="0"/>
            <c:spPr>
              <a:solidFill>
                <a:srgbClr val="632523"/>
              </a:solidFill>
            </c:spPr>
            <c:extLst>
              <c:ext xmlns:c16="http://schemas.microsoft.com/office/drawing/2014/chart" uri="{C3380CC4-5D6E-409C-BE32-E72D297353CC}">
                <c16:uniqueId val="{00000002-5529-49B2-985D-C1E7D31CAC80}"/>
              </c:ext>
            </c:extLst>
          </c:dPt>
          <c:dPt>
            <c:idx val="3"/>
            <c:invertIfNegative val="0"/>
            <c:bubble3D val="0"/>
            <c:spPr>
              <a:solidFill>
                <a:srgbClr val="632523"/>
              </a:solidFill>
            </c:spPr>
            <c:extLst>
              <c:ext xmlns:c16="http://schemas.microsoft.com/office/drawing/2014/chart" uri="{C3380CC4-5D6E-409C-BE32-E72D297353CC}">
                <c16:uniqueId val="{00000004-5529-49B2-985D-C1E7D31CAC80}"/>
              </c:ext>
            </c:extLst>
          </c:dPt>
          <c:dPt>
            <c:idx val="5"/>
            <c:invertIfNegative val="0"/>
            <c:bubble3D val="0"/>
            <c:spPr>
              <a:solidFill>
                <a:srgbClr val="632523"/>
              </a:solidFill>
            </c:spPr>
            <c:extLst>
              <c:ext xmlns:c16="http://schemas.microsoft.com/office/drawing/2014/chart" uri="{C3380CC4-5D6E-409C-BE32-E72D297353CC}">
                <c16:uniqueId val="{00000006-5529-49B2-985D-C1E7D31CAC80}"/>
              </c:ext>
            </c:extLst>
          </c:dPt>
          <c:dPt>
            <c:idx val="7"/>
            <c:invertIfNegative val="0"/>
            <c:bubble3D val="0"/>
            <c:spPr>
              <a:solidFill>
                <a:srgbClr val="632523"/>
              </a:solidFill>
            </c:spPr>
            <c:extLst>
              <c:ext xmlns:c16="http://schemas.microsoft.com/office/drawing/2014/chart" uri="{C3380CC4-5D6E-409C-BE32-E72D297353CC}">
                <c16:uniqueId val="{00000008-5529-49B2-985D-C1E7D31CAC80}"/>
              </c:ext>
            </c:extLst>
          </c:dPt>
          <c:dPt>
            <c:idx val="9"/>
            <c:invertIfNegative val="0"/>
            <c:bubble3D val="0"/>
            <c:spPr>
              <a:solidFill>
                <a:srgbClr val="632523"/>
              </a:solidFill>
            </c:spPr>
            <c:extLst>
              <c:ext xmlns:c16="http://schemas.microsoft.com/office/drawing/2014/chart" uri="{C3380CC4-5D6E-409C-BE32-E72D297353CC}">
                <c16:uniqueId val="{0000000A-5529-49B2-985D-C1E7D31CAC80}"/>
              </c:ext>
            </c:extLst>
          </c:dPt>
          <c:dPt>
            <c:idx val="11"/>
            <c:invertIfNegative val="0"/>
            <c:bubble3D val="0"/>
            <c:spPr>
              <a:solidFill>
                <a:srgbClr val="632523"/>
              </a:solidFill>
            </c:spPr>
            <c:extLst>
              <c:ext xmlns:c16="http://schemas.microsoft.com/office/drawing/2014/chart" uri="{C3380CC4-5D6E-409C-BE32-E72D297353CC}">
                <c16:uniqueId val="{0000000C-5529-49B2-985D-C1E7D31CAC80}"/>
              </c:ext>
            </c:extLst>
          </c:dPt>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(Donnelly)</c:v>
                  </c:pt>
                  <c:pt idx="10">
                    <c:v>NEO5 (Del Rio)</c:v>
                  </c:pt>
                </c:lvl>
              </c:multiLvlStrCache>
            </c:multiLvlStrRef>
          </c:cat>
          <c:val>
            <c:numRef>
              <c:f>'TC Chart'!$C$38:$N$38</c:f>
              <c:numCache>
                <c:formatCode>"$"#,##0</c:formatCode>
                <c:ptCount val="12"/>
                <c:pt idx="0">
                  <c:v>759.87358124999901</c:v>
                </c:pt>
                <c:pt idx="1">
                  <c:v>991.11425788603719</c:v>
                </c:pt>
                <c:pt idx="2">
                  <c:v>170.51646138369733</c:v>
                </c:pt>
                <c:pt idx="3">
                  <c:v>208.14928238359244</c:v>
                </c:pt>
                <c:pt idx="4">
                  <c:v>412.58928383036618</c:v>
                </c:pt>
                <c:pt idx="5">
                  <c:v>415.37627844036615</c:v>
                </c:pt>
                <c:pt idx="6">
                  <c:v>218.4268956810281</c:v>
                </c:pt>
                <c:pt idx="7">
                  <c:v>243.91118761102825</c:v>
                </c:pt>
                <c:pt idx="8">
                  <c:v>266.31909111462824</c:v>
                </c:pt>
                <c:pt idx="9">
                  <c:v>319.69654618576465</c:v>
                </c:pt>
                <c:pt idx="10">
                  <c:v>134.14088042488629</c:v>
                </c:pt>
                <c:pt idx="11">
                  <c:v>82.058525266310426</c:v>
                </c:pt>
              </c:numCache>
            </c:numRef>
          </c:val>
          <c:extLst>
            <c:ext xmlns:c16="http://schemas.microsoft.com/office/drawing/2014/chart" uri="{C3380CC4-5D6E-409C-BE32-E72D297353CC}">
              <c16:uniqueId val="{0000000D-5529-49B2-985D-C1E7D31CAC80}"/>
            </c:ext>
          </c:extLst>
        </c:ser>
        <c:ser>
          <c:idx val="2"/>
          <c:order val="3"/>
          <c:tx>
            <c:strRef>
              <c:f>'TC Chart'!$B$39</c:f>
              <c:strCache>
                <c:ptCount val="1"/>
                <c:pt idx="0">
                  <c:v>75th</c:v>
                </c:pt>
              </c:strCache>
            </c:strRef>
          </c:tx>
          <c:spPr>
            <a:solidFill>
              <a:schemeClr val="tx2">
                <a:lumMod val="20000"/>
                <a:lumOff val="80000"/>
              </a:schemeClr>
            </a:solidFill>
          </c:spPr>
          <c:invertIfNegative val="0"/>
          <c:dPt>
            <c:idx val="1"/>
            <c:invertIfNegative val="0"/>
            <c:bubble3D val="0"/>
            <c:spPr>
              <a:solidFill>
                <a:srgbClr val="E6B9B8"/>
              </a:solidFill>
            </c:spPr>
            <c:extLst>
              <c:ext xmlns:c16="http://schemas.microsoft.com/office/drawing/2014/chart" uri="{C3380CC4-5D6E-409C-BE32-E72D297353CC}">
                <c16:uniqueId val="{0000000F-5529-49B2-985D-C1E7D31CAC80}"/>
              </c:ext>
            </c:extLst>
          </c:dPt>
          <c:dPt>
            <c:idx val="3"/>
            <c:invertIfNegative val="0"/>
            <c:bubble3D val="0"/>
            <c:spPr>
              <a:solidFill>
                <a:srgbClr val="E6B9B8"/>
              </a:solidFill>
            </c:spPr>
            <c:extLst>
              <c:ext xmlns:c16="http://schemas.microsoft.com/office/drawing/2014/chart" uri="{C3380CC4-5D6E-409C-BE32-E72D297353CC}">
                <c16:uniqueId val="{00000011-5529-49B2-985D-C1E7D31CAC80}"/>
              </c:ext>
            </c:extLst>
          </c:dPt>
          <c:dPt>
            <c:idx val="5"/>
            <c:invertIfNegative val="0"/>
            <c:bubble3D val="0"/>
            <c:spPr>
              <a:solidFill>
                <a:srgbClr val="E6B9B8"/>
              </a:solidFill>
            </c:spPr>
            <c:extLst>
              <c:ext xmlns:c16="http://schemas.microsoft.com/office/drawing/2014/chart" uri="{C3380CC4-5D6E-409C-BE32-E72D297353CC}">
                <c16:uniqueId val="{00000013-5529-49B2-985D-C1E7D31CAC80}"/>
              </c:ext>
            </c:extLst>
          </c:dPt>
          <c:dPt>
            <c:idx val="7"/>
            <c:invertIfNegative val="0"/>
            <c:bubble3D val="0"/>
            <c:spPr>
              <a:solidFill>
                <a:srgbClr val="E6B9B8"/>
              </a:solidFill>
            </c:spPr>
            <c:extLst>
              <c:ext xmlns:c16="http://schemas.microsoft.com/office/drawing/2014/chart" uri="{C3380CC4-5D6E-409C-BE32-E72D297353CC}">
                <c16:uniqueId val="{00000015-5529-49B2-985D-C1E7D31CAC80}"/>
              </c:ext>
            </c:extLst>
          </c:dPt>
          <c:dPt>
            <c:idx val="9"/>
            <c:invertIfNegative val="0"/>
            <c:bubble3D val="0"/>
            <c:spPr>
              <a:solidFill>
                <a:srgbClr val="E6B9B8"/>
              </a:solidFill>
            </c:spPr>
            <c:extLst>
              <c:ext xmlns:c16="http://schemas.microsoft.com/office/drawing/2014/chart" uri="{C3380CC4-5D6E-409C-BE32-E72D297353CC}">
                <c16:uniqueId val="{00000017-5529-49B2-985D-C1E7D31CAC80}"/>
              </c:ext>
            </c:extLst>
          </c:dPt>
          <c:dPt>
            <c:idx val="11"/>
            <c:invertIfNegative val="0"/>
            <c:bubble3D val="0"/>
            <c:spPr>
              <a:solidFill>
                <a:srgbClr val="E6B9B8"/>
              </a:solidFill>
            </c:spPr>
            <c:extLst>
              <c:ext xmlns:c16="http://schemas.microsoft.com/office/drawing/2014/chart" uri="{C3380CC4-5D6E-409C-BE32-E72D297353CC}">
                <c16:uniqueId val="{00000019-5529-49B2-985D-C1E7D31CAC80}"/>
              </c:ext>
            </c:extLst>
          </c:dPt>
          <c:dLbls>
            <c:dLbl>
              <c:idx val="0"/>
              <c:layout>
                <c:manualLayout>
                  <c:x val="0"/>
                  <c:y val="-0.12685532879168343"/>
                </c:manualLayout>
              </c:layout>
              <c:tx>
                <c:rich>
                  <a:bodyPr/>
                  <a:lstStyle/>
                  <a:p>
                    <a:r>
                      <a:rPr lang="en-US"/>
                      <a:t>P49</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A-5529-49B2-985D-C1E7D31CAC80}"/>
                </c:ext>
              </c:extLst>
            </c:dLbl>
            <c:dLbl>
              <c:idx val="1"/>
              <c:layout>
                <c:manualLayout>
                  <c:x val="2.9809953735851693E-17"/>
                  <c:y val="-0.11941788331056465"/>
                </c:manualLayout>
              </c:layout>
              <c:tx>
                <c:rich>
                  <a:bodyPr wrap="square" lIns="38100" tIns="19050" rIns="38100" bIns="19050" anchor="ctr">
                    <a:spAutoFit/>
                  </a:bodyPr>
                  <a:lstStyle/>
                  <a:p>
                    <a:pPr>
                      <a:defRPr i="1">
                        <a:solidFill>
                          <a:srgbClr val="00B050"/>
                        </a:solidFill>
                      </a:defRPr>
                    </a:pPr>
                    <a:r>
                      <a:rPr lang="en-US"/>
                      <a:t>P50</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F-5529-49B2-985D-C1E7D31CAC80}"/>
                </c:ext>
              </c:extLst>
            </c:dLbl>
            <c:dLbl>
              <c:idx val="2"/>
              <c:layout>
                <c:manualLayout>
                  <c:x val="0"/>
                  <c:y val="-5.0353781019490791E-2"/>
                </c:manualLayout>
              </c:layout>
              <c:tx>
                <c:rich>
                  <a:bodyPr/>
                  <a:lstStyle/>
                  <a:p>
                    <a:r>
                      <a:rPr lang="en-US"/>
                      <a:t>P52</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B-5529-49B2-985D-C1E7D31CAC80}"/>
                </c:ext>
              </c:extLst>
            </c:dLbl>
            <c:dLbl>
              <c:idx val="3"/>
              <c:layout>
                <c:manualLayout>
                  <c:x val="-1.6260162601626016E-3"/>
                  <c:y val="-5.4197645480148854E-2"/>
                </c:manualLayout>
              </c:layout>
              <c:tx>
                <c:rich>
                  <a:bodyPr wrap="square" lIns="38100" tIns="19050" rIns="38100" bIns="19050" anchor="ctr">
                    <a:spAutoFit/>
                  </a:bodyPr>
                  <a:lstStyle/>
                  <a:p>
                    <a:pPr>
                      <a:defRPr i="1">
                        <a:solidFill>
                          <a:srgbClr val="00B050"/>
                        </a:solidFill>
                      </a:defRPr>
                    </a:pPr>
                    <a:r>
                      <a:rPr lang="en-US"/>
                      <a:t>P62</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1-5529-49B2-985D-C1E7D31CAC80}"/>
                </c:ext>
              </c:extLst>
            </c:dLbl>
            <c:dLbl>
              <c:idx val="4"/>
              <c:layout>
                <c:manualLayout>
                  <c:x val="0"/>
                  <c:y val="-3.3738924641490586E-2"/>
                </c:manualLayout>
              </c:layout>
              <c:tx>
                <c:rich>
                  <a:bodyPr/>
                  <a:lstStyle/>
                  <a:p>
                    <a:r>
                      <a:rPr lang="en-US"/>
                      <a:t>P34</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C-5529-49B2-985D-C1E7D31CAC80}"/>
                </c:ext>
              </c:extLst>
            </c:dLbl>
            <c:dLbl>
              <c:idx val="5"/>
              <c:layout>
                <c:manualLayout>
                  <c:x val="0"/>
                  <c:y val="-4.1941558500433199E-2"/>
                </c:manualLayout>
              </c:layout>
              <c:tx>
                <c:rich>
                  <a:bodyPr wrap="square" lIns="38100" tIns="19050" rIns="38100" bIns="19050" anchor="ctr">
                    <a:spAutoFit/>
                  </a:bodyPr>
                  <a:lstStyle/>
                  <a:p>
                    <a:pPr>
                      <a:defRPr i="1">
                        <a:solidFill>
                          <a:srgbClr val="5F6269"/>
                        </a:solidFill>
                      </a:defRPr>
                    </a:pPr>
                    <a:r>
                      <a:rPr lang="en-US">
                        <a:solidFill>
                          <a:srgbClr val="5F6269"/>
                        </a:solidFill>
                      </a:rPr>
                      <a:t>P34</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3-5529-49B2-985D-C1E7D31CAC80}"/>
                </c:ext>
              </c:extLst>
            </c:dLbl>
            <c:dLbl>
              <c:idx val="6"/>
              <c:layout>
                <c:manualLayout>
                  <c:x val="-1.6260162601626016E-3"/>
                  <c:y val="-4.3969550183516587E-2"/>
                </c:manualLayout>
              </c:layout>
              <c:tx>
                <c:rich>
                  <a:bodyPr/>
                  <a:lstStyle/>
                  <a:p>
                    <a:r>
                      <a:rPr lang="en-US"/>
                      <a:t>P44</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D-5529-49B2-985D-C1E7D31CAC80}"/>
                </c:ext>
              </c:extLst>
            </c:dLbl>
            <c:dLbl>
              <c:idx val="7"/>
              <c:layout>
                <c:manualLayout>
                  <c:x val="-1.6260162601626016E-3"/>
                  <c:y val="-5.0704852567872348E-2"/>
                </c:manualLayout>
              </c:layout>
              <c:tx>
                <c:rich>
                  <a:bodyPr wrap="square" lIns="38100" tIns="19050" rIns="38100" bIns="19050" anchor="ctr">
                    <a:spAutoFit/>
                  </a:bodyPr>
                  <a:lstStyle/>
                  <a:p>
                    <a:pPr>
                      <a:defRPr i="1">
                        <a:solidFill>
                          <a:srgbClr val="00B050"/>
                        </a:solidFill>
                      </a:defRPr>
                    </a:pPr>
                    <a:r>
                      <a:rPr lang="en-US"/>
                      <a:t>P48</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5-5529-49B2-985D-C1E7D31CAC80}"/>
                </c:ext>
              </c:extLst>
            </c:dLbl>
            <c:dLbl>
              <c:idx val="8"/>
              <c:layout>
                <c:manualLayout>
                  <c:x val="0"/>
                  <c:y val="-5.600930118206749E-2"/>
                </c:manualLayout>
              </c:layout>
              <c:tx>
                <c:rich>
                  <a:bodyPr/>
                  <a:lstStyle/>
                  <a:p>
                    <a:r>
                      <a:rPr lang="en-US"/>
                      <a:t>P22</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E-5529-49B2-985D-C1E7D31CAC80}"/>
                </c:ext>
              </c:extLst>
            </c:dLbl>
            <c:dLbl>
              <c:idx val="9"/>
              <c:layout>
                <c:manualLayout>
                  <c:x val="-1.1923981494340677E-16"/>
                  <c:y val="-5.9223556247249676E-2"/>
                </c:manualLayout>
              </c:layout>
              <c:tx>
                <c:strRef>
                  <c:f>'TC Chart'!$L$42</c:f>
                  <c:strCache>
                    <c:ptCount val="1"/>
                    <c:pt idx="0">
                      <c:v>P37</c:v>
                    </c:pt>
                  </c:strCache>
                </c:strRef>
              </c:tx>
              <c:spPr>
                <a:noFill/>
                <a:ln>
                  <a:noFill/>
                </a:ln>
                <a:effectLst/>
              </c:spPr>
              <c:txPr>
                <a:bodyPr wrap="square" lIns="38100" tIns="19050" rIns="38100" bIns="19050" anchor="ctr">
                  <a:spAutoFit/>
                </a:bodyPr>
                <a:lstStyle/>
                <a:p>
                  <a:pPr>
                    <a:defRPr i="1">
                      <a:solidFill>
                        <a:srgbClr val="00B050"/>
                      </a:solidFill>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dlblFTEntry>
                      <c15:txfldGUID>{C12A4021-A73E-41F2-AAAC-D832950B3612}</c15:txfldGUID>
                      <c15:f>'TC Chart'!$L$42</c15:f>
                      <c15:dlblFieldTableCache>
                        <c:ptCount val="1"/>
                        <c:pt idx="0">
                          <c:v>P37</c:v>
                        </c:pt>
                      </c15:dlblFieldTableCache>
                    </c15:dlblFTEntry>
                  </c15:dlblFieldTable>
                  <c15:showDataLabelsRange val="1"/>
                </c:ext>
                <c:ext xmlns:c16="http://schemas.microsoft.com/office/drawing/2014/chart" uri="{C3380CC4-5D6E-409C-BE32-E72D297353CC}">
                  <c16:uniqueId val="{00000017-5529-49B2-985D-C1E7D31CAC80}"/>
                </c:ext>
              </c:extLst>
            </c:dLbl>
            <c:dLbl>
              <c:idx val="10"/>
              <c:layout>
                <c:manualLayout>
                  <c:x val="0"/>
                  <c:y val="-4.4807061408844953E-2"/>
                </c:manualLayout>
              </c:layout>
              <c:tx>
                <c:strRef>
                  <c:f>'TC Chart'!$M$42</c:f>
                  <c:strCache>
                    <c:ptCount val="1"/>
                    <c:pt idx="0">
                      <c:v>P62</c:v>
                    </c:pt>
                  </c:strCache>
                </c:strRef>
              </c:tx>
              <c:dLblPos val="ctr"/>
              <c:showLegendKey val="0"/>
              <c:showVal val="0"/>
              <c:showCatName val="0"/>
              <c:showSerName val="0"/>
              <c:showPercent val="0"/>
              <c:showBubbleSize val="0"/>
              <c:extLst>
                <c:ext xmlns:c15="http://schemas.microsoft.com/office/drawing/2012/chart" uri="{CE6537A1-D6FC-4f65-9D91-7224C49458BB}">
                  <c15:dlblFieldTable>
                    <c15:dlblFTEntry>
                      <c15:txfldGUID>{AB8C7C5B-47D9-43E5-8F26-492FB115149C}</c15:txfldGUID>
                      <c15:f>'TC Chart'!$M$42</c15:f>
                      <c15:dlblFieldTableCache>
                        <c:ptCount val="1"/>
                        <c:pt idx="0">
                          <c:v>P62</c:v>
                        </c:pt>
                      </c15:dlblFieldTableCache>
                    </c15:dlblFTEntry>
                  </c15:dlblFieldTable>
                  <c15:showDataLabelsRange val="1"/>
                </c:ext>
                <c:ext xmlns:c16="http://schemas.microsoft.com/office/drawing/2014/chart" uri="{C3380CC4-5D6E-409C-BE32-E72D297353CC}">
                  <c16:uniqueId val="{0000001F-5529-49B2-985D-C1E7D31CAC80}"/>
                </c:ext>
              </c:extLst>
            </c:dLbl>
            <c:dLbl>
              <c:idx val="11"/>
              <c:layout>
                <c:manualLayout>
                  <c:x val="6.0086166077360293E-8"/>
                  <c:y val="-6.1995107512086395E-2"/>
                </c:manualLayout>
              </c:layout>
              <c:tx>
                <c:rich>
                  <a:bodyPr wrap="square" lIns="38100" tIns="19050" rIns="38100" bIns="19050" anchor="ctr">
                    <a:noAutofit/>
                  </a:bodyPr>
                  <a:lstStyle/>
                  <a:p>
                    <a:pPr>
                      <a:defRPr>
                        <a:solidFill>
                          <a:srgbClr val="5F6269"/>
                        </a:solidFill>
                      </a:defRPr>
                    </a:pPr>
                    <a:fld id="{5A75967D-A3C8-4C36-BA8D-759101E3A247}" type="CELLRANGE">
                      <a:rPr lang="en-US"/>
                      <a:pPr>
                        <a:defRPr>
                          <a:solidFill>
                            <a:srgbClr val="5F6269"/>
                          </a:solidFill>
                        </a:defRPr>
                      </a:pPr>
                      <a:t>[CELLRANGE]</a:t>
                    </a:fld>
                    <a:endParaRPr lang="en-CA"/>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5.3245476142607537E-2"/>
                      <c:h val="4.5681932961891519E-2"/>
                    </c:manualLayout>
                  </c15:layout>
                  <c15:dlblFieldTable/>
                  <c15:showDataLabelsRange val="1"/>
                </c:ext>
                <c:ext xmlns:c16="http://schemas.microsoft.com/office/drawing/2014/chart" uri="{C3380CC4-5D6E-409C-BE32-E72D297353CC}">
                  <c16:uniqueId val="{00000019-5529-49B2-985D-C1E7D31CAC80}"/>
                </c:ext>
              </c:extLst>
            </c:dLbl>
            <c:spPr>
              <a:noFill/>
              <a:ln>
                <a:noFill/>
              </a:ln>
              <a:effectLst/>
            </c:sp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(Donnelly)</c:v>
                  </c:pt>
                  <c:pt idx="10">
                    <c:v>NEO5 (Del Rio)</c:v>
                  </c:pt>
                </c:lvl>
              </c:multiLvlStrCache>
            </c:multiLvlStrRef>
          </c:cat>
          <c:val>
            <c:numRef>
              <c:f>'TC Chart'!$C$39:$N$39</c:f>
              <c:numCache>
                <c:formatCode>"$"#,##0</c:formatCode>
                <c:ptCount val="12"/>
                <c:pt idx="0">
                  <c:v>2136.4105328333335</c:v>
                </c:pt>
                <c:pt idx="1">
                  <c:v>1827.6707614217403</c:v>
                </c:pt>
                <c:pt idx="2">
                  <c:v>600.5217509047925</c:v>
                </c:pt>
                <c:pt idx="3">
                  <c:v>570.91852239022273</c:v>
                </c:pt>
                <c:pt idx="4">
                  <c:v>176.82344552893346</c:v>
                </c:pt>
                <c:pt idx="5">
                  <c:v>334.754447059634</c:v>
                </c:pt>
                <c:pt idx="6">
                  <c:v>429.97397225002237</c:v>
                </c:pt>
                <c:pt idx="7">
                  <c:v>555.21606146536351</c:v>
                </c:pt>
                <c:pt idx="8">
                  <c:v>645.93149016684401</c:v>
                </c:pt>
                <c:pt idx="9">
                  <c:v>770.96623640423195</c:v>
                </c:pt>
                <c:pt idx="10">
                  <c:v>461.58728388546342</c:v>
                </c:pt>
                <c:pt idx="11">
                  <c:v>645.37886321035035</c:v>
                </c:pt>
              </c:numCache>
            </c:numRef>
          </c:val>
          <c:extLst>
            <c:ext xmlns:c15="http://schemas.microsoft.com/office/drawing/2012/chart" uri="{02D57815-91ED-43cb-92C2-25804820EDAC}">
              <c15:datalabelsRange>
                <c15:f>'TC Chart'!$C$42:$N$42</c15:f>
                <c15:dlblRangeCache>
                  <c:ptCount val="12"/>
                  <c:pt idx="0">
                    <c:v>P49</c:v>
                  </c:pt>
                  <c:pt idx="1">
                    <c:v>P50</c:v>
                  </c:pt>
                  <c:pt idx="2">
                    <c:v>P52</c:v>
                  </c:pt>
                  <c:pt idx="3">
                    <c:v>P62</c:v>
                  </c:pt>
                  <c:pt idx="4">
                    <c:v>P34</c:v>
                  </c:pt>
                  <c:pt idx="5">
                    <c:v>P34</c:v>
                  </c:pt>
                  <c:pt idx="6">
                    <c:v>P44</c:v>
                  </c:pt>
                  <c:pt idx="7">
                    <c:v>P48</c:v>
                  </c:pt>
                  <c:pt idx="8">
                    <c:v>P22</c:v>
                  </c:pt>
                  <c:pt idx="9">
                    <c:v>P37</c:v>
                  </c:pt>
                  <c:pt idx="10">
                    <c:v>P62</c:v>
                  </c:pt>
                  <c:pt idx="11">
                    <c:v>P62</c:v>
                  </c:pt>
                </c15:dlblRangeCache>
              </c15:datalabelsRange>
            </c:ext>
            <c:ext xmlns:c16="http://schemas.microsoft.com/office/drawing/2014/chart" uri="{C3380CC4-5D6E-409C-BE32-E72D297353CC}">
              <c16:uniqueId val="{00000020-5529-49B2-985D-C1E7D31CAC80}"/>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4"/>
          <c:order val="0"/>
          <c:tx>
            <c:strRef>
              <c:f>'TC Chart'!$B$40</c:f>
              <c:strCache>
                <c:ptCount val="1"/>
                <c:pt idx="0">
                  <c:v>Average</c:v>
                </c:pt>
              </c:strCache>
            </c:strRef>
          </c:tx>
          <c:spPr>
            <a:ln w="28575">
              <a:noFill/>
            </a:ln>
          </c:spPr>
          <c:marker>
            <c:symbol val="dash"/>
            <c:size val="15"/>
            <c:spPr>
              <a:solidFill>
                <a:srgbClr val="AFABAB"/>
              </a:solidFill>
              <a:ln>
                <a:solidFill>
                  <a:srgbClr val="AFABAB"/>
                </a:solidFill>
              </a:ln>
            </c:spPr>
          </c:marker>
          <c:yVal>
            <c:numRef>
              <c:f>'TC Chart'!$C$40:$N$40</c:f>
              <c:numCache>
                <c:formatCode>"$"#,##0</c:formatCode>
                <c:ptCount val="12"/>
                <c:pt idx="0">
                  <c:v>5748.5394797901872</c:v>
                </c:pt>
                <c:pt idx="1">
                  <c:v>5997.4396654028842</c:v>
                </c:pt>
                <c:pt idx="2">
                  <c:v>2155.0188331924646</c:v>
                </c:pt>
                <c:pt idx="3">
                  <c:v>2247.7604954460353</c:v>
                </c:pt>
                <c:pt idx="4">
                  <c:v>2516.0841360159611</c:v>
                </c:pt>
                <c:pt idx="5">
                  <c:v>2629.0557957934611</c:v>
                </c:pt>
                <c:pt idx="6">
                  <c:v>1913.374464891853</c:v>
                </c:pt>
                <c:pt idx="7">
                  <c:v>2059.2209540431031</c:v>
                </c:pt>
                <c:pt idx="8">
                  <c:v>2081.9385066605696</c:v>
                </c:pt>
                <c:pt idx="9">
                  <c:v>2191.7691142285894</c:v>
                </c:pt>
                <c:pt idx="10">
                  <c:v>1761.9856810713468</c:v>
                </c:pt>
                <c:pt idx="11">
                  <c:v>1856.3996225099183</c:v>
                </c:pt>
              </c:numCache>
            </c:numRef>
          </c:yVal>
          <c:smooth val="0"/>
          <c:extLst>
            <c:ext xmlns:c16="http://schemas.microsoft.com/office/drawing/2014/chart" uri="{C3380CC4-5D6E-409C-BE32-E72D297353CC}">
              <c16:uniqueId val="{00000028-5529-49B2-985D-C1E7D31CAC80}"/>
            </c:ext>
          </c:extLst>
        </c:ser>
        <c:ser>
          <c:idx val="3"/>
          <c:order val="4"/>
          <c:tx>
            <c:strRef>
              <c:f>'TC Chart'!$B$41</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1"/>
            <c:marker>
              <c:spPr>
                <a:solidFill>
                  <a:sysClr val="window" lastClr="FFFFFF"/>
                </a:solidFill>
                <a:ln>
                  <a:solidFill>
                    <a:srgbClr val="F0531E"/>
                  </a:solidFill>
                </a:ln>
              </c:spPr>
            </c:marker>
            <c:bubble3D val="0"/>
            <c:extLst>
              <c:ext xmlns:c16="http://schemas.microsoft.com/office/drawing/2014/chart" uri="{C3380CC4-5D6E-409C-BE32-E72D297353CC}">
                <c16:uniqueId val="{00000021-5529-49B2-985D-C1E7D31CAC80}"/>
              </c:ext>
            </c:extLst>
          </c:dPt>
          <c:dPt>
            <c:idx val="3"/>
            <c:marker>
              <c:spPr>
                <a:solidFill>
                  <a:sysClr val="window" lastClr="FFFFFF"/>
                </a:solidFill>
                <a:ln>
                  <a:solidFill>
                    <a:srgbClr val="F0531E"/>
                  </a:solidFill>
                </a:ln>
              </c:spPr>
            </c:marker>
            <c:bubble3D val="0"/>
            <c:extLst>
              <c:ext xmlns:c16="http://schemas.microsoft.com/office/drawing/2014/chart" uri="{C3380CC4-5D6E-409C-BE32-E72D297353CC}">
                <c16:uniqueId val="{00000022-5529-49B2-985D-C1E7D31CAC80}"/>
              </c:ext>
            </c:extLst>
          </c:dPt>
          <c:dPt>
            <c:idx val="5"/>
            <c:marker>
              <c:spPr>
                <a:solidFill>
                  <a:sysClr val="window" lastClr="FFFFFF"/>
                </a:solidFill>
                <a:ln>
                  <a:solidFill>
                    <a:srgbClr val="F0531E"/>
                  </a:solidFill>
                </a:ln>
              </c:spPr>
            </c:marker>
            <c:bubble3D val="0"/>
            <c:extLst>
              <c:ext xmlns:c16="http://schemas.microsoft.com/office/drawing/2014/chart" uri="{C3380CC4-5D6E-409C-BE32-E72D297353CC}">
                <c16:uniqueId val="{00000023-5529-49B2-985D-C1E7D31CAC80}"/>
              </c:ext>
            </c:extLst>
          </c:dPt>
          <c:dPt>
            <c:idx val="7"/>
            <c:marker>
              <c:spPr>
                <a:solidFill>
                  <a:sysClr val="window" lastClr="FFFFFF"/>
                </a:solidFill>
                <a:ln>
                  <a:solidFill>
                    <a:srgbClr val="F0531E"/>
                  </a:solidFill>
                </a:ln>
              </c:spPr>
            </c:marker>
            <c:bubble3D val="0"/>
            <c:extLst>
              <c:ext xmlns:c16="http://schemas.microsoft.com/office/drawing/2014/chart" uri="{C3380CC4-5D6E-409C-BE32-E72D297353CC}">
                <c16:uniqueId val="{00000024-5529-49B2-985D-C1E7D31CAC80}"/>
              </c:ext>
            </c:extLst>
          </c:dPt>
          <c:dPt>
            <c:idx val="9"/>
            <c:marker>
              <c:spPr>
                <a:solidFill>
                  <a:sysClr val="window" lastClr="FFFFFF"/>
                </a:solidFill>
                <a:ln>
                  <a:solidFill>
                    <a:srgbClr val="F0531E"/>
                  </a:solidFill>
                </a:ln>
              </c:spPr>
            </c:marker>
            <c:bubble3D val="0"/>
            <c:extLst>
              <c:ext xmlns:c16="http://schemas.microsoft.com/office/drawing/2014/chart" uri="{C3380CC4-5D6E-409C-BE32-E72D297353CC}">
                <c16:uniqueId val="{00000025-5529-49B2-985D-C1E7D31CAC80}"/>
              </c:ext>
            </c:extLst>
          </c:dPt>
          <c:dPt>
            <c:idx val="11"/>
            <c:marker>
              <c:spPr>
                <a:solidFill>
                  <a:sysClr val="window" lastClr="FFFFFF"/>
                </a:solidFill>
                <a:ln>
                  <a:solidFill>
                    <a:srgbClr val="F0531E"/>
                  </a:solidFill>
                </a:ln>
              </c:spPr>
            </c:marker>
            <c:bubble3D val="0"/>
            <c:extLst>
              <c:ext xmlns:c16="http://schemas.microsoft.com/office/drawing/2014/chart" uri="{C3380CC4-5D6E-409C-BE32-E72D297353CC}">
                <c16:uniqueId val="{00000026-5529-49B2-985D-C1E7D31CAC80}"/>
              </c:ext>
            </c:extLst>
          </c:dPt>
          <c:yVal>
            <c:numRef>
              <c:f>'TC Chart'!$C$41:$N$41</c:f>
              <c:numCache>
                <c:formatCode>"$"#,##0</c:formatCode>
                <c:ptCount val="12"/>
                <c:pt idx="0">
                  <c:v>5080.4962500000001</c:v>
                </c:pt>
                <c:pt idx="1">
                  <c:v>5457.5722500000002</c:v>
                </c:pt>
                <c:pt idx="2">
                  <c:v>2065.2516000000001</c:v>
                </c:pt>
                <c:pt idx="3">
                  <c:v>2300.9745999999996</c:v>
                </c:pt>
                <c:pt idx="4">
                  <c:v>2343.6</c:v>
                </c:pt>
                <c:pt idx="5">
                  <c:v>2503.127</c:v>
                </c:pt>
                <c:pt idx="6">
                  <c:v>1630.39175</c:v>
                </c:pt>
                <c:pt idx="7">
                  <c:v>1837.9277500000001</c:v>
                </c:pt>
                <c:pt idx="8">
                  <c:v>1630.39175</c:v>
                </c:pt>
                <c:pt idx="9">
                  <c:v>1837.9277500000001</c:v>
                </c:pt>
                <c:pt idx="10">
                  <c:v>1698.922012984</c:v>
                </c:pt>
                <c:pt idx="11">
                  <c:v>1818.9596503340001</c:v>
                </c:pt>
              </c:numCache>
            </c:numRef>
          </c:yVal>
          <c:smooth val="0"/>
          <c:extLst>
            <c:ext xmlns:c16="http://schemas.microsoft.com/office/drawing/2014/chart" uri="{C3380CC4-5D6E-409C-BE32-E72D297353CC}">
              <c16:uniqueId val="{00000027-5529-49B2-985D-C1E7D31CAC80}"/>
            </c:ext>
          </c:extLst>
        </c:ser>
        <c:ser>
          <c:idx val="8"/>
          <c:order val="7"/>
          <c:tx>
            <c:strRef>
              <c:f>'TC Chart'!$B$52</c:f>
              <c:strCache>
                <c:ptCount val="1"/>
                <c:pt idx="0">
                  <c:v>Company 4</c:v>
                </c:pt>
              </c:strCache>
            </c:strRef>
          </c:tx>
          <c:spPr>
            <a:ln w="28575">
              <a:noFill/>
            </a:ln>
          </c:spPr>
          <c:xVal>
            <c:strRef>
              <c:f>'TC Chart'!$C$26:$N$26</c:f>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f>'TC Chart'!$C$52:$N$52</c:f>
              <c:numCache>
                <c:formatCode>General</c:formatCode>
                <c:ptCount val="12"/>
              </c:numCache>
            </c:numRef>
          </c:yVal>
          <c:smooth val="0"/>
          <c:extLst>
            <c:ext xmlns:c16="http://schemas.microsoft.com/office/drawing/2014/chart" uri="{C3380CC4-5D6E-409C-BE32-E72D297353CC}">
              <c16:uniqueId val="{0000002A-5529-49B2-985D-C1E7D31CAC80}"/>
            </c:ext>
          </c:extLst>
        </c:ser>
        <c:dLbls>
          <c:showLegendKey val="0"/>
          <c:showVal val="0"/>
          <c:showCatName val="0"/>
          <c:showSerName val="0"/>
          <c:showPercent val="0"/>
          <c:showBubbleSize val="0"/>
        </c:dLbls>
        <c:axId val="721418768"/>
        <c:axId val="721418376"/>
        <c:extLst>
          <c:ext xmlns:c15="http://schemas.microsoft.com/office/drawing/2012/chart" uri="{02D57815-91ED-43cb-92C2-25804820EDAC}">
            <c15:filteredScatterSeries>
              <c15:ser>
                <c:idx val="5"/>
                <c:order val="5"/>
                <c:tx>
                  <c:strRef>
                    <c:extLst>
                      <c:ext uri="{02D57815-91ED-43cb-92C2-25804820EDAC}">
                        <c15:formulaRef>
                          <c15:sqref>'TC Chart'!$B$49</c15:sqref>
                        </c15:formulaRef>
                      </c:ext>
                    </c:extLst>
                    <c:strCache>
                      <c:ptCount val="1"/>
                      <c:pt idx="0">
                        <c:v>SVP, Canada</c:v>
                      </c:pt>
                    </c:strCache>
                  </c:strRef>
                </c:tx>
                <c:spPr>
                  <a:ln w="28575">
                    <a:noFill/>
                  </a:ln>
                </c:spPr>
                <c:xVal>
                  <c:strRef>
                    <c:extLst>
                      <c:ex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c:ext uri="{02D57815-91ED-43cb-92C2-25804820EDAC}">
                        <c15:formulaRef>
                          <c15:sqref>'TC Chart'!$C$49:$N$49</c15:sqref>
                        </c15:formulaRef>
                      </c:ext>
                    </c:extLst>
                    <c:numCache>
                      <c:formatCode>General</c:formatCode>
                      <c:ptCount val="12"/>
                      <c:pt idx="10" formatCode="0.00">
                        <c:v>10.8</c:v>
                      </c:pt>
                      <c:pt idx="11" formatCode="0.00">
                        <c:v>11.8</c:v>
                      </c:pt>
                    </c:numCache>
                  </c:numRef>
                </c:yVal>
                <c:smooth val="0"/>
                <c:extLst>
                  <c:ext xmlns:c16="http://schemas.microsoft.com/office/drawing/2014/chart" uri="{C3380CC4-5D6E-409C-BE32-E72D297353CC}">
                    <c16:uniqueId val="{00000039-5529-49B2-985D-C1E7D31CAC80}"/>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'TC Chart'!$B$50</c15:sqref>
                        </c15:formulaRef>
                      </c:ext>
                    </c:extLst>
                    <c:strCache>
                      <c:ptCount val="1"/>
                      <c:pt idx="0">
                        <c:v>SVP, Exploration and Technical Services</c:v>
                      </c:pt>
                    </c:strCache>
                  </c:strRef>
                </c:tx>
                <c:spPr>
                  <a:ln w="28575">
                    <a:noFill/>
                  </a:ln>
                </c:spPr>
                <c:xVal>
                  <c:strRef>
                    <c:extLst xmlns:c15="http://schemas.microsoft.com/office/drawing/2012/chart">
                      <c:ext xmlns:c15="http://schemas.microsoft.com/office/drawing/2012/char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yVal>
                <c:smooth val="0"/>
                <c:extLst xmlns:c15="http://schemas.microsoft.com/office/drawing/2012/chart">
                  <c:ext xmlns:c16="http://schemas.microsoft.com/office/drawing/2014/chart" uri="{C3380CC4-5D6E-409C-BE32-E72D297353CC}">
                    <c16:uniqueId val="{0000003A-5529-49B2-985D-C1E7D31CAC80}"/>
                  </c:ext>
                </c:extLst>
              </c15:ser>
            </c15:filteredScatterSeries>
            <c15:filteredScatterSeries>
              <c15:ser>
                <c:idx val="9"/>
                <c:order val="8"/>
                <c:tx>
                  <c:strRef>
                    <c:extLst xmlns:c15="http://schemas.microsoft.com/office/drawing/2012/chart">
                      <c:ext xmlns:c15="http://schemas.microsoft.com/office/drawing/2012/chart" uri="{02D57815-91ED-43cb-92C2-25804820EDAC}">
                        <c15:formulaRef>
                          <c15:sqref>'TC Chart'!$B$33</c15:sqref>
                        </c15:formulaRef>
                      </c:ext>
                    </c:extLst>
                    <c:strCache>
                      <c:ptCount val="1"/>
                      <c:pt idx="0">
                        <c:v>SVP, Canada</c:v>
                      </c:pt>
                    </c:strCache>
                  </c:strRef>
                </c:tx>
                <c:spPr>
                  <a:ln w="28575">
                    <a:noFill/>
                  </a:ln>
                </c:spPr>
                <c:marker>
                  <c:symbol val="diamond"/>
                  <c:size val="11"/>
                  <c:spPr>
                    <a:ln>
                      <a:noFill/>
                    </a:ln>
                  </c:spPr>
                </c:marker>
                <c:dLbls>
                  <c:dLbl>
                    <c:idx val="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5529-49B2-985D-C1E7D31CAC80}"/>
                      </c:ext>
                    </c:extLst>
                  </c:dLbl>
                  <c:dLbl>
                    <c:idx val="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5529-49B2-985D-C1E7D31CAC80}"/>
                      </c:ext>
                    </c:extLst>
                  </c:dLbl>
                  <c:dLbl>
                    <c:idx val="2"/>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5529-49B2-985D-C1E7D31CAC80}"/>
                      </c:ext>
                    </c:extLst>
                  </c:dLbl>
                  <c:dLbl>
                    <c:idx val="3"/>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5529-49B2-985D-C1E7D31CAC80}"/>
                      </c:ext>
                    </c:extLst>
                  </c:dLbl>
                  <c:dLbl>
                    <c:idx val="4"/>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5529-49B2-985D-C1E7D31CAC80}"/>
                      </c:ext>
                    </c:extLst>
                  </c:dLbl>
                  <c:dLbl>
                    <c:idx val="5"/>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5529-49B2-985D-C1E7D31CAC80}"/>
                      </c:ext>
                    </c:extLst>
                  </c:dLbl>
                  <c:dLbl>
                    <c:idx val="6"/>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5529-49B2-985D-C1E7D31CAC80}"/>
                      </c:ext>
                    </c:extLst>
                  </c:dLbl>
                  <c:dLbl>
                    <c:idx val="7"/>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5529-49B2-985D-C1E7D31CAC80}"/>
                      </c:ext>
                    </c:extLst>
                  </c:dLbl>
                  <c:dLbl>
                    <c:idx val="8"/>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5529-49B2-985D-C1E7D31CAC80}"/>
                      </c:ext>
                    </c:extLst>
                  </c:dLbl>
                  <c:dLbl>
                    <c:idx val="9"/>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5529-49B2-985D-C1E7D31CAC80}"/>
                      </c:ext>
                    </c:extLst>
                  </c:dLbl>
                  <c:dLbl>
                    <c:idx val="1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5529-49B2-985D-C1E7D31CAC80}"/>
                      </c:ext>
                    </c:extLst>
                  </c:dLbl>
                  <c:dLbl>
                    <c:idx val="1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5529-49B2-985D-C1E7D31CAC80}"/>
                      </c:ext>
                    </c:extLst>
                  </c:dLbl>
                  <c:spPr>
                    <a:noFill/>
                    <a:ln>
                      <a:noFill/>
                    </a:ln>
                    <a:effectLst/>
                  </c:spPr>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xVal>
                  <c:numRef>
                    <c:extLst xmlns:c15="http://schemas.microsoft.com/office/drawing/2012/chart">
                      <c:ext xmlns:c15="http://schemas.microsoft.com/office/drawing/2012/chart" uri="{02D57815-91ED-43cb-92C2-25804820EDAC}">
                        <c15:formulaRef>
                          <c15:sqref>'TC Chart'!$C$49:$N$49</c15:sqref>
                        </c15:formulaRef>
                      </c:ext>
                    </c:extLst>
                    <c:numCache>
                      <c:formatCode>General</c:formatCode>
                      <c:ptCount val="12"/>
                      <c:pt idx="10" formatCode="0.00">
                        <c:v>10.8</c:v>
                      </c:pt>
                      <c:pt idx="11" formatCode="0.00">
                        <c:v>11.8</c:v>
                      </c:pt>
                    </c:numCache>
                  </c:numRef>
                </c:xVal>
                <c:yVal>
                  <c:numRef>
                    <c:extLst xmlns:c15="http://schemas.microsoft.com/office/drawing/2012/chart">
                      <c:ext xmlns:c15="http://schemas.microsoft.com/office/drawing/2012/chart" uri="{02D57815-91ED-43cb-92C2-25804820EDAC}">
                        <c15:formulaRef>
                          <c15:sqref>'TC Chart'!$C$33:$N$33</c15:sqref>
                        </c15:formulaRef>
                      </c:ext>
                    </c:extLst>
                    <c:numCache>
                      <c:formatCode>"$"#,##0</c:formatCode>
                      <c:ptCount val="12"/>
                      <c:pt idx="10">
                        <c:v>1304.3800000000001</c:v>
                      </c:pt>
                    </c:numCache>
                  </c:numRef>
                </c:yVal>
                <c:smooth val="0"/>
                <c:extLst xmlns:c15="http://schemas.microsoft.com/office/drawing/2012/chart">
                  <c:ext xmlns:c15="http://schemas.microsoft.com/office/drawing/2012/chart" uri="{02D57815-91ED-43cb-92C2-25804820EDAC}">
                    <c15:datalabelsRange>
                      <c15:f>'TC Chart'!$M$43</c15:f>
                      <c15:dlblRangeCache>
                        <c:ptCount val="1"/>
                        <c:pt idx="0">
                          <c:v>P01</c:v>
                        </c:pt>
                      </c15:dlblRangeCache>
                    </c15:datalabelsRange>
                  </c:ext>
                  <c:ext xmlns:c16="http://schemas.microsoft.com/office/drawing/2014/chart" uri="{C3380CC4-5D6E-409C-BE32-E72D297353CC}">
                    <c16:uniqueId val="{00000037-5529-49B2-985D-C1E7D31CAC80}"/>
                  </c:ext>
                </c:extLst>
              </c15:ser>
            </c15:filteredScatterSeries>
            <c15:filteredScatterSeries>
              <c15:ser>
                <c:idx val="10"/>
                <c:order val="9"/>
                <c:tx>
                  <c:strRef>
                    <c:extLst xmlns:c15="http://schemas.microsoft.com/office/drawing/2012/chart">
                      <c:ext xmlns:c15="http://schemas.microsoft.com/office/drawing/2012/chart" uri="{02D57815-91ED-43cb-92C2-25804820EDAC}">
                        <c15:formulaRef>
                          <c15:sqref>'TC Chart'!$B$34</c15:sqref>
                        </c15:formulaRef>
                      </c:ext>
                    </c:extLst>
                    <c:strCache>
                      <c:ptCount val="1"/>
                      <c:pt idx="0">
                        <c:v>SVP, Exploration and Technical Services</c:v>
                      </c:pt>
                    </c:strCache>
                  </c:strRef>
                </c:tx>
                <c:spPr>
                  <a:ln w="28575">
                    <a:noFill/>
                  </a:ln>
                </c:spPr>
                <c:marker>
                  <c:symbol val="diamond"/>
                  <c:size val="11"/>
                  <c:spPr>
                    <a:ln>
                      <a:noFill/>
                    </a:ln>
                  </c:spPr>
                </c:marker>
                <c:x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xVal>
                <c:yVal>
                  <c:numRef>
                    <c:extLst xmlns:c15="http://schemas.microsoft.com/office/drawing/2012/chart">
                      <c:ext xmlns:c15="http://schemas.microsoft.com/office/drawing/2012/chart" uri="{02D57815-91ED-43cb-92C2-25804820EDAC}">
                        <c15:formulaRef>
                          <c15:sqref>'TC Chart'!$C$34:$N$34</c15:sqref>
                        </c15:formulaRef>
                      </c:ext>
                    </c:extLst>
                    <c:numCache>
                      <c:formatCode>"$"#,##0</c:formatCode>
                      <c:ptCount val="12"/>
                      <c:pt idx="10">
                        <c:v>1269.8</c:v>
                      </c:pt>
                    </c:numCache>
                  </c:numRef>
                </c:yVal>
                <c:smooth val="0"/>
                <c:extLst xmlns:c15="http://schemas.microsoft.com/office/drawing/2012/chart">
                  <c:ext xmlns:c16="http://schemas.microsoft.com/office/drawing/2014/chart" uri="{C3380CC4-5D6E-409C-BE32-E72D297353CC}">
                    <c16:uniqueId val="{00000038-5529-49B2-985D-C1E7D31CAC80}"/>
                  </c:ext>
                </c:extLst>
              </c15:ser>
            </c15:filteredScatterSeries>
          </c:ext>
        </c:extLst>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Total Assets &amp; Actual TDC</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CEO!$AU$7</c:f>
              <c:strCache>
                <c:ptCount val="1"/>
                <c:pt idx="0">
                  <c:v>Actual TDC</c:v>
                </c:pt>
              </c:strCache>
            </c:strRef>
          </c:tx>
          <c:spPr>
            <a:ln w="28575" cap="rnd">
              <a:noFill/>
              <a:round/>
            </a:ln>
            <a:effectLst/>
          </c:spPr>
          <c:marker>
            <c:symbol val="circle"/>
            <c:size val="5"/>
            <c:spPr>
              <a:solidFill>
                <a:schemeClr val="accent1"/>
              </a:solidFill>
              <a:ln w="9525">
                <a:noFill/>
              </a:ln>
              <a:effectLst/>
            </c:spPr>
          </c:marker>
          <c:dPt>
            <c:idx val="1"/>
            <c:marker>
              <c:symbol val="circle"/>
              <c:size val="5"/>
              <c:spPr>
                <a:solidFill>
                  <a:schemeClr val="accent2"/>
                </a:solidFill>
                <a:ln w="9525">
                  <a:noFill/>
                </a:ln>
                <a:effectLst/>
              </c:spPr>
            </c:marker>
            <c:bubble3D val="0"/>
            <c:extLst>
              <c:ext xmlns:c16="http://schemas.microsoft.com/office/drawing/2014/chart" uri="{C3380CC4-5D6E-409C-BE32-E72D297353CC}">
                <c16:uniqueId val="{00000002-C90F-433E-9630-4993ADD7ED7A}"/>
              </c:ext>
            </c:extLst>
          </c:dPt>
          <c:dPt>
            <c:idx val="4"/>
            <c:marker>
              <c:symbol val="circle"/>
              <c:size val="5"/>
              <c:spPr>
                <a:solidFill>
                  <a:srgbClr val="002957"/>
                </a:solidFill>
                <a:ln w="9525">
                  <a:noFill/>
                </a:ln>
                <a:effectLst/>
              </c:spPr>
            </c:marker>
            <c:bubble3D val="0"/>
            <c:extLst>
              <c:ext xmlns:c16="http://schemas.microsoft.com/office/drawing/2014/chart" uri="{C3380CC4-5D6E-409C-BE32-E72D297353CC}">
                <c16:uniqueId val="{00000004-C90F-433E-9630-4993ADD7ED7A}"/>
              </c:ext>
            </c:extLst>
          </c:dPt>
          <c:dPt>
            <c:idx val="12"/>
            <c:marker>
              <c:symbol val="circle"/>
              <c:size val="5"/>
              <c:spPr>
                <a:solidFill>
                  <a:srgbClr val="002957"/>
                </a:solidFill>
                <a:ln w="9525">
                  <a:noFill/>
                </a:ln>
                <a:effectLst/>
              </c:spPr>
            </c:marker>
            <c:bubble3D val="0"/>
            <c:extLst>
              <c:ext xmlns:c16="http://schemas.microsoft.com/office/drawing/2014/chart" uri="{C3380CC4-5D6E-409C-BE32-E72D297353CC}">
                <c16:uniqueId val="{00000003-C90F-433E-9630-4993ADD7ED7A}"/>
              </c:ext>
            </c:extLst>
          </c:dPt>
          <c:dPt>
            <c:idx val="25"/>
            <c:marker>
              <c:symbol val="diamond"/>
              <c:size val="9"/>
              <c:spPr>
                <a:solidFill>
                  <a:srgbClr val="00B050"/>
                </a:solidFill>
                <a:ln w="9525">
                  <a:noFill/>
                </a:ln>
                <a:effectLst/>
              </c:spPr>
            </c:marker>
            <c:bubble3D val="0"/>
            <c:extLst>
              <c:ext xmlns:c16="http://schemas.microsoft.com/office/drawing/2014/chart" uri="{C3380CC4-5D6E-409C-BE32-E72D297353CC}">
                <c16:uniqueId val="{00000006-C90F-433E-9630-4993ADD7ED7A}"/>
              </c:ext>
            </c:extLst>
          </c:dPt>
          <c:dLbls>
            <c:dLbl>
              <c:idx val="1"/>
              <c:layout>
                <c:manualLayout>
                  <c:x val="-8.8623230111039078E-2"/>
                  <c:y val="-7.203761615106169E-2"/>
                </c:manualLayout>
              </c:layout>
              <c:tx>
                <c:strRef>
                  <c:f>CEO!$B$9</c:f>
                  <c:strCache>
                    <c:ptCount val="1"/>
                    <c:pt idx="0">
                      <c:v>TSX:LUN</c:v>
                    </c:pt>
                  </c:strCache>
                </c:strRef>
              </c:tx>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20490306132961802"/>
                      <c:h val="8.2085308056872044E-2"/>
                    </c:manualLayout>
                  </c15:layout>
                  <c15:dlblFieldTable>
                    <c15:dlblFTEntry>
                      <c15:txfldGUID>{212A018B-E33C-43CA-86F4-5AA98C37A92E}</c15:txfldGUID>
                      <c15:f>CEO!$B$9</c15:f>
                      <c15:dlblFieldTableCache>
                        <c:ptCount val="1"/>
                        <c:pt idx="0">
                          <c:v>TSX:LUN</c:v>
                        </c:pt>
                      </c15:dlblFieldTableCache>
                    </c15:dlblFTEntry>
                  </c15:dlblFieldTable>
                  <c15:showDataLabelsRange val="0"/>
                </c:ext>
                <c:ext xmlns:c16="http://schemas.microsoft.com/office/drawing/2014/chart" uri="{C3380CC4-5D6E-409C-BE32-E72D297353CC}">
                  <c16:uniqueId val="{00000002-C90F-433E-9630-4993ADD7ED7A}"/>
                </c:ext>
              </c:extLst>
            </c:dLbl>
            <c:dLbl>
              <c:idx val="4"/>
              <c:layout>
                <c:manualLayout>
                  <c:x val="-1.0754184464465607E-2"/>
                  <c:y val="6.0663507109004741E-2"/>
                </c:manualLayout>
              </c:layout>
              <c:tx>
                <c:strRef>
                  <c:f>CEO!$B$12</c:f>
                  <c:strCache>
                    <c:ptCount val="1"/>
                    <c:pt idx="0">
                      <c:v>TSX:CS</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{8C69F592-8BDF-430E-BBC4-A453E68FFF35}</c15:txfldGUID>
                      <c15:f>CEO!$B$12</c15:f>
                      <c15:dlblFieldTableCache>
                        <c:ptCount val="1"/>
                        <c:pt idx="0">
                          <c:v>TSX:CS</c:v>
                        </c:pt>
                      </c15:dlblFieldTableCache>
                    </c15:dlblFTEntry>
                  </c15:dlblFieldTable>
                  <c15:showDataLabelsRange val="0"/>
                </c:ext>
                <c:ext xmlns:c16="http://schemas.microsoft.com/office/drawing/2014/chart" uri="{C3380CC4-5D6E-409C-BE32-E72D297353CC}">
                  <c16:uniqueId val="{00000004-C90F-433E-9630-4993ADD7ED7A}"/>
                </c:ext>
              </c:extLst>
            </c:dLbl>
            <c:dLbl>
              <c:idx val="12"/>
              <c:layout>
                <c:manualLayout>
                  <c:x val="-8.9618203870546712E-2"/>
                  <c:y val="0.13270142180094788"/>
                </c:manualLayout>
              </c:layout>
              <c:tx>
                <c:strRef>
                  <c:f>CEO!$B$20</c:f>
                  <c:strCache>
                    <c:ptCount val="1"/>
                    <c:pt idx="0">
                      <c:v>TSX:ERO</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{E2AB7861-E884-471D-AADC-642878D4328E}</c15:txfldGUID>
                      <c15:f>CEO!$B$20</c15:f>
                      <c15:dlblFieldTableCache>
                        <c:ptCount val="1"/>
                        <c:pt idx="0">
                          <c:v>TSX:ERO</c:v>
                        </c:pt>
                      </c15:dlblFieldTableCache>
                    </c15:dlblFTEntry>
                  </c15:dlblFieldTable>
                  <c15:showDataLabelsRange val="0"/>
                </c:ext>
                <c:ext xmlns:c16="http://schemas.microsoft.com/office/drawing/2014/chart" uri="{C3380CC4-5D6E-409C-BE32-E72D297353CC}">
                  <c16:uniqueId val="{00000003-C90F-433E-9630-4993ADD7ED7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CEO!$AT$8:$AT$39</c:f>
              <c:numCache>
                <c:formatCode>"$"#,##0</c:formatCode>
                <c:ptCount val="26"/>
                <c:pt idx="0">
                  <c:v>15.63447272</c:v>
                </c:pt>
                <c:pt idx="1">
                  <c:v>13.46293483</c:v>
                </c:pt>
                <c:pt idx="2">
                  <c:v>7.5536022200000001</c:v>
                </c:pt>
                <c:pt idx="3">
                  <c:v>10.03855514</c:v>
                </c:pt>
                <c:pt idx="4">
                  <c:v>9.0174972600000007</c:v>
                </c:pt>
                <c:pt idx="5">
                  <c:v>7.2652822200000005</c:v>
                </c:pt>
                <c:pt idx="6">
                  <c:v>7.2371430600000002</c:v>
                </c:pt>
                <c:pt idx="7">
                  <c:v>4.5134969099999998</c:v>
                </c:pt>
                <c:pt idx="8">
                  <c:v>3.35727778</c:v>
                </c:pt>
                <c:pt idx="9">
                  <c:v>8.5975388600000002</c:v>
                </c:pt>
                <c:pt idx="10">
                  <c:v>7.9047648099999996</c:v>
                </c:pt>
                <c:pt idx="11">
                  <c:v>3.7943949099999998</c:v>
                </c:pt>
                <c:pt idx="12">
                  <c:v>2.4173204699999999</c:v>
                </c:pt>
                <c:pt idx="13">
                  <c:v>3.1604905100000003</c:v>
                </c:pt>
                <c:pt idx="25">
                  <c:v>7.6766224000000003</c:v>
                </c:pt>
              </c:numCache>
            </c:numRef>
          </c:xVal>
          <c:yVal>
            <c:numRef>
              <c:f>CEO!$AU$8:$AU$39</c:f>
              <c:numCache>
                <c:formatCode>"$"#,##0</c:formatCode>
                <c:ptCount val="26"/>
                <c:pt idx="0">
                  <c:v>9.3448457655300015</c:v>
                </c:pt>
                <c:pt idx="1">
                  <c:v>5.3665489181399995</c:v>
                </c:pt>
                <c:pt idx="2">
                  <c:v>6.0130529450700001</c:v>
                </c:pt>
                <c:pt idx="3">
                  <c:v>7.7379300000000004</c:v>
                </c:pt>
                <c:pt idx="4">
                  <c:v>4.2787199999999999</c:v>
                </c:pt>
                <c:pt idx="5">
                  <c:v>4.4689359999999994</c:v>
                </c:pt>
                <c:pt idx="6">
                  <c:v>5.4435000000000002</c:v>
                </c:pt>
                <c:pt idx="7">
                  <c:v>2.3913823133129632</c:v>
                </c:pt>
                <c:pt idx="8">
                  <c:v>4.3341499999999993</c:v>
                </c:pt>
                <c:pt idx="9">
                  <c:v>4.858441</c:v>
                </c:pt>
                <c:pt idx="10">
                  <c:v>6.9715743085300002</c:v>
                </c:pt>
                <c:pt idx="11">
                  <c:v>5.3059531812600005</c:v>
                </c:pt>
                <c:pt idx="12">
                  <c:v>3.2065526740300001</c:v>
                </c:pt>
                <c:pt idx="13">
                  <c:v>3.5306250000000006</c:v>
                </c:pt>
                <c:pt idx="25">
                  <c:v>5.1924710000000003</c:v>
                </c:pt>
              </c:numCache>
            </c:numRef>
          </c:yVal>
          <c:smooth val="0"/>
          <c:extLst>
            <c:ext xmlns:c16="http://schemas.microsoft.com/office/drawing/2014/chart" uri="{C3380CC4-5D6E-409C-BE32-E72D297353CC}">
              <c16:uniqueId val="{00000000-C90F-433E-9630-4993ADD7ED7A}"/>
            </c:ext>
          </c:extLst>
        </c:ser>
        <c:dLbls>
          <c:showLegendKey val="0"/>
          <c:showVal val="0"/>
          <c:showCatName val="0"/>
          <c:showSerName val="0"/>
          <c:showPercent val="0"/>
          <c:showBubbleSize val="0"/>
        </c:dLbls>
        <c:axId val="1058931631"/>
        <c:axId val="1058920591"/>
      </c:scatterChart>
      <c:valAx>
        <c:axId val="1058931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CA"/>
                  <a:t>Total Assets ($ M)</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8920591"/>
        <c:crosses val="autoZero"/>
        <c:crossBetween val="midCat"/>
      </c:valAx>
      <c:valAx>
        <c:axId val="1058920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CA"/>
                  <a:t>Actual TDC ($ M)</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8931631"/>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Total Assets &amp; Target TDC</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CEO!$AV$7</c:f>
              <c:strCache>
                <c:ptCount val="1"/>
                <c:pt idx="0">
                  <c:v>Target TDC</c:v>
                </c:pt>
              </c:strCache>
            </c:strRef>
          </c:tx>
          <c:spPr>
            <a:ln w="28575" cap="rnd">
              <a:noFill/>
              <a:round/>
            </a:ln>
            <a:effectLst/>
          </c:spPr>
          <c:marker>
            <c:symbol val="circle"/>
            <c:size val="5"/>
            <c:spPr>
              <a:solidFill>
                <a:schemeClr val="accent1"/>
              </a:solidFill>
              <a:ln w="9525">
                <a:noFill/>
              </a:ln>
              <a:effectLst/>
            </c:spPr>
          </c:marker>
          <c:dPt>
            <c:idx val="1"/>
            <c:marker>
              <c:symbol val="circle"/>
              <c:size val="5"/>
              <c:spPr>
                <a:solidFill>
                  <a:schemeClr val="accent2"/>
                </a:solidFill>
                <a:ln w="9525">
                  <a:noFill/>
                </a:ln>
                <a:effectLst/>
              </c:spPr>
            </c:marker>
            <c:bubble3D val="0"/>
            <c:extLst>
              <c:ext xmlns:c16="http://schemas.microsoft.com/office/drawing/2014/chart" uri="{C3380CC4-5D6E-409C-BE32-E72D297353CC}">
                <c16:uniqueId val="{00000000-BFF3-4FDE-8ED9-467C8E61834A}"/>
              </c:ext>
            </c:extLst>
          </c:dPt>
          <c:dPt>
            <c:idx val="4"/>
            <c:marker>
              <c:symbol val="circle"/>
              <c:size val="5"/>
              <c:spPr>
                <a:solidFill>
                  <a:srgbClr val="002957"/>
                </a:solidFill>
                <a:ln w="9525">
                  <a:noFill/>
                </a:ln>
                <a:effectLst/>
              </c:spPr>
            </c:marker>
            <c:bubble3D val="0"/>
            <c:extLst>
              <c:ext xmlns:c16="http://schemas.microsoft.com/office/drawing/2014/chart" uri="{C3380CC4-5D6E-409C-BE32-E72D297353CC}">
                <c16:uniqueId val="{00000001-BFF3-4FDE-8ED9-467C8E61834A}"/>
              </c:ext>
            </c:extLst>
          </c:dPt>
          <c:dPt>
            <c:idx val="12"/>
            <c:marker>
              <c:symbol val="circle"/>
              <c:size val="5"/>
              <c:spPr>
                <a:solidFill>
                  <a:srgbClr val="002957"/>
                </a:solidFill>
                <a:ln w="9525">
                  <a:noFill/>
                </a:ln>
                <a:effectLst/>
              </c:spPr>
            </c:marker>
            <c:bubble3D val="0"/>
            <c:extLst>
              <c:ext xmlns:c16="http://schemas.microsoft.com/office/drawing/2014/chart" uri="{C3380CC4-5D6E-409C-BE32-E72D297353CC}">
                <c16:uniqueId val="{00000002-BFF3-4FDE-8ED9-467C8E61834A}"/>
              </c:ext>
            </c:extLst>
          </c:dPt>
          <c:dPt>
            <c:idx val="25"/>
            <c:marker>
              <c:symbol val="diamond"/>
              <c:size val="9"/>
              <c:spPr>
                <a:solidFill>
                  <a:srgbClr val="00B050"/>
                </a:solidFill>
                <a:ln w="9525">
                  <a:noFill/>
                </a:ln>
                <a:effectLst/>
              </c:spPr>
            </c:marker>
            <c:bubble3D val="0"/>
            <c:extLst>
              <c:ext xmlns:c16="http://schemas.microsoft.com/office/drawing/2014/chart" uri="{C3380CC4-5D6E-409C-BE32-E72D297353CC}">
                <c16:uniqueId val="{00000004-BFF3-4FDE-8ED9-467C8E61834A}"/>
              </c:ext>
            </c:extLst>
          </c:dPt>
          <c:dLbls>
            <c:dLbl>
              <c:idx val="1"/>
              <c:layout>
                <c:manualLayout>
                  <c:x val="-1.7651921891218572E-2"/>
                  <c:y val="0.12523719165085376"/>
                </c:manualLayout>
              </c:layout>
              <c:tx>
                <c:strRef>
                  <c:f>CEO!$B$9</c:f>
                  <c:strCache>
                    <c:ptCount val="1"/>
                    <c:pt idx="0">
                      <c:v>TSX:LUN</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{E8C8F4BB-E2FE-461B-87E0-C9197833A8B5}</c15:txfldGUID>
                      <c15:f>CEO!$B$9</c15:f>
                      <c15:dlblFieldTableCache>
                        <c:ptCount val="1"/>
                        <c:pt idx="0">
                          <c:v>TSX:LUN</c:v>
                        </c:pt>
                      </c15:dlblFieldTableCache>
                    </c15:dlblFTEntry>
                  </c15:dlblFieldTable>
                  <c15:showDataLabelsRange val="0"/>
                </c:ext>
                <c:ext xmlns:c16="http://schemas.microsoft.com/office/drawing/2014/chart" uri="{C3380CC4-5D6E-409C-BE32-E72D297353CC}">
                  <c16:uniqueId val="{00000000-BFF3-4FDE-8ED9-467C8E61834A}"/>
                </c:ext>
              </c:extLst>
            </c:dLbl>
            <c:dLbl>
              <c:idx val="4"/>
              <c:layout>
                <c:manualLayout>
                  <c:x val="-7.0607687564874358E-2"/>
                  <c:y val="0.12903225806451607"/>
                </c:manualLayout>
              </c:layout>
              <c:tx>
                <c:strRef>
                  <c:f>CEO!$B$12</c:f>
                  <c:strCache>
                    <c:ptCount val="1"/>
                    <c:pt idx="0">
                      <c:v>TSX:CS</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{37AC6811-5CFF-4248-A28D-C60073B5E327}</c15:txfldGUID>
                      <c15:f>CEO!$B$12</c15:f>
                      <c15:dlblFieldTableCache>
                        <c:ptCount val="1"/>
                        <c:pt idx="0">
                          <c:v>TSX:CS</c:v>
                        </c:pt>
                      </c15:dlblFieldTableCache>
                    </c15:dlblFTEntry>
                  </c15:dlblFieldTable>
                  <c15:showDataLabelsRange val="0"/>
                </c:ext>
                <c:ext xmlns:c16="http://schemas.microsoft.com/office/drawing/2014/chart" uri="{C3380CC4-5D6E-409C-BE32-E72D297353CC}">
                  <c16:uniqueId val="{00000001-BFF3-4FDE-8ED9-467C8E61834A}"/>
                </c:ext>
              </c:extLst>
            </c:dLbl>
            <c:dLbl>
              <c:idx val="12"/>
              <c:layout>
                <c:manualLayout>
                  <c:x val="-9.8850762590824037E-2"/>
                  <c:y val="0.14421252371916496"/>
                </c:manualLayout>
              </c:layout>
              <c:tx>
                <c:strRef>
                  <c:f>CEO!$B$20</c:f>
                  <c:strCache>
                    <c:ptCount val="1"/>
                    <c:pt idx="0">
                      <c:v>TSX:ERO</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{8666A6C2-B853-4D86-AB4E-747C0F85C69E}</c15:txfldGUID>
                      <c15:f>CEO!$B$20</c15:f>
                      <c15:dlblFieldTableCache>
                        <c:ptCount val="1"/>
                        <c:pt idx="0">
                          <c:v>TSX:ERO</c:v>
                        </c:pt>
                      </c15:dlblFieldTableCache>
                    </c15:dlblFTEntry>
                  </c15:dlblFieldTable>
                  <c15:showDataLabelsRange val="0"/>
                </c:ext>
                <c:ext xmlns:c16="http://schemas.microsoft.com/office/drawing/2014/chart" uri="{C3380CC4-5D6E-409C-BE32-E72D297353CC}">
                  <c16:uniqueId val="{00000002-BFF3-4FDE-8ED9-467C8E61834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CEO!$AT$8:$AT$39</c:f>
              <c:numCache>
                <c:formatCode>"$"#,##0</c:formatCode>
                <c:ptCount val="26"/>
                <c:pt idx="0">
                  <c:v>15.63447272</c:v>
                </c:pt>
                <c:pt idx="1">
                  <c:v>13.46293483</c:v>
                </c:pt>
                <c:pt idx="2">
                  <c:v>7.5536022200000001</c:v>
                </c:pt>
                <c:pt idx="3">
                  <c:v>10.03855514</c:v>
                </c:pt>
                <c:pt idx="4">
                  <c:v>9.0174972600000007</c:v>
                </c:pt>
                <c:pt idx="5">
                  <c:v>7.2652822200000005</c:v>
                </c:pt>
                <c:pt idx="6">
                  <c:v>7.2371430600000002</c:v>
                </c:pt>
                <c:pt idx="7">
                  <c:v>4.5134969099999998</c:v>
                </c:pt>
                <c:pt idx="8">
                  <c:v>3.35727778</c:v>
                </c:pt>
                <c:pt idx="9">
                  <c:v>8.5975388600000002</c:v>
                </c:pt>
                <c:pt idx="10">
                  <c:v>7.9047648099999996</c:v>
                </c:pt>
                <c:pt idx="11">
                  <c:v>3.7943949099999998</c:v>
                </c:pt>
                <c:pt idx="12">
                  <c:v>2.4173204699999999</c:v>
                </c:pt>
                <c:pt idx="13">
                  <c:v>3.1604905100000003</c:v>
                </c:pt>
                <c:pt idx="25">
                  <c:v>7.6766224000000003</c:v>
                </c:pt>
              </c:numCache>
            </c:numRef>
          </c:xVal>
          <c:yVal>
            <c:numRef>
              <c:f>CEO!$AV$8:$AV$39</c:f>
              <c:numCache>
                <c:formatCode>"$"#,##0</c:formatCode>
                <c:ptCount val="26"/>
                <c:pt idx="0">
                  <c:v>8.6986526040203103</c:v>
                </c:pt>
                <c:pt idx="1">
                  <c:v>4.42</c:v>
                </c:pt>
                <c:pt idx="2">
                  <c:v>5.375</c:v>
                </c:pt>
                <c:pt idx="3">
                  <c:v>7.6908000000000003</c:v>
                </c:pt>
                <c:pt idx="4">
                  <c:v>4.4160000000000004</c:v>
                </c:pt>
                <c:pt idx="5">
                  <c:v>4.2809375000000003</c:v>
                </c:pt>
                <c:pt idx="6">
                  <c:v>7.1861111111111109</c:v>
                </c:pt>
                <c:pt idx="7">
                  <c:v>6.8234466000000005</c:v>
                </c:pt>
                <c:pt idx="8">
                  <c:v>4.08</c:v>
                </c:pt>
                <c:pt idx="9">
                  <c:v>4.6675200000000006</c:v>
                </c:pt>
                <c:pt idx="10">
                  <c:v>7.5856036625000014</c:v>
                </c:pt>
                <c:pt idx="11">
                  <c:v>5.4326585256088116</c:v>
                </c:pt>
                <c:pt idx="12">
                  <c:v>3.9500396396396402</c:v>
                </c:pt>
                <c:pt idx="13">
                  <c:v>3.4874999999999998</c:v>
                </c:pt>
                <c:pt idx="25">
                  <c:v>4.7799709999999997</c:v>
                </c:pt>
              </c:numCache>
            </c:numRef>
          </c:yVal>
          <c:smooth val="0"/>
          <c:extLst>
            <c:ext xmlns:c16="http://schemas.microsoft.com/office/drawing/2014/chart" uri="{C3380CC4-5D6E-409C-BE32-E72D297353CC}">
              <c16:uniqueId val="{00000003-BFF3-4FDE-8ED9-467C8E61834A}"/>
            </c:ext>
          </c:extLst>
        </c:ser>
        <c:dLbls>
          <c:showLegendKey val="0"/>
          <c:showVal val="0"/>
          <c:showCatName val="0"/>
          <c:showSerName val="0"/>
          <c:showPercent val="0"/>
          <c:showBubbleSize val="0"/>
        </c:dLbls>
        <c:axId val="1058931631"/>
        <c:axId val="1058920591"/>
      </c:scatterChart>
      <c:valAx>
        <c:axId val="10589316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CA"/>
                  <a:t>Total Assets ($ M)</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8920591"/>
        <c:crosses val="autoZero"/>
        <c:crossBetween val="midCat"/>
      </c:valAx>
      <c:valAx>
        <c:axId val="1058920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CA"/>
                  <a:t>Target TDC ($ M)</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CA"/>
            </a:p>
          </c:txPr>
        </c:title>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58931631"/>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YoY'!$B$21</c:f>
              <c:strCache>
                <c:ptCount val="1"/>
                <c:pt idx="0">
                  <c:v>25th</c:v>
                </c:pt>
              </c:strCache>
            </c:strRef>
          </c:tx>
          <c:spPr>
            <a:noFill/>
          </c:spPr>
          <c:invertIfNegative val="0"/>
          <c:cat>
            <c:strRef>
              <c:f>'CEO - YoY'!$C$12:$E$12</c:f>
              <c:strCache>
                <c:ptCount val="3"/>
                <c:pt idx="0">
                  <c:v>2023 Target TDC</c:v>
                </c:pt>
                <c:pt idx="1">
                  <c:v>2024 Target TDC</c:v>
                </c:pt>
                <c:pt idx="2">
                  <c:v>2025E Target TDC</c:v>
                </c:pt>
              </c:strCache>
            </c:strRef>
          </c:cat>
          <c:val>
            <c:numRef>
              <c:f>'CEO - YoY'!$C$21:$E$21</c:f>
              <c:numCache>
                <c:formatCode>"$"#,##0</c:formatCode>
                <c:ptCount val="3"/>
                <c:pt idx="0">
                  <c:v>4156.25</c:v>
                </c:pt>
                <c:pt idx="1">
                  <c:v>4314.703125</c:v>
                </c:pt>
                <c:pt idx="2">
                  <c:v>4412.0242187500007</c:v>
                </c:pt>
              </c:numCache>
            </c:numRef>
          </c:val>
          <c:extLst>
            <c:ext xmlns:c16="http://schemas.microsoft.com/office/drawing/2014/chart" uri="{C3380CC4-5D6E-409C-BE32-E72D297353CC}">
              <c16:uniqueId val="{00000000-9448-4D7D-BC4D-DF222B8B4DDC}"/>
            </c:ext>
          </c:extLst>
        </c:ser>
        <c:ser>
          <c:idx val="1"/>
          <c:order val="1"/>
          <c:tx>
            <c:strRef>
              <c:f>'CEO - YoY'!$B$22</c:f>
              <c:strCache>
                <c:ptCount val="1"/>
                <c:pt idx="0">
                  <c:v>50th</c:v>
                </c:pt>
              </c:strCache>
            </c:strRef>
          </c:tx>
          <c:spPr>
            <a:solidFill>
              <a:srgbClr val="002957"/>
            </a:solidFill>
          </c:spPr>
          <c:invertIfNegative val="0"/>
          <c:cat>
            <c:strRef>
              <c:f>'CEO - YoY'!$C$12:$E$12</c:f>
              <c:strCache>
                <c:ptCount val="3"/>
                <c:pt idx="0">
                  <c:v>2023 Target TDC</c:v>
                </c:pt>
                <c:pt idx="1">
                  <c:v>2024 Target TDC</c:v>
                </c:pt>
                <c:pt idx="2">
                  <c:v>2025E Target TDC</c:v>
                </c:pt>
              </c:strCache>
            </c:strRef>
          </c:cat>
          <c:val>
            <c:numRef>
              <c:f>'CEO - YoY'!$C$22:$E$22</c:f>
              <c:numCache>
                <c:formatCode>"$"#,##0</c:formatCode>
                <c:ptCount val="3"/>
                <c:pt idx="0">
                  <c:v>458.22999999999956</c:v>
                </c:pt>
                <c:pt idx="1">
                  <c:v>706.55687500000022</c:v>
                </c:pt>
                <c:pt idx="2">
                  <c:v>759.87358124999901</c:v>
                </c:pt>
              </c:numCache>
            </c:numRef>
          </c:val>
          <c:extLst>
            <c:ext xmlns:c16="http://schemas.microsoft.com/office/drawing/2014/chart" uri="{C3380CC4-5D6E-409C-BE32-E72D297353CC}">
              <c16:uniqueId val="{00000001-9448-4D7D-BC4D-DF222B8B4DDC}"/>
            </c:ext>
          </c:extLst>
        </c:ser>
        <c:ser>
          <c:idx val="2"/>
          <c:order val="2"/>
          <c:tx>
            <c:strRef>
              <c:f>'CEO - YoY'!$B$23</c:f>
              <c:strCache>
                <c:ptCount val="1"/>
                <c:pt idx="0">
                  <c:v>75th</c:v>
                </c:pt>
              </c:strCache>
            </c:strRef>
          </c:tx>
          <c:spPr>
            <a:solidFill>
              <a:schemeClr val="tx2">
                <a:lumMod val="20000"/>
                <a:lumOff val="80000"/>
              </a:schemeClr>
            </a:solidFill>
          </c:spPr>
          <c:invertIfNegative val="0"/>
          <c:cat>
            <c:strRef>
              <c:f>'CEO - YoY'!$C$12:$E$12</c:f>
              <c:strCache>
                <c:ptCount val="3"/>
                <c:pt idx="0">
                  <c:v>2023 Target TDC</c:v>
                </c:pt>
                <c:pt idx="1">
                  <c:v>2024 Target TDC</c:v>
                </c:pt>
                <c:pt idx="2">
                  <c:v>2025E Target TDC</c:v>
                </c:pt>
              </c:strCache>
            </c:strRef>
          </c:cat>
          <c:val>
            <c:numRef>
              <c:f>'CEO - YoY'!$C$23:$E$23</c:f>
              <c:numCache>
                <c:formatCode>"$"#,##0</c:formatCode>
                <c:ptCount val="3"/>
                <c:pt idx="0">
                  <c:v>2660.5200000000004</c:v>
                </c:pt>
                <c:pt idx="1">
                  <c:v>2074.1849833333335</c:v>
                </c:pt>
                <c:pt idx="2">
                  <c:v>2136.4105328333335</c:v>
                </c:pt>
              </c:numCache>
            </c:numRef>
          </c:val>
          <c:extLst>
            <c:ext xmlns:c16="http://schemas.microsoft.com/office/drawing/2014/chart" uri="{C3380CC4-5D6E-409C-BE32-E72D297353CC}">
              <c16:uniqueId val="{00000002-9448-4D7D-BC4D-DF222B8B4D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YoY'!$C$25:$E$25</c:f>
              <c:numCache>
                <c:formatCode>"$"#,##0</c:formatCode>
                <c:ptCount val="3"/>
                <c:pt idx="0">
                  <c:v>4779.9705000000004</c:v>
                </c:pt>
                <c:pt idx="1">
                  <c:v>5080.4962500000001</c:v>
                </c:pt>
                <c:pt idx="2">
                  <c:v>5080.4962500000001</c:v>
                </c:pt>
              </c:numCache>
            </c:numRef>
          </c:yVal>
          <c:smooth val="0"/>
          <c:extLst>
            <c:ext xmlns:c16="http://schemas.microsoft.com/office/drawing/2014/chart" uri="{C3380CC4-5D6E-409C-BE32-E72D297353CC}">
              <c16:uniqueId val="{00000003-9448-4D7D-BC4D-DF222B8B4DDC}"/>
            </c:ext>
          </c:extLst>
        </c:ser>
        <c:ser>
          <c:idx val="4"/>
          <c:order val="4"/>
          <c:tx>
            <c:strRef>
              <c:f>'CEO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'CEO - YoY'!$C$24:$E$24</c:f>
              <c:numCache>
                <c:formatCode>"$"#,##0</c:formatCode>
                <c:ptCount val="3"/>
                <c:pt idx="0">
                  <c:v>5340.9506219963378</c:v>
                </c:pt>
                <c:pt idx="1">
                  <c:v>5578.1621173485619</c:v>
                </c:pt>
                <c:pt idx="2">
                  <c:v>5748.5394797901872</c:v>
                </c:pt>
              </c:numCache>
            </c:numRef>
          </c:yVal>
          <c:smooth val="0"/>
          <c:extLst>
            <c:ext xmlns:c16="http://schemas.microsoft.com/office/drawing/2014/chart" uri="{C3380CC4-5D6E-409C-BE32-E72D297353CC}">
              <c16:uniqueId val="{00000004-9448-4D7D-BC4D-DF222B8B4DDC}"/>
            </c:ext>
          </c:extLst>
        </c:ser>
        <c:ser>
          <c:idx val="5"/>
          <c:order val="5"/>
          <c:tx>
            <c:strRef>
              <c:f>'CEO - YoY'!$B$30</c:f>
              <c:strCache>
                <c:ptCount val="1"/>
                <c:pt idx="0">
                  <c:v>Company 1</c:v>
                </c:pt>
              </c:strCache>
            </c:strRef>
          </c:tx>
          <c:spPr>
            <a:ln w="28575">
              <a:noFill/>
            </a:ln>
          </c:spPr>
          <c:xVal>
            <c:strRef>
              <c:f>'CEO - YoY'!$C$12:$E$12</c:f>
              <c:strCache>
                <c:ptCount val="3"/>
                <c:pt idx="0">
                  <c:v>2023 Target TDC</c:v>
                </c:pt>
                <c:pt idx="1">
                  <c:v>2024 Target TDC</c:v>
                </c:pt>
                <c:pt idx="2">
                  <c:v>2025E Target TDC</c:v>
                </c:pt>
              </c:strCache>
            </c:strRef>
          </c:xVal>
          <c:yVal>
            <c:numRef>
              <c:f>'CEO - YoY'!$C$30:$E$30</c:f>
              <c:numCache>
                <c:formatCode>General</c:formatCode>
                <c:ptCount val="3"/>
              </c:numCache>
            </c:numRef>
          </c:yVal>
          <c:smooth val="0"/>
          <c:extLst>
            <c:ext xmlns:c16="http://schemas.microsoft.com/office/drawing/2014/chart" uri="{C3380CC4-5D6E-409C-BE32-E72D297353CC}">
              <c16:uniqueId val="{00000005-9448-4D7D-BC4D-DF222B8B4DDC}"/>
            </c:ext>
          </c:extLst>
        </c:ser>
        <c:ser>
          <c:idx val="6"/>
          <c:order val="6"/>
          <c:tx>
            <c:strRef>
              <c:f>'CEO - YoY'!$B$31</c:f>
              <c:strCache>
                <c:ptCount val="1"/>
                <c:pt idx="0">
                  <c:v>Company 2</c:v>
                </c:pt>
              </c:strCache>
            </c:strRef>
          </c:tx>
          <c:spPr>
            <a:ln w="28575">
              <a:noFill/>
            </a:ln>
          </c:spPr>
          <c:xVal>
            <c:strRef>
              <c:f>'CEO - YoY'!$C$12:$E$12</c:f>
              <c:strCache>
                <c:ptCount val="3"/>
                <c:pt idx="0">
                  <c:v>2023 Target TDC</c:v>
                </c:pt>
                <c:pt idx="1">
                  <c:v>2024 Target TDC</c:v>
                </c:pt>
                <c:pt idx="2">
                  <c:v>2025E Target TDC</c:v>
                </c:pt>
              </c:strCache>
            </c:strRef>
          </c:xVal>
          <c:yVal>
            <c:numRef>
              <c:f>'CEO - YoY'!$C$31:$E$31</c:f>
              <c:numCache>
                <c:formatCode>General</c:formatCode>
                <c:ptCount val="3"/>
              </c:numCache>
            </c:numRef>
          </c:yVal>
          <c:smooth val="0"/>
          <c:extLst>
            <c:ext xmlns:c16="http://schemas.microsoft.com/office/drawing/2014/chart" uri="{C3380CC4-5D6E-409C-BE32-E72D297353CC}">
              <c16:uniqueId val="{00000006-9448-4D7D-BC4D-DF222B8B4DDC}"/>
            </c:ext>
          </c:extLst>
        </c:ser>
        <c:ser>
          <c:idx val="7"/>
          <c:order val="7"/>
          <c:tx>
            <c:strRef>
              <c:f>'CEO - YoY'!$B$32</c:f>
              <c:strCache>
                <c:ptCount val="1"/>
                <c:pt idx="0">
                  <c:v>Company 3</c:v>
                </c:pt>
              </c:strCache>
            </c:strRef>
          </c:tx>
          <c:spPr>
            <a:ln w="28575">
              <a:noFill/>
            </a:ln>
          </c:spPr>
          <c:xVal>
            <c:strRef>
              <c:f>'CEO - YoY'!$C$12:$E$12</c:f>
              <c:strCache>
                <c:ptCount val="3"/>
                <c:pt idx="0">
                  <c:v>2023 Target TDC</c:v>
                </c:pt>
                <c:pt idx="1">
                  <c:v>2024 Target TDC</c:v>
                </c:pt>
                <c:pt idx="2">
                  <c:v>2025E Target TDC</c:v>
                </c:pt>
              </c:strCache>
            </c:strRef>
          </c:xVal>
          <c:yVal>
            <c:numRef>
              <c:f>'CEO - YoY'!$C$32:$E$32</c:f>
              <c:numCache>
                <c:formatCode>General</c:formatCode>
                <c:ptCount val="3"/>
              </c:numCache>
            </c:numRef>
          </c:yVal>
          <c:smooth val="0"/>
          <c:extLst>
            <c:ext xmlns:c16="http://schemas.microsoft.com/office/drawing/2014/chart" uri="{C3380CC4-5D6E-409C-BE32-E72D297353CC}">
              <c16:uniqueId val="{00000007-9448-4D7D-BC4D-DF222B8B4DDC}"/>
            </c:ext>
          </c:extLst>
        </c:ser>
        <c:ser>
          <c:idx val="8"/>
          <c:order val="8"/>
          <c:tx>
            <c:strRef>
              <c:f>'CEO - YoY'!$B$33</c:f>
              <c:strCache>
                <c:ptCount val="1"/>
                <c:pt idx="0">
                  <c:v>Company 4</c:v>
                </c:pt>
              </c:strCache>
            </c:strRef>
          </c:tx>
          <c:spPr>
            <a:ln w="28575">
              <a:noFill/>
            </a:ln>
          </c:spPr>
          <c:xVal>
            <c:strRef>
              <c:f>'CEO - YoY'!$C$12:$E$12</c:f>
              <c:strCache>
                <c:ptCount val="3"/>
                <c:pt idx="0">
                  <c:v>2023 Target TDC</c:v>
                </c:pt>
                <c:pt idx="1">
                  <c:v>2024 Target TDC</c:v>
                </c:pt>
                <c:pt idx="2">
                  <c:v>2025E Target TDC</c:v>
                </c:pt>
              </c:strCache>
            </c:strRef>
          </c:xVal>
          <c:yVal>
            <c:numRef>
              <c:f>'CEO - YoY'!$C$33:$E$33</c:f>
              <c:numCache>
                <c:formatCode>General</c:formatCode>
                <c:ptCount val="3"/>
              </c:numCache>
            </c:numRef>
          </c:yVal>
          <c:smooth val="0"/>
          <c:extLst>
            <c:ext xmlns:c16="http://schemas.microsoft.com/office/drawing/2014/chart" uri="{C3380CC4-5D6E-409C-BE32-E72D297353CC}">
              <c16:uniqueId val="{00000008-9448-4D7D-BC4D-DF222B8B4D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YoY'!$B$21</c:f>
              <c:strCache>
                <c:ptCount val="1"/>
                <c:pt idx="0">
                  <c:v>25th</c:v>
                </c:pt>
              </c:strCache>
            </c:strRef>
          </c:tx>
          <c:spPr>
            <a:noFill/>
          </c:spPr>
          <c:invertIfNegative val="0"/>
          <c:cat>
            <c:strRef>
              <c:f>'CFO - YoY'!$C$12:$E$12</c:f>
              <c:strCache>
                <c:ptCount val="3"/>
                <c:pt idx="0">
                  <c:v>2023 Target TDC</c:v>
                </c:pt>
                <c:pt idx="1">
                  <c:v>2024 Target TDC</c:v>
                </c:pt>
                <c:pt idx="2">
                  <c:v>2025E Target TDC</c:v>
                </c:pt>
              </c:strCache>
            </c:strRef>
          </c:cat>
          <c:val>
            <c:numRef>
              <c:f>'CFO - YoY'!$C$21:$E$21</c:f>
              <c:numCache>
                <c:formatCode>"$"#,##0</c:formatCode>
                <c:ptCount val="3"/>
                <c:pt idx="0">
                  <c:v>1761.625</c:v>
                </c:pt>
                <c:pt idx="1">
                  <c:v>1781.652112491556</c:v>
                </c:pt>
                <c:pt idx="2">
                  <c:v>1835.1016758663027</c:v>
                </c:pt>
              </c:numCache>
            </c:numRef>
          </c:val>
          <c:extLst>
            <c:ext xmlns:c16="http://schemas.microsoft.com/office/drawing/2014/chart" uri="{C3380CC4-5D6E-409C-BE32-E72D297353CC}">
              <c16:uniqueId val="{00000000-BB8A-4825-8357-2688FD358BDC}"/>
            </c:ext>
          </c:extLst>
        </c:ser>
        <c:ser>
          <c:idx val="1"/>
          <c:order val="1"/>
          <c:tx>
            <c:strRef>
              <c:f>'CFO - YoY'!$B$22</c:f>
              <c:strCache>
                <c:ptCount val="1"/>
                <c:pt idx="0">
                  <c:v>50th</c:v>
                </c:pt>
              </c:strCache>
            </c:strRef>
          </c:tx>
          <c:spPr>
            <a:solidFill>
              <a:srgbClr val="002957"/>
            </a:solidFill>
          </c:spPr>
          <c:invertIfNegative val="0"/>
          <c:cat>
            <c:strRef>
              <c:f>'CFO - YoY'!$C$12:$E$12</c:f>
              <c:strCache>
                <c:ptCount val="3"/>
                <c:pt idx="0">
                  <c:v>2023 Target TDC</c:v>
                </c:pt>
                <c:pt idx="1">
                  <c:v>2024 Target TDC</c:v>
                </c:pt>
                <c:pt idx="2">
                  <c:v>2025E Target TDC</c:v>
                </c:pt>
              </c:strCache>
            </c:strRef>
          </c:cat>
          <c:val>
            <c:numRef>
              <c:f>'CFO - YoY'!$C$22:$E$22</c:f>
              <c:numCache>
                <c:formatCode>"$"#,##0</c:formatCode>
                <c:ptCount val="3"/>
                <c:pt idx="0">
                  <c:v>75.485000000000127</c:v>
                </c:pt>
                <c:pt idx="1">
                  <c:v>165.5499625084442</c:v>
                </c:pt>
                <c:pt idx="2">
                  <c:v>170.51646138369733</c:v>
                </c:pt>
              </c:numCache>
            </c:numRef>
          </c:val>
          <c:extLst>
            <c:ext xmlns:c16="http://schemas.microsoft.com/office/drawing/2014/chart" uri="{C3380CC4-5D6E-409C-BE32-E72D297353CC}">
              <c16:uniqueId val="{00000001-BB8A-4825-8357-2688FD358BDC}"/>
            </c:ext>
          </c:extLst>
        </c:ser>
        <c:ser>
          <c:idx val="2"/>
          <c:order val="2"/>
          <c:tx>
            <c:strRef>
              <c:f>'CFO - YoY'!$B$23</c:f>
              <c:strCache>
                <c:ptCount val="1"/>
                <c:pt idx="0">
                  <c:v>75th</c:v>
                </c:pt>
              </c:strCache>
            </c:strRef>
          </c:tx>
          <c:spPr>
            <a:solidFill>
              <a:schemeClr val="tx2">
                <a:lumMod val="20000"/>
                <a:lumOff val="80000"/>
              </a:schemeClr>
            </a:solidFill>
          </c:spPr>
          <c:invertIfNegative val="0"/>
          <c:cat>
            <c:strRef>
              <c:f>'CFO - YoY'!$C$12:$E$12</c:f>
              <c:strCache>
                <c:ptCount val="3"/>
                <c:pt idx="0">
                  <c:v>2023 Target TDC</c:v>
                </c:pt>
                <c:pt idx="1">
                  <c:v>2024 Target TDC</c:v>
                </c:pt>
                <c:pt idx="2">
                  <c:v>2025E Target TDC</c:v>
                </c:pt>
              </c:strCache>
            </c:strRef>
          </c:cat>
          <c:val>
            <c:numRef>
              <c:f>'CFO - YoY'!$C$23:$E$23</c:f>
              <c:numCache>
                <c:formatCode>"$"#,##0</c:formatCode>
                <c:ptCount val="3"/>
                <c:pt idx="0">
                  <c:v>456.65465538459603</c:v>
                </c:pt>
                <c:pt idx="1">
                  <c:v>496.85235556653788</c:v>
                </c:pt>
                <c:pt idx="2">
                  <c:v>600.5217509047925</c:v>
                </c:pt>
              </c:numCache>
            </c:numRef>
          </c:val>
          <c:extLst>
            <c:ext xmlns:c16="http://schemas.microsoft.com/office/drawing/2014/chart" uri="{C3380CC4-5D6E-409C-BE32-E72D297353CC}">
              <c16:uniqueId val="{00000002-BB8A-4825-8357-2688FD358B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YoY'!$C$25:$E$25</c:f>
              <c:numCache>
                <c:formatCode>"$"#,##0</c:formatCode>
                <c:ptCount val="3"/>
                <c:pt idx="0">
                  <c:v>1930.6559999999999</c:v>
                </c:pt>
                <c:pt idx="1">
                  <c:v>2065.2516000000001</c:v>
                </c:pt>
                <c:pt idx="2">
                  <c:v>2065.2516000000001</c:v>
                </c:pt>
              </c:numCache>
            </c:numRef>
          </c:yVal>
          <c:smooth val="0"/>
          <c:extLst>
            <c:ext xmlns:c16="http://schemas.microsoft.com/office/drawing/2014/chart" uri="{C3380CC4-5D6E-409C-BE32-E72D297353CC}">
              <c16:uniqueId val="{00000003-BB8A-4825-8357-2688FD358BDC}"/>
            </c:ext>
          </c:extLst>
        </c:ser>
        <c:ser>
          <c:idx val="4"/>
          <c:order val="4"/>
          <c:tx>
            <c:strRef>
              <c:f>'CFO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'CFO - YoY'!$C$24:$E$24</c:f>
              <c:numCache>
                <c:formatCode>"$"#,##0</c:formatCode>
                <c:ptCount val="3"/>
                <c:pt idx="0">
                  <c:v>1978.0361971963932</c:v>
                </c:pt>
                <c:pt idx="1">
                  <c:v>2080.8100143840697</c:v>
                </c:pt>
                <c:pt idx="2">
                  <c:v>2155.0188331924646</c:v>
                </c:pt>
              </c:numCache>
            </c:numRef>
          </c:yVal>
          <c:smooth val="0"/>
          <c:extLst>
            <c:ext xmlns:c16="http://schemas.microsoft.com/office/drawing/2014/chart" uri="{C3380CC4-5D6E-409C-BE32-E72D297353CC}">
              <c16:uniqueId val="{00000004-BB8A-4825-8357-2688FD358BDC}"/>
            </c:ext>
          </c:extLst>
        </c:ser>
        <c:ser>
          <c:idx val="5"/>
          <c:order val="5"/>
          <c:tx>
            <c:strRef>
              <c:f>'CFO - YoY'!$B$30</c:f>
              <c:strCache>
                <c:ptCount val="1"/>
                <c:pt idx="0">
                  <c:v>Company 1</c:v>
                </c:pt>
              </c:strCache>
            </c:strRef>
          </c:tx>
          <c:spPr>
            <a:ln w="28575">
              <a:noFill/>
            </a:ln>
          </c:spPr>
          <c:xVal>
            <c:strRef>
              <c:f>'CFO - YoY'!$C$12:$E$12</c:f>
              <c:strCache>
                <c:ptCount val="3"/>
                <c:pt idx="0">
                  <c:v>2023 Target TDC</c:v>
                </c:pt>
                <c:pt idx="1">
                  <c:v>2024 Target TDC</c:v>
                </c:pt>
                <c:pt idx="2">
                  <c:v>2025E Target TDC</c:v>
                </c:pt>
              </c:strCache>
            </c:strRef>
          </c:xVal>
          <c:yVal>
            <c:numRef>
              <c:f>'CFO - YoY'!$C$30:$E$30</c:f>
              <c:numCache>
                <c:formatCode>General</c:formatCode>
                <c:ptCount val="3"/>
              </c:numCache>
            </c:numRef>
          </c:yVal>
          <c:smooth val="0"/>
          <c:extLst>
            <c:ext xmlns:c16="http://schemas.microsoft.com/office/drawing/2014/chart" uri="{C3380CC4-5D6E-409C-BE32-E72D297353CC}">
              <c16:uniqueId val="{00000005-BB8A-4825-8357-2688FD358BDC}"/>
            </c:ext>
          </c:extLst>
        </c:ser>
        <c:ser>
          <c:idx val="6"/>
          <c:order val="6"/>
          <c:tx>
            <c:strRef>
              <c:f>'CFO - YoY'!$B$31</c:f>
              <c:strCache>
                <c:ptCount val="1"/>
                <c:pt idx="0">
                  <c:v>Company 2</c:v>
                </c:pt>
              </c:strCache>
            </c:strRef>
          </c:tx>
          <c:spPr>
            <a:ln w="28575">
              <a:noFill/>
            </a:ln>
          </c:spPr>
          <c:xVal>
            <c:strRef>
              <c:f>'CFO - YoY'!$C$12:$E$12</c:f>
              <c:strCache>
                <c:ptCount val="3"/>
                <c:pt idx="0">
                  <c:v>2023 Target TDC</c:v>
                </c:pt>
                <c:pt idx="1">
                  <c:v>2024 Target TDC</c:v>
                </c:pt>
                <c:pt idx="2">
                  <c:v>2025E Target TDC</c:v>
                </c:pt>
              </c:strCache>
            </c:strRef>
          </c:xVal>
          <c:yVal>
            <c:numRef>
              <c:f>'CFO - YoY'!$C$31:$E$31</c:f>
              <c:numCache>
                <c:formatCode>General</c:formatCode>
                <c:ptCount val="3"/>
              </c:numCache>
            </c:numRef>
          </c:yVal>
          <c:smooth val="0"/>
          <c:extLst>
            <c:ext xmlns:c16="http://schemas.microsoft.com/office/drawing/2014/chart" uri="{C3380CC4-5D6E-409C-BE32-E72D297353CC}">
              <c16:uniqueId val="{00000006-BB8A-4825-8357-2688FD358BDC}"/>
            </c:ext>
          </c:extLst>
        </c:ser>
        <c:ser>
          <c:idx val="7"/>
          <c:order val="7"/>
          <c:tx>
            <c:strRef>
              <c:f>'CFO - YoY'!$B$32</c:f>
              <c:strCache>
                <c:ptCount val="1"/>
                <c:pt idx="0">
                  <c:v>Company 3</c:v>
                </c:pt>
              </c:strCache>
            </c:strRef>
          </c:tx>
          <c:spPr>
            <a:ln w="28575">
              <a:noFill/>
            </a:ln>
          </c:spPr>
          <c:xVal>
            <c:strRef>
              <c:f>'CFO - YoY'!$C$12:$E$12</c:f>
              <c:strCache>
                <c:ptCount val="3"/>
                <c:pt idx="0">
                  <c:v>2023 Target TDC</c:v>
                </c:pt>
                <c:pt idx="1">
                  <c:v>2024 Target TDC</c:v>
                </c:pt>
                <c:pt idx="2">
                  <c:v>2025E Target TDC</c:v>
                </c:pt>
              </c:strCache>
            </c:strRef>
          </c:xVal>
          <c:yVal>
            <c:numRef>
              <c:f>'CFO - YoY'!$C$32:$E$32</c:f>
              <c:numCache>
                <c:formatCode>General</c:formatCode>
                <c:ptCount val="3"/>
              </c:numCache>
            </c:numRef>
          </c:yVal>
          <c:smooth val="0"/>
          <c:extLst>
            <c:ext xmlns:c16="http://schemas.microsoft.com/office/drawing/2014/chart" uri="{C3380CC4-5D6E-409C-BE32-E72D297353CC}">
              <c16:uniqueId val="{00000007-BB8A-4825-8357-2688FD358BDC}"/>
            </c:ext>
          </c:extLst>
        </c:ser>
        <c:ser>
          <c:idx val="8"/>
          <c:order val="8"/>
          <c:tx>
            <c:strRef>
              <c:f>'CFO - YoY'!$B$33</c:f>
              <c:strCache>
                <c:ptCount val="1"/>
                <c:pt idx="0">
                  <c:v>Company 4</c:v>
                </c:pt>
              </c:strCache>
            </c:strRef>
          </c:tx>
          <c:spPr>
            <a:ln w="28575">
              <a:noFill/>
            </a:ln>
          </c:spPr>
          <c:xVal>
            <c:strRef>
              <c:f>'CFO - YoY'!$C$12:$E$12</c:f>
              <c:strCache>
                <c:ptCount val="3"/>
                <c:pt idx="0">
                  <c:v>2023 Target TDC</c:v>
                </c:pt>
                <c:pt idx="1">
                  <c:v>2024 Target TDC</c:v>
                </c:pt>
                <c:pt idx="2">
                  <c:v>2025E Target TDC</c:v>
                </c:pt>
              </c:strCache>
            </c:strRef>
          </c:xVal>
          <c:yVal>
            <c:numRef>
              <c:f>'CFO - YoY'!$C$33:$E$33</c:f>
              <c:numCache>
                <c:formatCode>General</c:formatCode>
                <c:ptCount val="3"/>
              </c:numCache>
            </c:numRef>
          </c:yVal>
          <c:smooth val="0"/>
          <c:extLst>
            <c:ext xmlns:c16="http://schemas.microsoft.com/office/drawing/2014/chart" uri="{C3380CC4-5D6E-409C-BE32-E72D297353CC}">
              <c16:uniqueId val="{00000008-BB8A-4825-8357-2688FD358B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'COO - YoY'!$B$21</c:f>
              <c:strCache>
                <c:ptCount val="1"/>
                <c:pt idx="0">
                  <c:v>25th</c:v>
                </c:pt>
              </c:strCache>
            </c:strRef>
          </c:tx>
          <c:spPr>
            <a:noFill/>
          </c:spPr>
          <c:invertIfNegative val="0"/>
          <c:cat>
            <c:strRef>
              <c:f>'COO - YoY'!$C$12:$E$12</c:f>
              <c:strCache>
                <c:ptCount val="3"/>
                <c:pt idx="0">
                  <c:v>2023 Target TDC</c:v>
                </c:pt>
                <c:pt idx="1">
                  <c:v>2024 Target TDC</c:v>
                </c:pt>
                <c:pt idx="2">
                  <c:v>2025E Target TDC</c:v>
                </c:pt>
              </c:strCache>
            </c:strRef>
          </c:cat>
          <c:val>
            <c:numRef>
              <c:f>'COO - YoY'!$C$21:$E$21</c:f>
              <c:numCache>
                <c:formatCode>"$"#,##0</c:formatCode>
                <c:ptCount val="3"/>
                <c:pt idx="0">
                  <c:v>2005.41</c:v>
                </c:pt>
                <c:pt idx="1">
                  <c:v>2127.4594999999999</c:v>
                </c:pt>
                <c:pt idx="2">
                  <c:v>2191.283285</c:v>
                </c:pt>
              </c:numCache>
            </c:numRef>
          </c:val>
          <c:extLst>
            <c:ext xmlns:c16="http://schemas.microsoft.com/office/drawing/2014/chart" uri="{C3380CC4-5D6E-409C-BE32-E72D297353CC}">
              <c16:uniqueId val="{00000000-7D3B-4E1E-8112-705EBB62C4AF}"/>
            </c:ext>
          </c:extLst>
        </c:ser>
        <c:ser>
          <c:idx val="1"/>
          <c:order val="1"/>
          <c:tx>
            <c:strRef>
              <c:f>'COO - YoY'!$B$22</c:f>
              <c:strCache>
                <c:ptCount val="1"/>
                <c:pt idx="0">
                  <c:v>50th</c:v>
                </c:pt>
              </c:strCache>
            </c:strRef>
          </c:tx>
          <c:spPr>
            <a:solidFill>
              <a:srgbClr val="002957"/>
            </a:solidFill>
          </c:spPr>
          <c:invertIfNegative val="0"/>
          <c:cat>
            <c:strRef>
              <c:f>'COO - YoY'!$C$12:$E$12</c:f>
              <c:strCache>
                <c:ptCount val="3"/>
                <c:pt idx="0">
                  <c:v>2023 Target TDC</c:v>
                </c:pt>
                <c:pt idx="1">
                  <c:v>2024 Target TDC</c:v>
                </c:pt>
                <c:pt idx="2">
                  <c:v>2025E Target TDC</c:v>
                </c:pt>
              </c:strCache>
            </c:strRef>
          </c:cat>
          <c:val>
            <c:numRef>
              <c:f>'COO - YoY'!$C$22:$E$22</c:f>
              <c:numCache>
                <c:formatCode>"$"#,##0</c:formatCode>
                <c:ptCount val="3"/>
                <c:pt idx="0">
                  <c:v>150.83999999999992</c:v>
                </c:pt>
                <c:pt idx="1">
                  <c:v>343.94806240906064</c:v>
                </c:pt>
                <c:pt idx="2">
                  <c:v>412.58928383036618</c:v>
                </c:pt>
              </c:numCache>
            </c:numRef>
          </c:val>
          <c:extLst>
            <c:ext xmlns:c16="http://schemas.microsoft.com/office/drawing/2014/chart" uri="{C3380CC4-5D6E-409C-BE32-E72D297353CC}">
              <c16:uniqueId val="{00000001-7D3B-4E1E-8112-705EBB62C4AF}"/>
            </c:ext>
          </c:extLst>
        </c:ser>
        <c:ser>
          <c:idx val="2"/>
          <c:order val="2"/>
          <c:tx>
            <c:strRef>
              <c:f>'COO - YoY'!$B$23</c:f>
              <c:strCache>
                <c:ptCount val="1"/>
                <c:pt idx="0">
                  <c:v>75th</c:v>
                </c:pt>
              </c:strCache>
            </c:strRef>
          </c:tx>
          <c:spPr>
            <a:solidFill>
              <a:schemeClr val="tx2">
                <a:lumMod val="20000"/>
                <a:lumOff val="80000"/>
              </a:schemeClr>
            </a:solidFill>
          </c:spPr>
          <c:invertIfNegative val="0"/>
          <c:cat>
            <c:strRef>
              <c:f>'COO - YoY'!$C$12:$E$12</c:f>
              <c:strCache>
                <c:ptCount val="3"/>
                <c:pt idx="0">
                  <c:v>2023 Target TDC</c:v>
                </c:pt>
                <c:pt idx="1">
                  <c:v>2024 Target TDC</c:v>
                </c:pt>
                <c:pt idx="2">
                  <c:v>2025E Target TDC</c:v>
                </c:pt>
              </c:strCache>
            </c:strRef>
          </c:cat>
          <c:val>
            <c:numRef>
              <c:f>'COO - YoY'!$C$23:$E$23</c:f>
              <c:numCache>
                <c:formatCode>"$"#,##0</c:formatCode>
                <c:ptCount val="3"/>
                <c:pt idx="0">
                  <c:v>323.74484078816704</c:v>
                </c:pt>
                <c:pt idx="1">
                  <c:v>228.29730590093959</c:v>
                </c:pt>
                <c:pt idx="2">
                  <c:v>176.82344552893346</c:v>
                </c:pt>
              </c:numCache>
            </c:numRef>
          </c:val>
          <c:extLst>
            <c:ext xmlns:c16="http://schemas.microsoft.com/office/drawing/2014/chart" uri="{C3380CC4-5D6E-409C-BE32-E72D297353CC}">
              <c16:uniqueId val="{00000002-7D3B-4E1E-8112-705EBB62C4AF}"/>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'COO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'COO - YoY'!$C$25:$E$25</c:f>
              <c:numCache>
                <c:formatCode>"$"#,##0</c:formatCode>
                <c:ptCount val="3"/>
                <c:pt idx="0">
                  <c:v>2232</c:v>
                </c:pt>
                <c:pt idx="1">
                  <c:v>2343.6</c:v>
                </c:pt>
                <c:pt idx="2">
                  <c:v>2343.6</c:v>
                </c:pt>
              </c:numCache>
            </c:numRef>
          </c:yVal>
          <c:smooth val="0"/>
          <c:extLst>
            <c:ext xmlns:c16="http://schemas.microsoft.com/office/drawing/2014/chart" uri="{C3380CC4-5D6E-409C-BE32-E72D297353CC}">
              <c16:uniqueId val="{00000003-7D3B-4E1E-8112-705EBB62C4AF}"/>
            </c:ext>
          </c:extLst>
        </c:ser>
        <c:ser>
          <c:idx val="4"/>
          <c:order val="4"/>
          <c:tx>
            <c:strRef>
              <c:f>'COO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'COO - YoY'!$C$24:$E$24</c:f>
              <c:numCache>
                <c:formatCode>"$"#,##0</c:formatCode>
                <c:ptCount val="3"/>
                <c:pt idx="0">
                  <c:v>2259.9220784689046</c:v>
                </c:pt>
                <c:pt idx="1">
                  <c:v>2426.1705153423964</c:v>
                </c:pt>
                <c:pt idx="2">
                  <c:v>2516.0841360159611</c:v>
                </c:pt>
              </c:numCache>
            </c:numRef>
          </c:yVal>
          <c:smooth val="0"/>
          <c:extLst>
            <c:ext xmlns:c16="http://schemas.microsoft.com/office/drawing/2014/chart" uri="{C3380CC4-5D6E-409C-BE32-E72D297353CC}">
              <c16:uniqueId val="{00000004-7D3B-4E1E-8112-705EBB62C4AF}"/>
            </c:ext>
          </c:extLst>
        </c:ser>
        <c:ser>
          <c:idx val="5"/>
          <c:order val="5"/>
          <c:tx>
            <c:strRef>
              <c:f>'COO - YoY'!$B$30</c:f>
              <c:strCache>
                <c:ptCount val="1"/>
                <c:pt idx="0">
                  <c:v>Company 1</c:v>
                </c:pt>
              </c:strCache>
            </c:strRef>
          </c:tx>
          <c:spPr>
            <a:ln w="28575">
              <a:noFill/>
            </a:ln>
          </c:spPr>
          <c:xVal>
            <c:strRef>
              <c:f>'COO - YoY'!$C$12:$E$12</c:f>
              <c:strCache>
                <c:ptCount val="3"/>
                <c:pt idx="0">
                  <c:v>2023 Target TDC</c:v>
                </c:pt>
                <c:pt idx="1">
                  <c:v>2024 Target TDC</c:v>
                </c:pt>
                <c:pt idx="2">
                  <c:v>2025E Target TDC</c:v>
                </c:pt>
              </c:strCache>
            </c:strRef>
          </c:xVal>
          <c:yVal>
            <c:numRef>
              <c:f>'COO - YoY'!$C$30:$E$30</c:f>
              <c:numCache>
                <c:formatCode>General</c:formatCode>
                <c:ptCount val="3"/>
              </c:numCache>
            </c:numRef>
          </c:yVal>
          <c:smooth val="0"/>
          <c:extLst>
            <c:ext xmlns:c16="http://schemas.microsoft.com/office/drawing/2014/chart" uri="{C3380CC4-5D6E-409C-BE32-E72D297353CC}">
              <c16:uniqueId val="{00000005-7D3B-4E1E-8112-705EBB62C4AF}"/>
            </c:ext>
          </c:extLst>
        </c:ser>
        <c:ser>
          <c:idx val="6"/>
          <c:order val="6"/>
          <c:tx>
            <c:strRef>
              <c:f>'COO - YoY'!$B$31</c:f>
              <c:strCache>
                <c:ptCount val="1"/>
                <c:pt idx="0">
                  <c:v>Company 2</c:v>
                </c:pt>
              </c:strCache>
            </c:strRef>
          </c:tx>
          <c:spPr>
            <a:ln w="28575">
              <a:noFill/>
            </a:ln>
          </c:spPr>
          <c:xVal>
            <c:strRef>
              <c:f>'COO - YoY'!$C$12:$E$12</c:f>
              <c:strCache>
                <c:ptCount val="3"/>
                <c:pt idx="0">
                  <c:v>2023 Target TDC</c:v>
                </c:pt>
                <c:pt idx="1">
                  <c:v>2024 Target TDC</c:v>
                </c:pt>
                <c:pt idx="2">
                  <c:v>2025E Target TDC</c:v>
                </c:pt>
              </c:strCache>
            </c:strRef>
          </c:xVal>
          <c:yVal>
            <c:numRef>
              <c:f>'COO - YoY'!$C$31:$E$31</c:f>
              <c:numCache>
                <c:formatCode>General</c:formatCode>
                <c:ptCount val="3"/>
              </c:numCache>
            </c:numRef>
          </c:yVal>
          <c:smooth val="0"/>
          <c:extLst>
            <c:ext xmlns:c16="http://schemas.microsoft.com/office/drawing/2014/chart" uri="{C3380CC4-5D6E-409C-BE32-E72D297353CC}">
              <c16:uniqueId val="{00000006-7D3B-4E1E-8112-705EBB62C4AF}"/>
            </c:ext>
          </c:extLst>
        </c:ser>
        <c:ser>
          <c:idx val="7"/>
          <c:order val="7"/>
          <c:tx>
            <c:strRef>
              <c:f>'COO - YoY'!$B$32</c:f>
              <c:strCache>
                <c:ptCount val="1"/>
                <c:pt idx="0">
                  <c:v>Company 3</c:v>
                </c:pt>
              </c:strCache>
            </c:strRef>
          </c:tx>
          <c:spPr>
            <a:ln w="28575">
              <a:noFill/>
            </a:ln>
          </c:spPr>
          <c:xVal>
            <c:strRef>
              <c:f>'COO - YoY'!$C$12:$E$12</c:f>
              <c:strCache>
                <c:ptCount val="3"/>
                <c:pt idx="0">
                  <c:v>2023 Target TDC</c:v>
                </c:pt>
                <c:pt idx="1">
                  <c:v>2024 Target TDC</c:v>
                </c:pt>
                <c:pt idx="2">
                  <c:v>2025E Target TDC</c:v>
                </c:pt>
              </c:strCache>
            </c:strRef>
          </c:xVal>
          <c:yVal>
            <c:numRef>
              <c:f>'COO - YoY'!$C$32:$E$32</c:f>
              <c:numCache>
                <c:formatCode>General</c:formatCode>
                <c:ptCount val="3"/>
              </c:numCache>
            </c:numRef>
          </c:yVal>
          <c:smooth val="0"/>
          <c:extLst>
            <c:ext xmlns:c16="http://schemas.microsoft.com/office/drawing/2014/chart" uri="{C3380CC4-5D6E-409C-BE32-E72D297353CC}">
              <c16:uniqueId val="{00000007-7D3B-4E1E-8112-705EBB62C4AF}"/>
            </c:ext>
          </c:extLst>
        </c:ser>
        <c:ser>
          <c:idx val="8"/>
          <c:order val="8"/>
          <c:tx>
            <c:strRef>
              <c:f>'COO - YoY'!$B$33</c:f>
              <c:strCache>
                <c:ptCount val="1"/>
                <c:pt idx="0">
                  <c:v>Company 4</c:v>
                </c:pt>
              </c:strCache>
            </c:strRef>
          </c:tx>
          <c:spPr>
            <a:ln w="28575">
              <a:noFill/>
            </a:ln>
          </c:spPr>
          <c:xVal>
            <c:strRef>
              <c:f>'COO - YoY'!$C$12:$E$12</c:f>
              <c:strCache>
                <c:ptCount val="3"/>
                <c:pt idx="0">
                  <c:v>2023 Target TDC</c:v>
                </c:pt>
                <c:pt idx="1">
                  <c:v>2024 Target TDC</c:v>
                </c:pt>
                <c:pt idx="2">
                  <c:v>2025E Target TDC</c:v>
                </c:pt>
              </c:strCache>
            </c:strRef>
          </c:xVal>
          <c:yVal>
            <c:numRef>
              <c:f>'COO - YoY'!$C$33:$E$33</c:f>
              <c:numCache>
                <c:formatCode>General</c:formatCode>
                <c:ptCount val="3"/>
              </c:numCache>
            </c:numRef>
          </c:yVal>
          <c:smooth val="0"/>
          <c:extLst>
            <c:ext xmlns:c16="http://schemas.microsoft.com/office/drawing/2014/chart" uri="{C3380CC4-5D6E-409C-BE32-E72D297353CC}">
              <c16:uniqueId val="{00000008-7D3B-4E1E-8112-705EBB62C4AF}"/>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'Legal - YoY'!$B$21</c:f>
              <c:strCache>
                <c:ptCount val="1"/>
                <c:pt idx="0">
                  <c:v>25th</c:v>
                </c:pt>
              </c:strCache>
            </c:strRef>
          </c:tx>
          <c:spPr>
            <a:noFill/>
          </c:spPr>
          <c:invertIfNegative val="0"/>
          <c:cat>
            <c:strRef>
              <c:f>'Legal - YoY'!$C$12:$H$12</c:f>
              <c:strCache>
                <c:ptCount val="6"/>
                <c:pt idx="0">
                  <c:v>2023 Target TDC</c:v>
                </c:pt>
                <c:pt idx="1">
                  <c:v>2024 Target TDC</c:v>
                </c:pt>
                <c:pt idx="2">
                  <c:v>2025E Target TDC</c:v>
                </c:pt>
                <c:pt idx="3">
                  <c:v>2023 Target TDC</c:v>
                </c:pt>
                <c:pt idx="4">
                  <c:v>2024 Target TDC</c:v>
                </c:pt>
                <c:pt idx="5">
                  <c:v>2025E Target TDC</c:v>
                </c:pt>
              </c:strCache>
            </c:strRef>
          </c:cat>
          <c:val>
            <c:numRef>
              <c:f>'Legal - YoY'!$C$21:$H$21</c:f>
              <c:numCache>
                <c:formatCode>"$"#,##0</c:formatCode>
                <c:ptCount val="6"/>
                <c:pt idx="0">
                  <c:v>1380.5025000000001</c:v>
                </c:pt>
                <c:pt idx="1">
                  <c:v>1462.2595000000001</c:v>
                </c:pt>
                <c:pt idx="2">
                  <c:v>1506.127285</c:v>
                </c:pt>
                <c:pt idx="3">
                  <c:v>1455.9375</c:v>
                </c:pt>
                <c:pt idx="4">
                  <c:v>1621.8000000000002</c:v>
                </c:pt>
                <c:pt idx="5">
                  <c:v>1670.454</c:v>
                </c:pt>
              </c:numCache>
            </c:numRef>
          </c:val>
          <c:extLst>
            <c:ext xmlns:c16="http://schemas.microsoft.com/office/drawing/2014/chart" uri="{C3380CC4-5D6E-409C-BE32-E72D297353CC}">
              <c16:uniqueId val="{00000000-60D5-4733-B9B3-6F3044F9CA27}"/>
            </c:ext>
          </c:extLst>
        </c:ser>
        <c:ser>
          <c:idx val="1"/>
          <c:order val="1"/>
          <c:tx>
            <c:strRef>
              <c:f>'Legal - YoY'!$B$22</c:f>
              <c:strCache>
                <c:ptCount val="1"/>
                <c:pt idx="0">
                  <c:v>50th</c:v>
                </c:pt>
              </c:strCache>
            </c:strRef>
          </c:tx>
          <c:spPr>
            <a:solidFill>
              <a:srgbClr val="002957"/>
            </a:solidFill>
          </c:spPr>
          <c:invertIfNegative val="0"/>
          <c:cat>
            <c:strRef>
              <c:f>'Legal - YoY'!$C$12:$H$12</c:f>
              <c:strCache>
                <c:ptCount val="6"/>
                <c:pt idx="0">
                  <c:v>2023 Target TDC</c:v>
                </c:pt>
                <c:pt idx="1">
                  <c:v>2024 Target TDC</c:v>
                </c:pt>
                <c:pt idx="2">
                  <c:v>2025E Target TDC</c:v>
                </c:pt>
                <c:pt idx="3">
                  <c:v>2023 Target TDC</c:v>
                </c:pt>
                <c:pt idx="4">
                  <c:v>2024 Target TDC</c:v>
                </c:pt>
                <c:pt idx="5">
                  <c:v>2025E Target TDC</c:v>
                </c:pt>
              </c:strCache>
            </c:strRef>
          </c:cat>
          <c:val>
            <c:numRef>
              <c:f>'Legal - YoY'!$C$22:$H$22</c:f>
              <c:numCache>
                <c:formatCode>"$"#,##0</c:formatCode>
                <c:ptCount val="6"/>
                <c:pt idx="0">
                  <c:v>96.130154580499948</c:v>
                </c:pt>
                <c:pt idx="1">
                  <c:v>212.06494726313394</c:v>
                </c:pt>
                <c:pt idx="2">
                  <c:v>218.4268956810281</c:v>
                </c:pt>
                <c:pt idx="3">
                  <c:v>156.59798077146343</c:v>
                </c:pt>
                <c:pt idx="4">
                  <c:v>258.56222438313398</c:v>
                </c:pt>
                <c:pt idx="5">
                  <c:v>266.31909111462824</c:v>
                </c:pt>
              </c:numCache>
            </c:numRef>
          </c:val>
          <c:extLst>
            <c:ext xmlns:c16="http://schemas.microsoft.com/office/drawing/2014/chart" uri="{C3380CC4-5D6E-409C-BE32-E72D297353CC}">
              <c16:uniqueId val="{00000001-60D5-4733-B9B3-6F3044F9CA27}"/>
            </c:ext>
          </c:extLst>
        </c:ser>
        <c:ser>
          <c:idx val="2"/>
          <c:order val="2"/>
          <c:tx>
            <c:strRef>
              <c:f>'Legal - YoY'!$B$23</c:f>
              <c:strCache>
                <c:ptCount val="1"/>
                <c:pt idx="0">
                  <c:v>75th</c:v>
                </c:pt>
              </c:strCache>
            </c:strRef>
          </c:tx>
          <c:spPr>
            <a:solidFill>
              <a:schemeClr val="tx2">
                <a:lumMod val="20000"/>
                <a:lumOff val="80000"/>
              </a:schemeClr>
            </a:solidFill>
          </c:spPr>
          <c:invertIfNegative val="0"/>
          <c:cat>
            <c:strRef>
              <c:f>'Legal - YoY'!$C$12:$H$12</c:f>
              <c:strCache>
                <c:ptCount val="6"/>
                <c:pt idx="0">
                  <c:v>2023 Target TDC</c:v>
                </c:pt>
                <c:pt idx="1">
                  <c:v>2024 Target TDC</c:v>
                </c:pt>
                <c:pt idx="2">
                  <c:v>2025E Target TDC</c:v>
                </c:pt>
                <c:pt idx="3">
                  <c:v>2023 Target TDC</c:v>
                </c:pt>
                <c:pt idx="4">
                  <c:v>2024 Target TDC</c:v>
                </c:pt>
                <c:pt idx="5">
                  <c:v>2025E Target TDC</c:v>
                </c:pt>
              </c:strCache>
            </c:strRef>
          </c:cat>
          <c:val>
            <c:numRef>
              <c:f>'Legal - YoY'!$C$23:$H$23</c:f>
              <c:numCache>
                <c:formatCode>"$"#,##0</c:formatCode>
                <c:ptCount val="6"/>
                <c:pt idx="0">
                  <c:v>504.09012946759049</c:v>
                </c:pt>
                <c:pt idx="1">
                  <c:v>425.43132107432029</c:v>
                </c:pt>
                <c:pt idx="2">
                  <c:v>429.97397225002237</c:v>
                </c:pt>
                <c:pt idx="3">
                  <c:v>766.90019422853629</c:v>
                </c:pt>
                <c:pt idx="4">
                  <c:v>605.82929523188614</c:v>
                </c:pt>
                <c:pt idx="5">
                  <c:v>645.93149016684401</c:v>
                </c:pt>
              </c:numCache>
            </c:numRef>
          </c:val>
          <c:extLst>
            <c:ext xmlns:c16="http://schemas.microsoft.com/office/drawing/2014/chart" uri="{C3380CC4-5D6E-409C-BE32-E72D297353CC}">
              <c16:uniqueId val="{00000002-60D5-4733-B9B3-6F3044F9CA27}"/>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'Legal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'Legal - YoY'!$C$25:$H$25</c:f>
              <c:numCache>
                <c:formatCode>"$"#,##0</c:formatCode>
                <c:ptCount val="6"/>
                <c:pt idx="0">
                  <c:v>1582.9059999999999</c:v>
                </c:pt>
                <c:pt idx="1">
                  <c:v>1630.39175</c:v>
                </c:pt>
                <c:pt idx="2">
                  <c:v>1630.39175</c:v>
                </c:pt>
                <c:pt idx="3">
                  <c:v>1582.9059999999999</c:v>
                </c:pt>
                <c:pt idx="4">
                  <c:v>1630.39175</c:v>
                </c:pt>
                <c:pt idx="5">
                  <c:v>1630.39175</c:v>
                </c:pt>
              </c:numCache>
            </c:numRef>
          </c:yVal>
          <c:smooth val="0"/>
          <c:extLst>
            <c:ext xmlns:c16="http://schemas.microsoft.com/office/drawing/2014/chart" uri="{C3380CC4-5D6E-409C-BE32-E72D297353CC}">
              <c16:uniqueId val="{00000003-60D5-4733-B9B3-6F3044F9CA27}"/>
            </c:ext>
          </c:extLst>
        </c:ser>
        <c:ser>
          <c:idx val="4"/>
          <c:order val="4"/>
          <c:tx>
            <c:strRef>
              <c:f>'Legal - YoY'!$B$24</c:f>
              <c:strCache>
                <c:ptCount val="1"/>
                <c:pt idx="0">
                  <c:v>Average</c:v>
                </c:pt>
              </c:strCache>
            </c:strRef>
          </c:tx>
          <c:spPr>
            <a:ln w="28575">
              <a:noFill/>
            </a:ln>
          </c:spPr>
          <c:marker>
            <c:symbol val="dash"/>
            <c:size val="15"/>
            <c:spPr>
              <a:solidFill>
                <a:srgbClr val="AFABAB"/>
              </a:solidFill>
              <a:ln>
                <a:solidFill>
                  <a:srgbClr val="AFABAB"/>
                </a:solidFill>
              </a:ln>
            </c:spPr>
          </c:marker>
          <c:yVal>
            <c:numRef>
              <c:f>'Legal - YoY'!$C$24:$H$24</c:f>
              <c:numCache>
                <c:formatCode>"$"#,##0</c:formatCode>
                <c:ptCount val="6"/>
                <c:pt idx="0">
                  <c:v>1683.0830305862385</c:v>
                </c:pt>
                <c:pt idx="1">
                  <c:v>1858.9752553086805</c:v>
                </c:pt>
                <c:pt idx="2">
                  <c:v>1913.374464891853</c:v>
                </c:pt>
                <c:pt idx="3">
                  <c:v>1863.5116129900366</c:v>
                </c:pt>
                <c:pt idx="4">
                  <c:v>2012.1751832934981</c:v>
                </c:pt>
                <c:pt idx="5">
                  <c:v>2081.9385066605696</c:v>
                </c:pt>
              </c:numCache>
            </c:numRef>
          </c:yVal>
          <c:smooth val="0"/>
          <c:extLst>
            <c:ext xmlns:c16="http://schemas.microsoft.com/office/drawing/2014/chart" uri="{C3380CC4-5D6E-409C-BE32-E72D297353CC}">
              <c16:uniqueId val="{00000004-60D5-4733-B9B3-6F3044F9CA27}"/>
            </c:ext>
          </c:extLst>
        </c:ser>
        <c:ser>
          <c:idx val="5"/>
          <c:order val="5"/>
          <c:tx>
            <c:strRef>
              <c:f>'Legal - YoY'!$B$30</c:f>
              <c:strCache>
                <c:ptCount val="1"/>
                <c:pt idx="0">
                  <c:v>Company 1</c:v>
                </c:pt>
              </c:strCache>
            </c:strRef>
          </c:tx>
          <c:spPr>
            <a:ln w="28575">
              <a:noFill/>
            </a:ln>
          </c:spPr>
          <c:xVal>
            <c:strRef>
              <c:f>'Legal - YoY'!$C$12:$H$12</c:f>
              <c:strCache>
                <c:ptCount val="6"/>
                <c:pt idx="0">
                  <c:v>2023 Target TDC</c:v>
                </c:pt>
                <c:pt idx="1">
                  <c:v>2024 Target TDC</c:v>
                </c:pt>
                <c:pt idx="2">
                  <c:v>2025E Target TDC</c:v>
                </c:pt>
                <c:pt idx="3">
                  <c:v>2023 Target TDC</c:v>
                </c:pt>
                <c:pt idx="4">
                  <c:v>2024 Target TDC</c:v>
                </c:pt>
                <c:pt idx="5">
                  <c:v>2025E Target TDC</c:v>
                </c:pt>
              </c:strCache>
            </c:strRef>
          </c:xVal>
          <c:yVal>
            <c:numRef>
              <c:f>'Legal - YoY'!$C$30:$H$30</c:f>
              <c:numCache>
                <c:formatCode>General</c:formatCode>
                <c:ptCount val="6"/>
              </c:numCache>
            </c:numRef>
          </c:yVal>
          <c:smooth val="0"/>
          <c:extLst>
            <c:ext xmlns:c16="http://schemas.microsoft.com/office/drawing/2014/chart" uri="{C3380CC4-5D6E-409C-BE32-E72D297353CC}">
              <c16:uniqueId val="{00000005-60D5-4733-B9B3-6F3044F9CA27}"/>
            </c:ext>
          </c:extLst>
        </c:ser>
        <c:ser>
          <c:idx val="6"/>
          <c:order val="6"/>
          <c:tx>
            <c:strRef>
              <c:f>'Legal - YoY'!$B$31</c:f>
              <c:strCache>
                <c:ptCount val="1"/>
                <c:pt idx="0">
                  <c:v>Company 2</c:v>
                </c:pt>
              </c:strCache>
            </c:strRef>
          </c:tx>
          <c:spPr>
            <a:ln w="28575">
              <a:noFill/>
            </a:ln>
          </c:spPr>
          <c:xVal>
            <c:strRef>
              <c:f>'Legal - YoY'!$C$12:$H$12</c:f>
              <c:strCache>
                <c:ptCount val="6"/>
                <c:pt idx="0">
                  <c:v>2023 Target TDC</c:v>
                </c:pt>
                <c:pt idx="1">
                  <c:v>2024 Target TDC</c:v>
                </c:pt>
                <c:pt idx="2">
                  <c:v>2025E Target TDC</c:v>
                </c:pt>
                <c:pt idx="3">
                  <c:v>2023 Target TDC</c:v>
                </c:pt>
                <c:pt idx="4">
                  <c:v>2024 Target TDC</c:v>
                </c:pt>
                <c:pt idx="5">
                  <c:v>2025E Target TDC</c:v>
                </c:pt>
              </c:strCache>
            </c:strRef>
          </c:xVal>
          <c:yVal>
            <c:numRef>
              <c:f>'Legal - YoY'!$C$31:$H$31</c:f>
              <c:numCache>
                <c:formatCode>General</c:formatCode>
                <c:ptCount val="6"/>
              </c:numCache>
            </c:numRef>
          </c:yVal>
          <c:smooth val="0"/>
          <c:extLst>
            <c:ext xmlns:c16="http://schemas.microsoft.com/office/drawing/2014/chart" uri="{C3380CC4-5D6E-409C-BE32-E72D297353CC}">
              <c16:uniqueId val="{00000006-60D5-4733-B9B3-6F3044F9CA27}"/>
            </c:ext>
          </c:extLst>
        </c:ser>
        <c:ser>
          <c:idx val="7"/>
          <c:order val="7"/>
          <c:tx>
            <c:strRef>
              <c:f>'Legal - YoY'!$B$32</c:f>
              <c:strCache>
                <c:ptCount val="1"/>
                <c:pt idx="0">
                  <c:v>Company 3</c:v>
                </c:pt>
              </c:strCache>
            </c:strRef>
          </c:tx>
          <c:spPr>
            <a:ln w="28575">
              <a:noFill/>
            </a:ln>
          </c:spPr>
          <c:xVal>
            <c:strRef>
              <c:f>'Legal - YoY'!$C$12:$H$12</c:f>
              <c:strCache>
                <c:ptCount val="6"/>
                <c:pt idx="0">
                  <c:v>2023 Target TDC</c:v>
                </c:pt>
                <c:pt idx="1">
                  <c:v>2024 Target TDC</c:v>
                </c:pt>
                <c:pt idx="2">
                  <c:v>2025E Target TDC</c:v>
                </c:pt>
                <c:pt idx="3">
                  <c:v>2023 Target TDC</c:v>
                </c:pt>
                <c:pt idx="4">
                  <c:v>2024 Target TDC</c:v>
                </c:pt>
                <c:pt idx="5">
                  <c:v>2025E Target TDC</c:v>
                </c:pt>
              </c:strCache>
            </c:strRef>
          </c:xVal>
          <c:yVal>
            <c:numRef>
              <c:f>'Legal - YoY'!$C$32:$H$32</c:f>
              <c:numCache>
                <c:formatCode>General</c:formatCode>
                <c:ptCount val="6"/>
              </c:numCache>
            </c:numRef>
          </c:yVal>
          <c:smooth val="0"/>
          <c:extLst>
            <c:ext xmlns:c16="http://schemas.microsoft.com/office/drawing/2014/chart" uri="{C3380CC4-5D6E-409C-BE32-E72D297353CC}">
              <c16:uniqueId val="{00000007-60D5-4733-B9B3-6F3044F9CA27}"/>
            </c:ext>
          </c:extLst>
        </c:ser>
        <c:ser>
          <c:idx val="8"/>
          <c:order val="8"/>
          <c:tx>
            <c:strRef>
              <c:f>'Legal - YoY'!$B$33</c:f>
              <c:strCache>
                <c:ptCount val="1"/>
                <c:pt idx="0">
                  <c:v>Company 4</c:v>
                </c:pt>
              </c:strCache>
            </c:strRef>
          </c:tx>
          <c:spPr>
            <a:ln w="28575">
              <a:noFill/>
            </a:ln>
          </c:spPr>
          <c:xVal>
            <c:strRef>
              <c:f>'Legal - YoY'!$C$12:$H$12</c:f>
              <c:strCache>
                <c:ptCount val="6"/>
                <c:pt idx="0">
                  <c:v>2023 Target TDC</c:v>
                </c:pt>
                <c:pt idx="1">
                  <c:v>2024 Target TDC</c:v>
                </c:pt>
                <c:pt idx="2">
                  <c:v>2025E Target TDC</c:v>
                </c:pt>
                <c:pt idx="3">
                  <c:v>2023 Target TDC</c:v>
                </c:pt>
                <c:pt idx="4">
                  <c:v>2024 Target TDC</c:v>
                </c:pt>
                <c:pt idx="5">
                  <c:v>2025E Target TDC</c:v>
                </c:pt>
              </c:strCache>
            </c:strRef>
          </c:xVal>
          <c:yVal>
            <c:numRef>
              <c:f>'Legal - YoY'!$C$33:$H$33</c:f>
              <c:numCache>
                <c:formatCode>General</c:formatCode>
                <c:ptCount val="6"/>
              </c:numCache>
            </c:numRef>
          </c:yVal>
          <c:smooth val="0"/>
          <c:extLst>
            <c:ext xmlns:c16="http://schemas.microsoft.com/office/drawing/2014/chart" uri="{C3380CC4-5D6E-409C-BE32-E72D297353CC}">
              <c16:uniqueId val="{00000008-60D5-4733-B9B3-6F3044F9CA27}"/>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US'!$B$21</c:f>
              <c:strCache>
                <c:ptCount val="1"/>
                <c:pt idx="0">
                  <c:v>25th</c:v>
                </c:pt>
              </c:strCache>
            </c:strRef>
          </c:tx>
          <c:spPr>
            <a:noFill/>
          </c:spPr>
          <c:invertIfNegative val="0"/>
          <c:cat>
            <c:strRef>
              <c:f>'SVP US'!$C$12:$E$12</c:f>
              <c:strCache>
                <c:ptCount val="3"/>
                <c:pt idx="0">
                  <c:v>2023 Target TDC</c:v>
                </c:pt>
                <c:pt idx="1">
                  <c:v>2024 Target TDC</c:v>
                </c:pt>
                <c:pt idx="2">
                  <c:v>2025E Target TDC</c:v>
                </c:pt>
              </c:strCache>
            </c:strRef>
          </c:cat>
          <c:val>
            <c:numRef>
              <c:f>'SVP US'!$C$21:$E$21</c:f>
              <c:numCache>
                <c:formatCode>"$"#,##0</c:formatCode>
                <c:ptCount val="3"/>
                <c:pt idx="0">
                  <c:v>1305.9778587325</c:v>
                </c:pt>
                <c:pt idx="1">
                  <c:v>1415.0239999999999</c:v>
                </c:pt>
                <c:pt idx="2">
                  <c:v>1457.4747200000002</c:v>
                </c:pt>
              </c:numCache>
            </c:numRef>
          </c:val>
          <c:extLst>
            <c:ext xmlns:c16="http://schemas.microsoft.com/office/drawing/2014/chart" uri="{C3380CC4-5D6E-409C-BE32-E72D297353CC}">
              <c16:uniqueId val="{00000000-14DD-49CC-AA71-43A6948D87D5}"/>
            </c:ext>
          </c:extLst>
        </c:ser>
        <c:ser>
          <c:idx val="2"/>
          <c:order val="1"/>
          <c:tx>
            <c:strRef>
              <c:f>'SVP US'!$B$22</c:f>
              <c:strCache>
                <c:ptCount val="1"/>
                <c:pt idx="0">
                  <c:v>50th</c:v>
                </c:pt>
              </c:strCache>
            </c:strRef>
          </c:tx>
          <c:spPr>
            <a:solidFill>
              <a:srgbClr val="002957"/>
            </a:solidFill>
          </c:spPr>
          <c:invertIfNegative val="0"/>
          <c:cat>
            <c:strRef>
              <c:f>'SVP US'!$C$12:$E$12</c:f>
              <c:strCache>
                <c:ptCount val="3"/>
                <c:pt idx="0">
                  <c:v>2023 Target TDC</c:v>
                </c:pt>
                <c:pt idx="1">
                  <c:v>2024 Target TDC</c:v>
                </c:pt>
                <c:pt idx="2">
                  <c:v>2025E Target TDC</c:v>
                </c:pt>
              </c:strCache>
            </c:strRef>
          </c:cat>
          <c:val>
            <c:numRef>
              <c:f>'SVP US'!$C$22:$E$22</c:f>
              <c:numCache>
                <c:formatCode>"$"#,##0</c:formatCode>
                <c:ptCount val="3"/>
                <c:pt idx="0">
                  <c:v>126.90479584800005</c:v>
                </c:pt>
                <c:pt idx="1">
                  <c:v>130.23386449018108</c:v>
                </c:pt>
                <c:pt idx="2">
                  <c:v>134.14088042488629</c:v>
                </c:pt>
              </c:numCache>
            </c:numRef>
          </c:val>
          <c:extLst>
            <c:ext xmlns:c16="http://schemas.microsoft.com/office/drawing/2014/chart" uri="{C3380CC4-5D6E-409C-BE32-E72D297353CC}">
              <c16:uniqueId val="{00000001-14DD-49CC-AA71-43A6948D87D5}"/>
            </c:ext>
          </c:extLst>
        </c:ser>
        <c:ser>
          <c:idx val="10"/>
          <c:order val="9"/>
          <c:tx>
            <c:strRef>
              <c:f>'SVP US'!$B$23</c:f>
              <c:strCache>
                <c:ptCount val="1"/>
                <c:pt idx="0">
                  <c:v>75th</c:v>
                </c:pt>
              </c:strCache>
            </c:strRef>
          </c:tx>
          <c:spPr>
            <a:solidFill>
              <a:srgbClr val="C6D9F1"/>
            </a:solidFill>
            <a:ln w="28575">
              <a:noFill/>
            </a:ln>
          </c:spPr>
          <c:invertIfNegative val="0"/>
          <c:val>
            <c:numRef>
              <c:f>'SVP US'!$C$23:$E$23</c:f>
              <c:numCache>
                <c:formatCode>"$"#,##0</c:formatCode>
                <c:ptCount val="3"/>
                <c:pt idx="0">
                  <c:v>495.01882946759065</c:v>
                </c:pt>
                <c:pt idx="1">
                  <c:v>389.97081576102346</c:v>
                </c:pt>
                <c:pt idx="2">
                  <c:v>461.58728388546342</c:v>
                </c:pt>
              </c:numCache>
            </c:numRef>
          </c:val>
          <c:extLst>
            <c:ext xmlns:c16="http://schemas.microsoft.com/office/drawing/2014/chart" uri="{C3380CC4-5D6E-409C-BE32-E72D297353CC}">
              <c16:uniqueId val="{00000002-14DD-49CC-AA71-43A6948D87D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US'!$B$25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3-14DD-49CC-AA71-43A6948D87D5}"/>
              </c:ext>
            </c:extLst>
          </c:dPt>
          <c:yVal>
            <c:numRef>
              <c:f>'SVP US'!$C$25:$E$25</c:f>
              <c:numCache>
                <c:formatCode>"$"#,##0</c:formatCode>
                <c:ptCount val="3"/>
                <c:pt idx="0">
                  <c:v>1532</c:v>
                </c:pt>
                <c:pt idx="1">
                  <c:v>1698.922012984</c:v>
                </c:pt>
                <c:pt idx="2">
                  <c:v>1698.922012984</c:v>
                </c:pt>
              </c:numCache>
            </c:numRef>
          </c:yVal>
          <c:smooth val="0"/>
          <c:extLst>
            <c:ext xmlns:c16="http://schemas.microsoft.com/office/drawing/2014/chart" uri="{C3380CC4-5D6E-409C-BE32-E72D297353CC}">
              <c16:uniqueId val="{00000004-14DD-49CC-AA71-43A6948D87D5}"/>
            </c:ext>
          </c:extLst>
        </c:ser>
        <c:ser>
          <c:idx val="4"/>
          <c:order val="3"/>
          <c:tx>
            <c:strRef>
              <c:f>'SVP US'!$B$24</c:f>
              <c:strCache>
                <c:ptCount val="1"/>
                <c:pt idx="0">
                  <c:v>Average</c:v>
                </c:pt>
              </c:strCache>
            </c:strRef>
          </c:tx>
          <c:spPr>
            <a:ln w="28575">
              <a:noFill/>
            </a:ln>
          </c:spPr>
          <c:marker>
            <c:symbol val="dash"/>
            <c:size val="15"/>
            <c:spPr>
              <a:solidFill>
                <a:srgbClr val="AFABAB"/>
              </a:solidFill>
              <a:ln>
                <a:solidFill>
                  <a:srgbClr val="AFABAB"/>
                </a:solidFill>
              </a:ln>
            </c:spPr>
          </c:marker>
          <c:yVal>
            <c:numRef>
              <c:f>'SVP US'!$C$24:$E$24</c:f>
              <c:numCache>
                <c:formatCode>"$"#,##0</c:formatCode>
                <c:ptCount val="3"/>
                <c:pt idx="0">
                  <c:v>1626.2010226289901</c:v>
                </c:pt>
                <c:pt idx="1">
                  <c:v>1702.093364541762</c:v>
                </c:pt>
                <c:pt idx="2">
                  <c:v>1761.9856810713468</c:v>
                </c:pt>
              </c:numCache>
            </c:numRef>
          </c:yVal>
          <c:smooth val="0"/>
          <c:extLst>
            <c:ext xmlns:c16="http://schemas.microsoft.com/office/drawing/2014/chart" uri="{C3380CC4-5D6E-409C-BE32-E72D297353CC}">
              <c16:uniqueId val="{00000005-14DD-49CC-AA71-43A6948D87D5}"/>
            </c:ext>
          </c:extLst>
        </c:ser>
        <c:ser>
          <c:idx val="5"/>
          <c:order val="4"/>
          <c:tx>
            <c:strRef>
              <c:f>'SVP US'!$B$30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US'!$C$30:$E$30</c:f>
              <c:numCache>
                <c:formatCode>General</c:formatCode>
                <c:ptCount val="3"/>
                <c:pt idx="2" formatCode="&quot;$&quot;#,##0">
                  <c:v>2489.6343251258886</c:v>
                </c:pt>
              </c:numCache>
            </c:numRef>
          </c:yVal>
          <c:smooth val="0"/>
          <c:extLst>
            <c:ext xmlns:c16="http://schemas.microsoft.com/office/drawing/2014/chart" uri="{C3380CC4-5D6E-409C-BE32-E72D297353CC}">
              <c16:uniqueId val="{00000007-14DD-49CC-AA71-43A6948D87D5}"/>
            </c:ext>
          </c:extLst>
        </c:ser>
        <c:ser>
          <c:idx val="6"/>
          <c:order val="5"/>
          <c:tx>
            <c:strRef>
              <c:f>'SVP US'!$B$31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US'!$C$31:$E$31</c:f>
              <c:numCache>
                <c:formatCode>General</c:formatCode>
                <c:ptCount val="3"/>
                <c:pt idx="2" formatCode="&quot;$&quot;#,##0">
                  <c:v>1302.6358586277611</c:v>
                </c:pt>
              </c:numCache>
            </c:numRef>
          </c:yVal>
          <c:smooth val="0"/>
          <c:extLst>
            <c:ext xmlns:c16="http://schemas.microsoft.com/office/drawing/2014/chart" uri="{C3380CC4-5D6E-409C-BE32-E72D297353CC}">
              <c16:uniqueId val="{00000009-14DD-49CC-AA71-43A6948D87D5}"/>
            </c:ext>
          </c:extLst>
        </c:ser>
        <c:ser>
          <c:idx val="7"/>
          <c:order val="6"/>
          <c:tx>
            <c:strRef>
              <c:f>'SVP US'!$B$32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US'!$C$32:$E$32</c:f>
              <c:numCache>
                <c:formatCode>General</c:formatCode>
                <c:ptCount val="3"/>
                <c:pt idx="2" formatCode="&quot;$&quot;#,##0">
                  <c:v>2219.3924999999999</c:v>
                </c:pt>
              </c:numCache>
            </c:numRef>
          </c:yVal>
          <c:smooth val="0"/>
          <c:extLst>
            <c:ext xmlns:c16="http://schemas.microsoft.com/office/drawing/2014/chart" uri="{C3380CC4-5D6E-409C-BE32-E72D297353CC}">
              <c16:uniqueId val="{0000000B-14DD-49CC-AA71-43A6948D87D5}"/>
            </c:ext>
          </c:extLst>
        </c:ser>
        <c:ser>
          <c:idx val="8"/>
          <c:order val="7"/>
          <c:tx>
            <c:strRef>
              <c:f>'SVP US'!$B$33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US'!$C$33:$E$33</c:f>
              <c:numCache>
                <c:formatCode>General</c:formatCode>
                <c:ptCount val="3"/>
                <c:pt idx="2" formatCode="&quot;$&quot;#,##0">
                  <c:v>2638.9666050000001</c:v>
                </c:pt>
              </c:numCache>
            </c:numRef>
          </c:yVal>
          <c:smooth val="0"/>
          <c:extLst>
            <c:ext xmlns:c16="http://schemas.microsoft.com/office/drawing/2014/chart" uri="{C3380CC4-5D6E-409C-BE32-E72D297353CC}">
              <c16:uniqueId val="{0000000D-14DD-49CC-AA71-43A6948D87D5}"/>
            </c:ext>
          </c:extLst>
        </c:ser>
        <c:ser>
          <c:idx val="9"/>
          <c:order val="8"/>
          <c:tx>
            <c:strRef>
              <c:f>'SVP US'!$B$34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E-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US'!$C$34:$E$34</c:f>
              <c:numCache>
                <c:formatCode>General</c:formatCode>
                <c:ptCount val="3"/>
                <c:pt idx="2" formatCode="&quot;$&quot;#,##0">
                  <c:v>1926.8183057855492</c:v>
                </c:pt>
              </c:numCache>
            </c:numRef>
          </c:yVal>
          <c:smooth val="0"/>
          <c:extLst>
            <c:ext xmlns:c16="http://schemas.microsoft.com/office/drawing/2014/chart" uri="{C3380CC4-5D6E-409C-BE32-E72D297353CC}">
              <c16:uniqueId val="{0000000F-14DD-49CC-AA71-43A6948D87D5}"/>
            </c:ext>
          </c:extLst>
        </c:ser>
        <c:ser>
          <c:idx val="1"/>
          <c:order val="10"/>
          <c:tx>
            <c:strRef>
              <c:f>'SVP US'!$B$35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10-14DD-49CC-AA71-43A6948D87D5}"/>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US'!$C$35:$E$35</c:f>
              <c:numCache>
                <c:formatCode>General</c:formatCode>
                <c:ptCount val="3"/>
                <c:pt idx="2" formatCode="&quot;$&quot;#,##0">
                  <c:v>1784.781663643063</c:v>
                </c:pt>
              </c:numCache>
            </c:numRef>
          </c:yVal>
          <c:smooth val="0"/>
          <c:extLst>
            <c:ext xmlns:c16="http://schemas.microsoft.com/office/drawing/2014/chart" uri="{C3380CC4-5D6E-409C-BE32-E72D297353CC}">
              <c16:uniqueId val="{00000011-14DD-49CC-AA71-43A6948D87D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9707951751733697"/>
          <c:h val="0.87838693139448176"/>
        </c:manualLayout>
      </c:layout>
      <c:barChart>
        <c:barDir val="col"/>
        <c:grouping val="stacked"/>
        <c:varyColors val="0"/>
        <c:ser>
          <c:idx val="0"/>
          <c:order val="0"/>
          <c:tx>
            <c:strRef>
              <c:f>'SVP-Explo.'!$B$21</c:f>
              <c:strCache>
                <c:ptCount val="1"/>
                <c:pt idx="0">
                  <c:v>25th</c:v>
                </c:pt>
              </c:strCache>
            </c:strRef>
          </c:tx>
          <c:spPr>
            <a:noFill/>
          </c:spPr>
          <c:invertIfNegative val="0"/>
          <c:cat>
            <c:strRef>
              <c:f>'SVP-Explo.'!$C$12:$E$12</c:f>
              <c:strCache>
                <c:ptCount val="3"/>
                <c:pt idx="0">
                  <c:v>2023 Target TDC</c:v>
                </c:pt>
                <c:pt idx="1">
                  <c:v>2024 Target TDC</c:v>
                </c:pt>
                <c:pt idx="2">
                  <c:v>2025E Target TDC</c:v>
                </c:pt>
              </c:strCache>
            </c:strRef>
          </c:cat>
          <c:val>
            <c:numRef>
              <c:f>'SVP-Explo.'!$C$21:$E$21</c:f>
              <c:numCache>
                <c:formatCode>"$"#,##0</c:formatCode>
                <c:ptCount val="3"/>
                <c:pt idx="0">
                  <c:v>1305.9778587325</c:v>
                </c:pt>
                <c:pt idx="1">
                  <c:v>1415.0239999999999</c:v>
                </c:pt>
                <c:pt idx="2">
                  <c:v>1457.4747200000002</c:v>
                </c:pt>
              </c:numCache>
            </c:numRef>
          </c:val>
          <c:extLst>
            <c:ext xmlns:c16="http://schemas.microsoft.com/office/drawing/2014/chart" uri="{C3380CC4-5D6E-409C-BE32-E72D297353CC}">
              <c16:uniqueId val="{00000000-091A-4AB5-AA20-D9D7DF8A5D75}"/>
            </c:ext>
          </c:extLst>
        </c:ser>
        <c:ser>
          <c:idx val="1"/>
          <c:order val="1"/>
          <c:tx>
            <c:strRef>
              <c:f>'SVP-Explo.'!$B$22</c:f>
              <c:strCache>
                <c:ptCount val="1"/>
                <c:pt idx="0">
                  <c:v>50th</c:v>
                </c:pt>
              </c:strCache>
            </c:strRef>
          </c:tx>
          <c:spPr>
            <a:solidFill>
              <a:srgbClr val="002957"/>
            </a:solidFill>
          </c:spPr>
          <c:invertIfNegative val="0"/>
          <c:cat>
            <c:strRef>
              <c:f>'SVP-Explo.'!$C$12:$E$12</c:f>
              <c:strCache>
                <c:ptCount val="3"/>
                <c:pt idx="0">
                  <c:v>2023 Target TDC</c:v>
                </c:pt>
                <c:pt idx="1">
                  <c:v>2024 Target TDC</c:v>
                </c:pt>
                <c:pt idx="2">
                  <c:v>2025E Target TDC</c:v>
                </c:pt>
              </c:strCache>
            </c:strRef>
          </c:cat>
          <c:val>
            <c:numRef>
              <c:f>'SVP-Explo.'!$C$22:$E$22</c:f>
              <c:numCache>
                <c:formatCode>"$"#,##0</c:formatCode>
                <c:ptCount val="3"/>
                <c:pt idx="0">
                  <c:v>126.90479584800005</c:v>
                </c:pt>
                <c:pt idx="1">
                  <c:v>130.23386449018108</c:v>
                </c:pt>
                <c:pt idx="2">
                  <c:v>134.14088042488629</c:v>
                </c:pt>
              </c:numCache>
            </c:numRef>
          </c:val>
          <c:extLst>
            <c:ext xmlns:c16="http://schemas.microsoft.com/office/drawing/2014/chart" uri="{C3380CC4-5D6E-409C-BE32-E72D297353CC}">
              <c16:uniqueId val="{00000001-091A-4AB5-AA20-D9D7DF8A5D75}"/>
            </c:ext>
          </c:extLst>
        </c:ser>
        <c:ser>
          <c:idx val="2"/>
          <c:order val="2"/>
          <c:tx>
            <c:strRef>
              <c:f>'SVP-Explo.'!$B$23</c:f>
              <c:strCache>
                <c:ptCount val="1"/>
                <c:pt idx="0">
                  <c:v>75th</c:v>
                </c:pt>
              </c:strCache>
            </c:strRef>
          </c:tx>
          <c:spPr>
            <a:solidFill>
              <a:schemeClr val="tx2">
                <a:lumMod val="20000"/>
                <a:lumOff val="80000"/>
              </a:schemeClr>
            </a:solidFill>
          </c:spPr>
          <c:invertIfNegative val="0"/>
          <c:cat>
            <c:strRef>
              <c:f>'SVP-Explo.'!$C$12:$E$12</c:f>
              <c:strCache>
                <c:ptCount val="3"/>
                <c:pt idx="0">
                  <c:v>2023 Target TDC</c:v>
                </c:pt>
                <c:pt idx="1">
                  <c:v>2024 Target TDC</c:v>
                </c:pt>
                <c:pt idx="2">
                  <c:v>2025E Target TDC</c:v>
                </c:pt>
              </c:strCache>
            </c:strRef>
          </c:cat>
          <c:val>
            <c:numRef>
              <c:f>'SVP-Explo.'!$C$23:$E$23</c:f>
              <c:numCache>
                <c:formatCode>"$"#,##0</c:formatCode>
                <c:ptCount val="3"/>
                <c:pt idx="0">
                  <c:v>495.01882946759065</c:v>
                </c:pt>
                <c:pt idx="1">
                  <c:v>389.97081576102346</c:v>
                </c:pt>
                <c:pt idx="2">
                  <c:v>461.58728388546342</c:v>
                </c:pt>
              </c:numCache>
            </c:numRef>
          </c:val>
          <c:extLst>
            <c:ext xmlns:c16="http://schemas.microsoft.com/office/drawing/2014/chart" uri="{C3380CC4-5D6E-409C-BE32-E72D297353CC}">
              <c16:uniqueId val="{00000002-091A-4AB5-AA20-D9D7DF8A5D7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'SVP-Explo.'!$B$25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'SVP-Explo.'!$C$25:$E$25</c:f>
              <c:numCache>
                <c:formatCode>"$"#,##0</c:formatCode>
                <c:ptCount val="3"/>
                <c:pt idx="0">
                  <c:v>1101</c:v>
                </c:pt>
                <c:pt idx="1">
                  <c:v>1269.8</c:v>
                </c:pt>
                <c:pt idx="2">
                  <c:v>1269.8</c:v>
                </c:pt>
              </c:numCache>
            </c:numRef>
          </c:yVal>
          <c:smooth val="0"/>
          <c:extLst>
            <c:ext xmlns:c16="http://schemas.microsoft.com/office/drawing/2014/chart" uri="{C3380CC4-5D6E-409C-BE32-E72D297353CC}">
              <c16:uniqueId val="{00000003-091A-4AB5-AA20-D9D7DF8A5D75}"/>
            </c:ext>
          </c:extLst>
        </c:ser>
        <c:ser>
          <c:idx val="4"/>
          <c:order val="4"/>
          <c:tx>
            <c:strRef>
              <c:f>'SVP-Explo.'!$B$24</c:f>
              <c:strCache>
                <c:ptCount val="1"/>
                <c:pt idx="0">
                  <c:v>Average</c:v>
                </c:pt>
              </c:strCache>
            </c:strRef>
          </c:tx>
          <c:spPr>
            <a:ln w="28575">
              <a:noFill/>
            </a:ln>
          </c:spPr>
          <c:marker>
            <c:symbol val="dash"/>
            <c:size val="15"/>
            <c:spPr>
              <a:solidFill>
                <a:srgbClr val="AFABAB"/>
              </a:solidFill>
              <a:ln>
                <a:solidFill>
                  <a:srgbClr val="AFABAB"/>
                </a:solidFill>
              </a:ln>
            </c:spPr>
          </c:marker>
          <c:yVal>
            <c:numRef>
              <c:f>'SVP-Explo.'!$C$24:$E$24</c:f>
              <c:numCache>
                <c:formatCode>"$"#,##0</c:formatCode>
                <c:ptCount val="3"/>
                <c:pt idx="0">
                  <c:v>1626.2010226289901</c:v>
                </c:pt>
                <c:pt idx="1">
                  <c:v>1702.093364541762</c:v>
                </c:pt>
                <c:pt idx="2">
                  <c:v>1761.9856810713468</c:v>
                </c:pt>
              </c:numCache>
            </c:numRef>
          </c:yVal>
          <c:smooth val="0"/>
          <c:extLst>
            <c:ext xmlns:c16="http://schemas.microsoft.com/office/drawing/2014/chart" uri="{C3380CC4-5D6E-409C-BE32-E72D297353CC}">
              <c16:uniqueId val="{00000004-091A-4AB5-AA20-D9D7DF8A5D75}"/>
            </c:ext>
          </c:extLst>
        </c:ser>
        <c:ser>
          <c:idx val="5"/>
          <c:order val="5"/>
          <c:tx>
            <c:strRef>
              <c:f>'SVP-Explo.'!$B$30</c:f>
              <c:strCache>
                <c:ptCount val="1"/>
                <c:pt idx="0">
                  <c:v>Kinross</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'SVP-Explo.'!$C$30:$E$30</c:f>
              <c:numCache>
                <c:formatCode>General</c:formatCode>
                <c:ptCount val="3"/>
                <c:pt idx="2" formatCode="&quot;$&quot;#,##0">
                  <c:v>2070.4499999999998</c:v>
                </c:pt>
              </c:numCache>
            </c:numRef>
          </c:yVal>
          <c:smooth val="0"/>
          <c:extLst>
            <c:ext xmlns:c16="http://schemas.microsoft.com/office/drawing/2014/chart" uri="{C3380CC4-5D6E-409C-BE32-E72D297353CC}">
              <c16:uniqueId val="{00000005-091A-4AB5-AA20-D9D7DF8A5D75}"/>
            </c:ext>
          </c:extLst>
        </c:ser>
        <c:ser>
          <c:idx val="6"/>
          <c:order val="6"/>
          <c:tx>
            <c:strRef>
              <c:f>'SVP-Explo.'!$B$31</c:f>
              <c:strCache>
                <c:ptCount val="1"/>
                <c:pt idx="0">
                  <c:v>Alamos</c:v>
                </c:pt>
              </c:strCache>
            </c:strRef>
          </c:tx>
          <c:spPr>
            <a:ln w="28575">
              <a:noFill/>
            </a:ln>
          </c:spPr>
          <c:marker>
            <c:symbol val="circle"/>
            <c:size val="7"/>
            <c:spPr>
              <a:solidFill>
                <a:srgbClr val="00B050"/>
              </a:solidFill>
              <a:ln>
                <a:noFill/>
              </a:ln>
            </c:spPr>
          </c:marker>
          <c:dLbls>
            <c:dLbl>
              <c:idx val="2"/>
              <c:layout>
                <c:manualLayout>
                  <c:x val="-1.5574995298440122E-16"/>
                  <c:y val="2.748958931210076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'SVP-Explo.'!$C$31:$E$31</c:f>
              <c:numCache>
                <c:formatCode>General</c:formatCode>
                <c:ptCount val="3"/>
                <c:pt idx="2" formatCode="&quot;$&quot;#,##0">
                  <c:v>1489.6375</c:v>
                </c:pt>
              </c:numCache>
            </c:numRef>
          </c:yVal>
          <c:smooth val="0"/>
          <c:extLst>
            <c:ext xmlns:c16="http://schemas.microsoft.com/office/drawing/2014/chart" uri="{C3380CC4-5D6E-409C-BE32-E72D297353CC}">
              <c16:uniqueId val="{00000006-091A-4AB5-AA20-D9D7DF8A5D75}"/>
            </c:ext>
          </c:extLst>
        </c:ser>
        <c:ser>
          <c:idx val="7"/>
          <c:order val="7"/>
          <c:tx>
            <c:strRef>
              <c:f>'SVP-Explo.'!$B$32</c:f>
              <c:strCache>
                <c:ptCount val="1"/>
                <c:pt idx="0">
                  <c:v>B2Gold</c:v>
                </c:pt>
              </c:strCache>
            </c:strRef>
          </c:tx>
          <c:spPr>
            <a:ln w="28575">
              <a:noFill/>
            </a:ln>
          </c:spPr>
          <c:marker>
            <c:symbol val="circle"/>
            <c:size val="7"/>
            <c:spPr>
              <a:solidFill>
                <a:srgbClr val="00B050"/>
              </a:solidFill>
              <a:ln cap="rnd">
                <a:noFill/>
              </a:ln>
            </c:spPr>
          </c:marker>
          <c:dLbls>
            <c:dLbl>
              <c:idx val="0"/>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18F9-4A33-9F48-55BA4877D486}"/>
                </c:ext>
              </c:extLst>
            </c:dLbl>
            <c:dLbl>
              <c:idx val="1"/>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8F9-4A33-9F48-55BA4877D486}"/>
                </c:ext>
              </c:extLst>
            </c:dLbl>
            <c:dLbl>
              <c:idx val="2"/>
              <c:layout>
                <c:manualLayout>
                  <c:x val="6.1819630453396768E-3"/>
                  <c:y val="-2.9595451155853842E-3"/>
                </c:manualLayout>
              </c:layout>
              <c:tx>
                <c:rich>
                  <a:bodyPr/>
                  <a:lstStyle/>
                  <a:p>
                    <a:r>
                      <a:rPr lang="en-US"/>
                      <a:t>B2Gold,</a:t>
                    </a:r>
                    <a:r>
                      <a:rPr lang="en-US" baseline="0"/>
                      <a:t> $2,851</a:t>
                    </a:r>
                    <a:endParaRPr lang="en-US"/>
                  </a:p>
                </c:rich>
              </c:tx>
              <c:showLegendKey val="0"/>
              <c:showVal val="0"/>
              <c:showCatName val="0"/>
              <c:showSerName val="1"/>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ext>
            </c:extLst>
          </c:dLbls>
          <c:xVal>
            <c:strRef>
              <c:f>'SVP-Explo.'!$C$12:$E$12</c:f>
              <c:strCache>
                <c:ptCount val="3"/>
                <c:pt idx="0">
                  <c:v>2023 Target TDC</c:v>
                </c:pt>
                <c:pt idx="1">
                  <c:v>2024 Target TDC</c:v>
                </c:pt>
                <c:pt idx="2">
                  <c:v>2025E Target TDC</c:v>
                </c:pt>
              </c:strCache>
            </c:strRef>
          </c:xVal>
          <c:yVal>
            <c:numRef>
              <c:f>'SVP-Explo.'!$C$32:$E$32</c:f>
              <c:numCache>
                <c:formatCode>General</c:formatCode>
                <c:ptCount val="3"/>
                <c:pt idx="2" formatCode="&quot;$&quot;#,##0">
                  <c:v>2500</c:v>
                </c:pt>
              </c:numCache>
            </c:numRef>
          </c:yVal>
          <c:smooth val="0"/>
          <c:extLst>
            <c:ext xmlns:c15="http://schemas.microsoft.com/office/drawing/2012/chart" uri="{02D57815-91ED-43cb-92C2-25804820EDAC}">
              <c15:datalabelsRange>
                <c15:f>'SVP-Explo.'!$F$32</c15:f>
                <c15:dlblRangeCache>
                  <c:ptCount val="1"/>
                  <c:pt idx="0">
                    <c:v>2850.5</c:v>
                  </c:pt>
                </c15:dlblRangeCache>
              </c15:datalabelsRange>
            </c:ext>
            <c:ext xmlns:c16="http://schemas.microsoft.com/office/drawing/2014/chart" uri="{C3380CC4-5D6E-409C-BE32-E72D297353CC}">
              <c16:uniqueId val="{00000007-091A-4AB5-AA20-D9D7DF8A5D75}"/>
            </c:ext>
          </c:extLst>
        </c:ser>
        <c:ser>
          <c:idx val="8"/>
          <c:order val="8"/>
          <c:tx>
            <c:strRef>
              <c:f>'SVP-Explo.'!$B$33</c:f>
              <c:strCache>
                <c:ptCount val="1"/>
                <c:pt idx="0">
                  <c:v>New Gold</c:v>
                </c:pt>
              </c:strCache>
            </c:strRef>
          </c:tx>
          <c:spPr>
            <a:ln w="28575">
              <a:noFill/>
            </a:ln>
          </c:spPr>
          <c:marker>
            <c:symbol val="circle"/>
            <c:size val="7"/>
            <c:spPr>
              <a:solidFill>
                <a:srgbClr val="00B050"/>
              </a:solidFill>
              <a:ln>
                <a:noFill/>
              </a:ln>
            </c:spPr>
          </c:marker>
          <c:dLbls>
            <c:dLbl>
              <c:idx val="2"/>
              <c:layout>
                <c:manualLayout>
                  <c:x val="2.1238875302883923E-3"/>
                  <c:y val="1.550917728088707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'SVP-Explo.'!$C$33:$E$33</c:f>
              <c:numCache>
                <c:formatCode>General</c:formatCode>
                <c:ptCount val="3"/>
                <c:pt idx="2" formatCode="&quot;$&quot;#,##0">
                  <c:v>1314.28</c:v>
                </c:pt>
              </c:numCache>
            </c:numRef>
          </c:yVal>
          <c:smooth val="0"/>
          <c:extLst>
            <c:ext xmlns:c16="http://schemas.microsoft.com/office/drawing/2014/chart" uri="{C3380CC4-5D6E-409C-BE32-E72D297353CC}">
              <c16:uniqueId val="{00000008-091A-4AB5-AA20-D9D7DF8A5D7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ax val="2500"/>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Canada'!$B$21</c:f>
              <c:strCache>
                <c:ptCount val="1"/>
                <c:pt idx="0">
                  <c:v>25th</c:v>
                </c:pt>
              </c:strCache>
            </c:strRef>
          </c:tx>
          <c:spPr>
            <a:noFill/>
          </c:spPr>
          <c:invertIfNegative val="0"/>
          <c:cat>
            <c:strRef>
              <c:f>'SVP Canada'!$C$12:$E$12</c:f>
              <c:strCache>
                <c:ptCount val="3"/>
                <c:pt idx="0">
                  <c:v>2023 Target TDC</c:v>
                </c:pt>
                <c:pt idx="1">
                  <c:v>2024 Target TDC</c:v>
                </c:pt>
                <c:pt idx="2">
                  <c:v>2025E Target TDC</c:v>
                </c:pt>
              </c:strCache>
            </c:strRef>
          </c:cat>
          <c:val>
            <c:numRef>
              <c:f>'SVP Canada'!$C$21:$E$21</c:f>
              <c:numCache>
                <c:formatCode>"$"#,##0</c:formatCode>
                <c:ptCount val="3"/>
                <c:pt idx="0">
                  <c:v>1305.9778587325</c:v>
                </c:pt>
                <c:pt idx="1">
                  <c:v>1415.0239999999999</c:v>
                </c:pt>
                <c:pt idx="2">
                  <c:v>1457.4747200000002</c:v>
                </c:pt>
              </c:numCache>
            </c:numRef>
          </c:val>
          <c:extLst>
            <c:ext xmlns:c16="http://schemas.microsoft.com/office/drawing/2014/chart" uri="{C3380CC4-5D6E-409C-BE32-E72D297353CC}">
              <c16:uniqueId val="{00000000-986F-45C6-B095-8C401D995545}"/>
            </c:ext>
          </c:extLst>
        </c:ser>
        <c:ser>
          <c:idx val="2"/>
          <c:order val="1"/>
          <c:tx>
            <c:strRef>
              <c:f>'SVP Canada'!$B$22</c:f>
              <c:strCache>
                <c:ptCount val="1"/>
                <c:pt idx="0">
                  <c:v>50th</c:v>
                </c:pt>
              </c:strCache>
            </c:strRef>
          </c:tx>
          <c:spPr>
            <a:solidFill>
              <a:srgbClr val="002957"/>
            </a:solidFill>
          </c:spPr>
          <c:invertIfNegative val="0"/>
          <c:cat>
            <c:strRef>
              <c:f>'SVP Canada'!$C$12:$E$12</c:f>
              <c:strCache>
                <c:ptCount val="3"/>
                <c:pt idx="0">
                  <c:v>2023 Target TDC</c:v>
                </c:pt>
                <c:pt idx="1">
                  <c:v>2024 Target TDC</c:v>
                </c:pt>
                <c:pt idx="2">
                  <c:v>2025E Target TDC</c:v>
                </c:pt>
              </c:strCache>
            </c:strRef>
          </c:cat>
          <c:val>
            <c:numRef>
              <c:f>'SVP Canada'!$C$22:$E$22</c:f>
              <c:numCache>
                <c:formatCode>"$"#,##0</c:formatCode>
                <c:ptCount val="3"/>
                <c:pt idx="0">
                  <c:v>126.90479584800005</c:v>
                </c:pt>
                <c:pt idx="1">
                  <c:v>130.23386449018108</c:v>
                </c:pt>
                <c:pt idx="2">
                  <c:v>134.14088042488629</c:v>
                </c:pt>
              </c:numCache>
            </c:numRef>
          </c:val>
          <c:extLst>
            <c:ext xmlns:c16="http://schemas.microsoft.com/office/drawing/2014/chart" uri="{C3380CC4-5D6E-409C-BE32-E72D297353CC}">
              <c16:uniqueId val="{00000002-986F-45C6-B095-8C401D995545}"/>
            </c:ext>
          </c:extLst>
        </c:ser>
        <c:ser>
          <c:idx val="10"/>
          <c:order val="9"/>
          <c:tx>
            <c:strRef>
              <c:f>'SVP Canada'!$B$23</c:f>
              <c:strCache>
                <c:ptCount val="1"/>
                <c:pt idx="0">
                  <c:v>75th</c:v>
                </c:pt>
              </c:strCache>
            </c:strRef>
          </c:tx>
          <c:spPr>
            <a:solidFill>
              <a:srgbClr val="C6D9F1"/>
            </a:solidFill>
            <a:ln w="28575">
              <a:noFill/>
            </a:ln>
          </c:spPr>
          <c:invertIfNegative val="0"/>
          <c:val>
            <c:numRef>
              <c:f>'SVP Canada'!$C$23:$E$23</c:f>
              <c:numCache>
                <c:formatCode>"$"#,##0</c:formatCode>
                <c:ptCount val="3"/>
                <c:pt idx="0">
                  <c:v>495.01882946759065</c:v>
                </c:pt>
                <c:pt idx="1">
                  <c:v>389.97081576102346</c:v>
                </c:pt>
                <c:pt idx="2">
                  <c:v>461.58728388546342</c:v>
                </c:pt>
              </c:numCache>
            </c:numRef>
          </c:val>
          <c:extLst>
            <c:ext xmlns:c16="http://schemas.microsoft.com/office/drawing/2014/chart" uri="{C3380CC4-5D6E-409C-BE32-E72D297353CC}">
              <c16:uniqueId val="{00000001-9CB6-464F-8FB4-225B36C0B3A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Canada'!$B$25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0-9CB6-464F-8FB4-225B36C0B3AB}"/>
              </c:ext>
            </c:extLst>
          </c:dPt>
          <c:yVal>
            <c:numRef>
              <c:f>'SVP Canada'!$C$25:$E$25</c:f>
              <c:numCache>
                <c:formatCode>"$"#,##0</c:formatCode>
                <c:ptCount val="3"/>
                <c:pt idx="0">
                  <c:v>954</c:v>
                </c:pt>
                <c:pt idx="1">
                  <c:v>1304.3800000000001</c:v>
                </c:pt>
                <c:pt idx="2">
                  <c:v>1304.3800000000001</c:v>
                </c:pt>
              </c:numCache>
            </c:numRef>
          </c:yVal>
          <c:smooth val="0"/>
          <c:extLst>
            <c:ext xmlns:c16="http://schemas.microsoft.com/office/drawing/2014/chart" uri="{C3380CC4-5D6E-409C-BE32-E72D297353CC}">
              <c16:uniqueId val="{00000003-986F-45C6-B095-8C401D995545}"/>
            </c:ext>
          </c:extLst>
        </c:ser>
        <c:ser>
          <c:idx val="4"/>
          <c:order val="3"/>
          <c:tx>
            <c:strRef>
              <c:f>'SVP Canada'!$B$24</c:f>
              <c:strCache>
                <c:ptCount val="1"/>
                <c:pt idx="0">
                  <c:v>Average</c:v>
                </c:pt>
              </c:strCache>
            </c:strRef>
          </c:tx>
          <c:spPr>
            <a:ln w="28575">
              <a:noFill/>
            </a:ln>
          </c:spPr>
          <c:marker>
            <c:symbol val="dash"/>
            <c:size val="15"/>
            <c:spPr>
              <a:solidFill>
                <a:srgbClr val="AFABAB"/>
              </a:solidFill>
              <a:ln>
                <a:solidFill>
                  <a:srgbClr val="AFABAB"/>
                </a:solidFill>
              </a:ln>
            </c:spPr>
          </c:marker>
          <c:yVal>
            <c:numRef>
              <c:f>'SVP Canada'!$C$24:$E$24</c:f>
              <c:numCache>
                <c:formatCode>"$"#,##0</c:formatCode>
                <c:ptCount val="3"/>
                <c:pt idx="0">
                  <c:v>1626.2010226289901</c:v>
                </c:pt>
                <c:pt idx="1">
                  <c:v>1702.093364541762</c:v>
                </c:pt>
                <c:pt idx="2">
                  <c:v>1761.9856810713468</c:v>
                </c:pt>
              </c:numCache>
            </c:numRef>
          </c:yVal>
          <c:smooth val="0"/>
          <c:extLst>
            <c:ext xmlns:c16="http://schemas.microsoft.com/office/drawing/2014/chart" uri="{C3380CC4-5D6E-409C-BE32-E72D297353CC}">
              <c16:uniqueId val="{00000004-986F-45C6-B095-8C401D995545}"/>
            </c:ext>
          </c:extLst>
        </c:ser>
        <c:ser>
          <c:idx val="5"/>
          <c:order val="4"/>
          <c:tx>
            <c:strRef>
              <c:f>'SVP Canada'!$B$30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Canada'!$C$30:$E$30</c:f>
              <c:numCache>
                <c:formatCode>General</c:formatCode>
                <c:ptCount val="3"/>
                <c:pt idx="2" formatCode="&quot;$&quot;#,##0">
                  <c:v>2489.6343251258886</c:v>
                </c:pt>
              </c:numCache>
            </c:numRef>
          </c:yVal>
          <c:smooth val="0"/>
          <c:extLst>
            <c:ext xmlns:c16="http://schemas.microsoft.com/office/drawing/2014/chart" uri="{C3380CC4-5D6E-409C-BE32-E72D297353CC}">
              <c16:uniqueId val="{00000006-986F-45C6-B095-8C401D995545}"/>
            </c:ext>
          </c:extLst>
        </c:ser>
        <c:ser>
          <c:idx val="6"/>
          <c:order val="5"/>
          <c:tx>
            <c:strRef>
              <c:f>'SVP Canada'!$B$31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Canada'!$C$31:$E$31</c:f>
              <c:numCache>
                <c:formatCode>General</c:formatCode>
                <c:ptCount val="3"/>
                <c:pt idx="2" formatCode="&quot;$&quot;#,##0">
                  <c:v>1302.6358586277611</c:v>
                </c:pt>
              </c:numCache>
            </c:numRef>
          </c:yVal>
          <c:smooth val="0"/>
          <c:extLst>
            <c:ext xmlns:c16="http://schemas.microsoft.com/office/drawing/2014/chart" uri="{C3380CC4-5D6E-409C-BE32-E72D297353CC}">
              <c16:uniqueId val="{00000008-986F-45C6-B095-8C401D995545}"/>
            </c:ext>
          </c:extLst>
        </c:ser>
        <c:ser>
          <c:idx val="7"/>
          <c:order val="6"/>
          <c:tx>
            <c:strRef>
              <c:f>'SVP Canada'!$B$32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Canada'!$C$32:$E$32</c:f>
              <c:numCache>
                <c:formatCode>General</c:formatCode>
                <c:ptCount val="3"/>
                <c:pt idx="2" formatCode="&quot;$&quot;#,##0">
                  <c:v>2219.3924999999999</c:v>
                </c:pt>
              </c:numCache>
            </c:numRef>
          </c:yVal>
          <c:smooth val="0"/>
          <c:extLst>
            <c:ext xmlns:c16="http://schemas.microsoft.com/office/drawing/2014/chart" uri="{C3380CC4-5D6E-409C-BE32-E72D297353CC}">
              <c16:uniqueId val="{0000000A-986F-45C6-B095-8C401D995545}"/>
            </c:ext>
          </c:extLst>
        </c:ser>
        <c:ser>
          <c:idx val="8"/>
          <c:order val="7"/>
          <c:tx>
            <c:strRef>
              <c:f>'SVP Canada'!$B$33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Canada'!$C$33:$E$33</c:f>
              <c:numCache>
                <c:formatCode>General</c:formatCode>
                <c:ptCount val="3"/>
                <c:pt idx="2" formatCode="&quot;$&quot;#,##0">
                  <c:v>2638.9666050000001</c:v>
                </c:pt>
              </c:numCache>
            </c:numRef>
          </c:yVal>
          <c:smooth val="0"/>
          <c:extLst>
            <c:ext xmlns:c16="http://schemas.microsoft.com/office/drawing/2014/chart" uri="{C3380CC4-5D6E-409C-BE32-E72D297353CC}">
              <c16:uniqueId val="{0000000C-986F-45C6-B095-8C401D995545}"/>
            </c:ext>
          </c:extLst>
        </c:ser>
        <c:ser>
          <c:idx val="9"/>
          <c:order val="8"/>
          <c:tx>
            <c:strRef>
              <c:f>'SVP Canada'!$B$34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D-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Canada'!$C$34:$E$34</c:f>
              <c:numCache>
                <c:formatCode>General</c:formatCode>
                <c:ptCount val="3"/>
                <c:pt idx="2" formatCode="&quot;$&quot;#,##0">
                  <c:v>1926.8183057855492</c:v>
                </c:pt>
              </c:numCache>
            </c:numRef>
          </c:yVal>
          <c:smooth val="0"/>
          <c:extLst>
            <c:ext xmlns:c16="http://schemas.microsoft.com/office/drawing/2014/chart" uri="{C3380CC4-5D6E-409C-BE32-E72D297353CC}">
              <c16:uniqueId val="{0000000E-986F-45C6-B095-8C401D995545}"/>
            </c:ext>
          </c:extLst>
        </c:ser>
        <c:ser>
          <c:idx val="1"/>
          <c:order val="10"/>
          <c:tx>
            <c:strRef>
              <c:f>'SVP Canada'!$B$35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03-9CB6-464F-8FB4-225B36C0B3AB}"/>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Canada'!$C$35:$E$35</c:f>
              <c:numCache>
                <c:formatCode>General</c:formatCode>
                <c:ptCount val="3"/>
                <c:pt idx="2" formatCode="&quot;$&quot;#,##0">
                  <c:v>1784.781663643063</c:v>
                </c:pt>
              </c:numCache>
            </c:numRef>
          </c:yVal>
          <c:smooth val="0"/>
          <c:extLst>
            <c:ext xmlns:c16="http://schemas.microsoft.com/office/drawing/2014/chart" uri="{C3380CC4-5D6E-409C-BE32-E72D297353CC}">
              <c16:uniqueId val="{00000002-9CB6-464F-8FB4-225B36C0B3A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1-4B08-8B2E-0877F55E9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1-4B08-8B2E-0877F55E99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Equity'!$F$6:$G$6</c:f>
              <c:numCache>
                <c:formatCode>0%</c:formatCode>
                <c:ptCount val="2"/>
                <c:pt idx="0">
                  <c:v>0.44699999999999995</c:v>
                </c:pt>
                <c:pt idx="1">
                  <c:v>0.55300000000000005</c:v>
                </c:pt>
              </c:numCache>
            </c:numRef>
          </c:val>
          <c:extLst>
            <c:ext xmlns:c16="http://schemas.microsoft.com/office/drawing/2014/chart" uri="{C3380CC4-5D6E-409C-BE32-E72D297353CC}">
              <c16:uniqueId val="{00000000-88C6-4375-AC6E-89A5A8EC9E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FD-43B7-9798-31D0F70981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FD-43B7-9798-31D0F709815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Equity'!$H$6:$I$6</c:f>
              <c:numCache>
                <c:formatCode>0%</c:formatCode>
                <c:ptCount val="2"/>
                <c:pt idx="0">
                  <c:v>0.45360824742268036</c:v>
                </c:pt>
                <c:pt idx="1">
                  <c:v>0.54639175257731953</c:v>
                </c:pt>
              </c:numCache>
            </c:numRef>
          </c:val>
          <c:extLst>
            <c:ext xmlns:c16="http://schemas.microsoft.com/office/drawing/2014/chart" uri="{C3380CC4-5D6E-409C-BE32-E72D297353CC}">
              <c16:uniqueId val="{00000004-E5FD-43B7-9798-31D0F70981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BB-481B-B660-6C8C7E744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B-481B-B660-6C8C7E744E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Equity'!$F$7:$G$7</c:f>
              <c:numCache>
                <c:formatCode>0%</c:formatCode>
                <c:ptCount val="2"/>
                <c:pt idx="0">
                  <c:v>0.50714431516636049</c:v>
                </c:pt>
                <c:pt idx="1">
                  <c:v>0.49285568483363951</c:v>
                </c:pt>
              </c:numCache>
            </c:numRef>
          </c:val>
          <c:extLst>
            <c:ext xmlns:c16="http://schemas.microsoft.com/office/drawing/2014/chart" uri="{C3380CC4-5D6E-409C-BE32-E72D297353CC}">
              <c16:uniqueId val="{00000004-10BB-481B-B660-6C8C7E744E3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1-499E-B234-3216F2D0B4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C1-499E-B234-3216F2D0B40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Equity'!$H$7:$I$7</c:f>
              <c:numCache>
                <c:formatCode>0%</c:formatCode>
                <c:ptCount val="2"/>
                <c:pt idx="0">
                  <c:v>0.52777777777777779</c:v>
                </c:pt>
                <c:pt idx="1">
                  <c:v>0.47222222222222221</c:v>
                </c:pt>
              </c:numCache>
            </c:numRef>
          </c:val>
          <c:extLst>
            <c:ext xmlns:c16="http://schemas.microsoft.com/office/drawing/2014/chart" uri="{C3380CC4-5D6E-409C-BE32-E72D297353CC}">
              <c16:uniqueId val="{00000004-B8C1-499E-B234-3216F2D0B4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A-4458-8A02-098291CFB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A-4458-8A02-098291CFB89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Equity'!$F$8:$G$8</c:f>
              <c:numCache>
                <c:formatCode>0%</c:formatCode>
                <c:ptCount val="2"/>
                <c:pt idx="0">
                  <c:v>0.50062656641604009</c:v>
                </c:pt>
                <c:pt idx="1">
                  <c:v>0.49937343358395991</c:v>
                </c:pt>
              </c:numCache>
            </c:numRef>
          </c:val>
          <c:extLst>
            <c:ext xmlns:c16="http://schemas.microsoft.com/office/drawing/2014/chart" uri="{C3380CC4-5D6E-409C-BE32-E72D297353CC}">
              <c16:uniqueId val="{00000004-B1EA-4458-8A02-098291CFB8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EE-4716-8A19-294347626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EE-4716-8A19-294347626C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Equity'!$H$8:$I$8</c:f>
              <c:numCache>
                <c:formatCode>0%</c:formatCode>
                <c:ptCount val="2"/>
                <c:pt idx="0">
                  <c:v>0.52777777777777779</c:v>
                </c:pt>
                <c:pt idx="1">
                  <c:v>0.47222222222222227</c:v>
                </c:pt>
              </c:numCache>
            </c:numRef>
          </c:val>
          <c:extLst>
            <c:ext xmlns:c16="http://schemas.microsoft.com/office/drawing/2014/chart" uri="{C3380CC4-5D6E-409C-BE32-E72D297353CC}">
              <c16:uniqueId val="{00000004-D0EE-4716-8A19-294347626C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04-4273-92A6-4F0DD08A3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04-4273-92A6-4F0DD08A3B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Equity'!$F$9:$G$9</c:f>
              <c:numCache>
                <c:formatCode>0%</c:formatCode>
                <c:ptCount val="2"/>
                <c:pt idx="0">
                  <c:v>0.51538461538461533</c:v>
                </c:pt>
                <c:pt idx="1">
                  <c:v>0.48461538461538467</c:v>
                </c:pt>
              </c:numCache>
            </c:numRef>
          </c:val>
          <c:extLst>
            <c:ext xmlns:c16="http://schemas.microsoft.com/office/drawing/2014/chart" uri="{C3380CC4-5D6E-409C-BE32-E72D297353CC}">
              <c16:uniqueId val="{00000004-2804-4273-92A6-4F0DD08A3B1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0-4A3A-9BCD-A6996BB61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0-4A3A-9BCD-A6996BB61EC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Equity'!$H$9:$I$9</c:f>
              <c:numCache>
                <c:formatCode>0%</c:formatCode>
                <c:ptCount val="2"/>
                <c:pt idx="0">
                  <c:v>0.53846153846153844</c:v>
                </c:pt>
                <c:pt idx="1">
                  <c:v>0.46153846153846156</c:v>
                </c:pt>
              </c:numCache>
            </c:numRef>
          </c:val>
          <c:extLst>
            <c:ext xmlns:c16="http://schemas.microsoft.com/office/drawing/2014/chart" uri="{C3380CC4-5D6E-409C-BE32-E72D297353CC}">
              <c16:uniqueId val="{00000004-90C0-4A3A-9BCD-A6996BB61EC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0-4F4C-8F8C-9EFD5BC1E9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00-4F4C-8F8C-9EFD5BC1E9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Equity'!$F$10:$G$10</c:f>
              <c:numCache>
                <c:formatCode>0%</c:formatCode>
                <c:ptCount val="2"/>
                <c:pt idx="0">
                  <c:v>0.53485576923076916</c:v>
                </c:pt>
                <c:pt idx="1">
                  <c:v>0.46514423076923073</c:v>
                </c:pt>
              </c:numCache>
            </c:numRef>
          </c:val>
          <c:extLst>
            <c:ext xmlns:c16="http://schemas.microsoft.com/office/drawing/2014/chart" uri="{C3380CC4-5D6E-409C-BE32-E72D297353CC}">
              <c16:uniqueId val="{00000004-A600-4F4C-8F8C-9EFD5BC1E9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2D-4E19-881A-361665D77B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2D-4E19-881A-361665D77B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Equity'!$H$10:$I$10</c:f>
              <c:numCache>
                <c:formatCode>0%</c:formatCode>
                <c:ptCount val="2"/>
                <c:pt idx="0">
                  <c:v>0.5714285714285714</c:v>
                </c:pt>
                <c:pt idx="1">
                  <c:v>0.42857142857142855</c:v>
                </c:pt>
              </c:numCache>
            </c:numRef>
          </c:val>
          <c:extLst>
            <c:ext xmlns:c16="http://schemas.microsoft.com/office/drawing/2014/chart" uri="{C3380CC4-5D6E-409C-BE32-E72D297353CC}">
              <c16:uniqueId val="{00000004-0F2D-4E19-881A-361665D77B5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BE-4073-ADEA-1FFF6DE0C5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BE-4073-ADEA-1FFF6DE0C5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Equity'!$F$11:$G$11</c:f>
              <c:numCache>
                <c:formatCode>0%</c:formatCode>
                <c:ptCount val="2"/>
                <c:pt idx="0">
                  <c:v>0.53485576923076916</c:v>
                </c:pt>
                <c:pt idx="1">
                  <c:v>0.46514423076923073</c:v>
                </c:pt>
              </c:numCache>
            </c:numRef>
          </c:val>
          <c:extLst>
            <c:ext xmlns:c16="http://schemas.microsoft.com/office/drawing/2014/chart" uri="{C3380CC4-5D6E-409C-BE32-E72D297353CC}">
              <c16:uniqueId val="{00000004-71BE-4073-ADEA-1FFF6DE0C52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E3-41EC-A594-765244D3E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3-41EC-A594-765244D3EF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Equity'!$H$11:$I$11</c:f>
              <c:numCache>
                <c:formatCode>0%</c:formatCode>
                <c:ptCount val="2"/>
                <c:pt idx="0">
                  <c:v>0.5714285714285714</c:v>
                </c:pt>
                <c:pt idx="1">
                  <c:v>0.42857142857142855</c:v>
                </c:pt>
              </c:numCache>
            </c:numRef>
          </c:val>
          <c:extLst>
            <c:ext xmlns:c16="http://schemas.microsoft.com/office/drawing/2014/chart" uri="{C3380CC4-5D6E-409C-BE32-E72D297353CC}">
              <c16:uniqueId val="{00000004-64E3-41EC-A594-765244D3EF0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C9-402D-84DE-198F3C2B4750}"/>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7C9-402D-84DE-198F3C2B475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Equity'!$F$13:$G$13</c:f>
              <c:numCache>
                <c:formatCode>0%</c:formatCode>
                <c:ptCount val="2"/>
                <c:pt idx="0">
                  <c:v>0.51056338028169013</c:v>
                </c:pt>
                <c:pt idx="1">
                  <c:v>0.48943661971830987</c:v>
                </c:pt>
              </c:numCache>
            </c:numRef>
          </c:val>
          <c:extLst>
            <c:ext xmlns:c16="http://schemas.microsoft.com/office/drawing/2014/chart" uri="{C3380CC4-5D6E-409C-BE32-E72D297353CC}">
              <c16:uniqueId val="{00000004-F7C9-402D-84DE-198F3C2B47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82-408F-9FF1-35A219648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82-408F-9FF1-35A2196484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0.52777777777777779</c:v>
                </c:pt>
                <c:pt idx="1">
                  <c:v>0.47222222222222227</c:v>
                </c:pt>
              </c:numCache>
            </c:numRef>
          </c:val>
          <c:extLst>
            <c:ext xmlns:c16="http://schemas.microsoft.com/office/drawing/2014/chart" uri="{C3380CC4-5D6E-409C-BE32-E72D297353CC}">
              <c16:uniqueId val="{00000004-6D82-408F-9FF1-35A2196484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6-42AA-8E09-97762AED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6-42AA-8E09-97762AEDF6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Equity'!$F$14:$G$14</c:f>
              <c:numCache>
                <c:formatCode>0%</c:formatCode>
                <c:ptCount val="2"/>
                <c:pt idx="0">
                  <c:v>0.52307692307692299</c:v>
                </c:pt>
                <c:pt idx="1">
                  <c:v>0.47692307692307689</c:v>
                </c:pt>
              </c:numCache>
            </c:numRef>
          </c:val>
          <c:extLst>
            <c:ext xmlns:c16="http://schemas.microsoft.com/office/drawing/2014/chart" uri="{C3380CC4-5D6E-409C-BE32-E72D297353CC}">
              <c16:uniqueId val="{00000004-C7F6-42AA-8E09-97762AEDF69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3F-4313-944E-E85325E183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3F-4313-944E-E85325E183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Equity'!$H$14:$I$14</c:f>
              <c:numCache>
                <c:formatCode>0%</c:formatCode>
                <c:ptCount val="2"/>
                <c:pt idx="0">
                  <c:v>0</c:v>
                </c:pt>
                <c:pt idx="1">
                  <c:v>0</c:v>
                </c:pt>
              </c:numCache>
            </c:numRef>
          </c:val>
          <c:extLst>
            <c:ext xmlns:c16="http://schemas.microsoft.com/office/drawing/2014/chart" uri="{C3380CC4-5D6E-409C-BE32-E72D297353CC}">
              <c16:uniqueId val="{00000004-5F3F-4313-944E-E85325E1836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8-4652-BC78-8F316B46A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8-4652-BC78-8F316B46A54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Equity'!$F$15:$G$15</c:f>
              <c:numCache>
                <c:formatCode>0%</c:formatCode>
                <c:ptCount val="2"/>
                <c:pt idx="0">
                  <c:v>0.43399906721111081</c:v>
                </c:pt>
                <c:pt idx="1">
                  <c:v>0.46545092838196289</c:v>
                </c:pt>
              </c:numCache>
            </c:numRef>
          </c:val>
          <c:extLst>
            <c:ext xmlns:c16="http://schemas.microsoft.com/office/drawing/2014/chart" uri="{C3380CC4-5D6E-409C-BE32-E72D297353CC}">
              <c16:uniqueId val="{00000004-3EF8-4652-BC78-8F316B46A5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45-4450-8CFA-90503F61B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45-4450-8CFA-90503F61B5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Equity'!$H$15:$I$15</c:f>
              <c:numCache>
                <c:formatCode>0%</c:formatCode>
                <c:ptCount val="2"/>
                <c:pt idx="0">
                  <c:v>0</c:v>
                </c:pt>
                <c:pt idx="1">
                  <c:v>0</c:v>
                </c:pt>
              </c:numCache>
            </c:numRef>
          </c:val>
          <c:extLst>
            <c:ext xmlns:c16="http://schemas.microsoft.com/office/drawing/2014/chart" uri="{C3380CC4-5D6E-409C-BE32-E72D297353CC}">
              <c16:uniqueId val="{00000004-7945-4450-8CFA-90503F61B56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CD-415C-A810-A65F8DE17F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CD-415C-A810-A65F8DE17FF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Equity'!$F$16:$G$16</c:f>
              <c:numCache>
                <c:formatCode>0%</c:formatCode>
                <c:ptCount val="2"/>
                <c:pt idx="0">
                  <c:v>0</c:v>
                </c:pt>
                <c:pt idx="1">
                  <c:v>0</c:v>
                </c:pt>
              </c:numCache>
            </c:numRef>
          </c:val>
          <c:extLst>
            <c:ext xmlns:c16="http://schemas.microsoft.com/office/drawing/2014/chart" uri="{C3380CC4-5D6E-409C-BE32-E72D297353CC}">
              <c16:uniqueId val="{00000004-6ECD-415C-A810-A65F8DE17FF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8F-4A49-9DAA-4C246510B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8F-4A49-9DAA-4C246510BC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Equity'!$H$16:$I$16</c:f>
              <c:numCache>
                <c:formatCode>0%</c:formatCode>
                <c:ptCount val="2"/>
                <c:pt idx="0">
                  <c:v>0</c:v>
                </c:pt>
                <c:pt idx="1">
                  <c:v>0</c:v>
                </c:pt>
              </c:numCache>
            </c:numRef>
          </c:val>
          <c:extLst>
            <c:ext xmlns:c16="http://schemas.microsoft.com/office/drawing/2014/chart" uri="{C3380CC4-5D6E-409C-BE32-E72D297353CC}">
              <c16:uniqueId val="{00000004-C18F-4A49-9DAA-4C246510BC6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5-4633-8605-AFAA4E088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5-4633-8605-AFAA4E08851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0.52777777777777779</c:v>
                </c:pt>
                <c:pt idx="1">
                  <c:v>0.47222222222222227</c:v>
                </c:pt>
              </c:numCache>
            </c:numRef>
          </c:val>
          <c:extLst>
            <c:ext xmlns:c16="http://schemas.microsoft.com/office/drawing/2014/chart" uri="{C3380CC4-5D6E-409C-BE32-E72D297353CC}">
              <c16:uniqueId val="{00000004-7615-4633-8605-AFAA4E08851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'NEO5 - YoY'!$B$21</c:f>
              <c:strCache>
                <c:ptCount val="1"/>
                <c:pt idx="0">
                  <c:v>25th</c:v>
                </c:pt>
              </c:strCache>
            </c:strRef>
          </c:tx>
          <c:spPr>
            <a:noFill/>
          </c:spPr>
          <c:invertIfNegative val="0"/>
          <c:cat>
            <c:strRef>
              <c:f>'NEO5 - YoY'!$C$12:$E$12</c:f>
              <c:strCache>
                <c:ptCount val="3"/>
                <c:pt idx="0">
                  <c:v>2023 Target TDC</c:v>
                </c:pt>
                <c:pt idx="1">
                  <c:v>2024 Target TDC</c:v>
                </c:pt>
                <c:pt idx="2">
                  <c:v>2025E Target TDC</c:v>
                </c:pt>
              </c:strCache>
            </c:strRef>
          </c:cat>
          <c:val>
            <c:numRef>
              <c:f>'NEO5 - YoY'!$C$21:$E$21</c:f>
              <c:numCache>
                <c:formatCode>"$"#,##0</c:formatCode>
                <c:ptCount val="3"/>
                <c:pt idx="0">
                  <c:v>1305.9778587325</c:v>
                </c:pt>
                <c:pt idx="1">
                  <c:v>1415.0239999999999</c:v>
                </c:pt>
                <c:pt idx="2">
                  <c:v>1457.4747200000002</c:v>
                </c:pt>
              </c:numCache>
            </c:numRef>
          </c:val>
          <c:extLst>
            <c:ext xmlns:c16="http://schemas.microsoft.com/office/drawing/2014/chart" uri="{C3380CC4-5D6E-409C-BE32-E72D297353CC}">
              <c16:uniqueId val="{00000000-D9DA-4288-9F3B-0463C5B5A718}"/>
            </c:ext>
          </c:extLst>
        </c:ser>
        <c:ser>
          <c:idx val="1"/>
          <c:order val="1"/>
          <c:tx>
            <c:strRef>
              <c:f>'NEO5 - YoY'!$B$22</c:f>
              <c:strCache>
                <c:ptCount val="1"/>
                <c:pt idx="0">
                  <c:v>50th</c:v>
                </c:pt>
              </c:strCache>
            </c:strRef>
          </c:tx>
          <c:spPr>
            <a:solidFill>
              <a:srgbClr val="002957"/>
            </a:solidFill>
          </c:spPr>
          <c:invertIfNegative val="0"/>
          <c:cat>
            <c:strRef>
              <c:f>'NEO5 - YoY'!$C$12:$E$12</c:f>
              <c:strCache>
                <c:ptCount val="3"/>
                <c:pt idx="0">
                  <c:v>2023 Target TDC</c:v>
                </c:pt>
                <c:pt idx="1">
                  <c:v>2024 Target TDC</c:v>
                </c:pt>
                <c:pt idx="2">
                  <c:v>2025E Target TDC</c:v>
                </c:pt>
              </c:strCache>
            </c:strRef>
          </c:cat>
          <c:val>
            <c:numRef>
              <c:f>'NEO5 - YoY'!$C$22:$E$22</c:f>
              <c:numCache>
                <c:formatCode>"$"#,##0</c:formatCode>
                <c:ptCount val="3"/>
                <c:pt idx="0">
                  <c:v>126.90479584800005</c:v>
                </c:pt>
                <c:pt idx="1">
                  <c:v>130.23386449018108</c:v>
                </c:pt>
                <c:pt idx="2">
                  <c:v>134.14088042488629</c:v>
                </c:pt>
              </c:numCache>
            </c:numRef>
          </c:val>
          <c:extLst>
            <c:ext xmlns:c16="http://schemas.microsoft.com/office/drawing/2014/chart" uri="{C3380CC4-5D6E-409C-BE32-E72D297353CC}">
              <c16:uniqueId val="{00000001-D9DA-4288-9F3B-0463C5B5A718}"/>
            </c:ext>
          </c:extLst>
        </c:ser>
        <c:ser>
          <c:idx val="2"/>
          <c:order val="2"/>
          <c:tx>
            <c:strRef>
              <c:f>'NEO5 - YoY'!$B$23</c:f>
              <c:strCache>
                <c:ptCount val="1"/>
                <c:pt idx="0">
                  <c:v>75th</c:v>
                </c:pt>
              </c:strCache>
            </c:strRef>
          </c:tx>
          <c:spPr>
            <a:solidFill>
              <a:schemeClr val="tx2">
                <a:lumMod val="20000"/>
                <a:lumOff val="80000"/>
              </a:schemeClr>
            </a:solidFill>
          </c:spPr>
          <c:invertIfNegative val="0"/>
          <c:cat>
            <c:strRef>
              <c:f>'NEO5 - YoY'!$C$12:$E$12</c:f>
              <c:strCache>
                <c:ptCount val="3"/>
                <c:pt idx="0">
                  <c:v>2023 Target TDC</c:v>
                </c:pt>
                <c:pt idx="1">
                  <c:v>2024 Target TDC</c:v>
                </c:pt>
                <c:pt idx="2">
                  <c:v>2025E Target TDC</c:v>
                </c:pt>
              </c:strCache>
            </c:strRef>
          </c:cat>
          <c:val>
            <c:numRef>
              <c:f>'NEO5 - YoY'!$C$23:$E$23</c:f>
              <c:numCache>
                <c:formatCode>"$"#,##0</c:formatCode>
                <c:ptCount val="3"/>
                <c:pt idx="0">
                  <c:v>495.01882946759065</c:v>
                </c:pt>
                <c:pt idx="1">
                  <c:v>389.97081576102346</c:v>
                </c:pt>
                <c:pt idx="2">
                  <c:v>461.58728388546342</c:v>
                </c:pt>
              </c:numCache>
            </c:numRef>
          </c:val>
          <c:extLst>
            <c:ext xmlns:c16="http://schemas.microsoft.com/office/drawing/2014/chart" uri="{C3380CC4-5D6E-409C-BE32-E72D297353CC}">
              <c16:uniqueId val="{00000002-D9DA-4288-9F3B-0463C5B5A718}"/>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'NEO5 -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'NEO5 - YoY'!$C$25:$E$25</c:f>
              <c:numCache>
                <c:formatCode>"$"#,##0</c:formatCode>
                <c:ptCount val="3"/>
                <c:pt idx="0">
                  <c:v>1508.5611565439999</c:v>
                </c:pt>
                <c:pt idx="1">
                  <c:v>1698.922012984</c:v>
                </c:pt>
                <c:pt idx="2">
                  <c:v>1698.922012984</c:v>
                </c:pt>
              </c:numCache>
            </c:numRef>
          </c:yVal>
          <c:smooth val="0"/>
          <c:extLst>
            <c:ext xmlns:c16="http://schemas.microsoft.com/office/drawing/2014/chart" uri="{C3380CC4-5D6E-409C-BE32-E72D297353CC}">
              <c16:uniqueId val="{00000003-D9DA-4288-9F3B-0463C5B5A718}"/>
            </c:ext>
          </c:extLst>
        </c:ser>
        <c:ser>
          <c:idx val="4"/>
          <c:order val="4"/>
          <c:tx>
            <c:strRef>
              <c:f>'NEO5 - YoY'!$B$24</c:f>
              <c:strCache>
                <c:ptCount val="1"/>
                <c:pt idx="0">
                  <c:v>Average</c:v>
                </c:pt>
              </c:strCache>
            </c:strRef>
          </c:tx>
          <c:spPr>
            <a:ln w="28575">
              <a:noFill/>
            </a:ln>
          </c:spPr>
          <c:marker>
            <c:symbol val="dash"/>
            <c:size val="15"/>
            <c:spPr>
              <a:solidFill>
                <a:srgbClr val="AFABAB"/>
              </a:solidFill>
              <a:ln>
                <a:solidFill>
                  <a:srgbClr val="AFABAB"/>
                </a:solidFill>
              </a:ln>
            </c:spPr>
          </c:marker>
          <c:yVal>
            <c:numRef>
              <c:f>'NEO5 - YoY'!$C$24:$E$24</c:f>
              <c:numCache>
                <c:formatCode>"$"#,##0</c:formatCode>
                <c:ptCount val="3"/>
                <c:pt idx="0">
                  <c:v>1626.2010226289901</c:v>
                </c:pt>
                <c:pt idx="1">
                  <c:v>1702.093364541762</c:v>
                </c:pt>
                <c:pt idx="2">
                  <c:v>1761.9856810713468</c:v>
                </c:pt>
              </c:numCache>
            </c:numRef>
          </c:yVal>
          <c:smooth val="0"/>
          <c:extLst>
            <c:ext xmlns:c16="http://schemas.microsoft.com/office/drawing/2014/chart" uri="{C3380CC4-5D6E-409C-BE32-E72D297353CC}">
              <c16:uniqueId val="{00000004-D9DA-4288-9F3B-0463C5B5A718}"/>
            </c:ext>
          </c:extLst>
        </c:ser>
        <c:ser>
          <c:idx val="5"/>
          <c:order val="5"/>
          <c:tx>
            <c:strRef>
              <c:f>'NEO5 - YoY'!$B$30</c:f>
              <c:strCache>
                <c:ptCount val="1"/>
                <c:pt idx="0">
                  <c:v>Lundin</c:v>
                </c:pt>
              </c:strCache>
            </c:strRef>
          </c:tx>
          <c:spPr>
            <a:ln w="28575">
              <a:noFill/>
            </a:ln>
          </c:spPr>
          <c:xVal>
            <c:strRef>
              <c:f>'NEO5 - YoY'!$C$12:$E$12</c:f>
              <c:strCache>
                <c:ptCount val="3"/>
                <c:pt idx="0">
                  <c:v>2023 Target TDC</c:v>
                </c:pt>
                <c:pt idx="1">
                  <c:v>2024 Target TDC</c:v>
                </c:pt>
                <c:pt idx="2">
                  <c:v>2025E Target TDC</c:v>
                </c:pt>
              </c:strCache>
            </c:strRef>
          </c:xVal>
          <c:yVal>
            <c:numRef>
              <c:f>'NEO5 - YoY'!$C$30:$E$30</c:f>
              <c:numCache>
                <c:formatCode>General</c:formatCode>
                <c:ptCount val="3"/>
                <c:pt idx="2" formatCode="&quot;$&quot;#,##0">
                  <c:v>2489.6343251258886</c:v>
                </c:pt>
              </c:numCache>
            </c:numRef>
          </c:yVal>
          <c:smooth val="0"/>
          <c:extLst>
            <c:ext xmlns:c16="http://schemas.microsoft.com/office/drawing/2014/chart" uri="{C3380CC4-5D6E-409C-BE32-E72D297353CC}">
              <c16:uniqueId val="{00000005-D9DA-4288-9F3B-0463C5B5A718}"/>
            </c:ext>
          </c:extLst>
        </c:ser>
        <c:ser>
          <c:idx val="6"/>
          <c:order val="6"/>
          <c:tx>
            <c:strRef>
              <c:f>'NEO5 - YoY'!$B$31</c:f>
              <c:strCache>
                <c:ptCount val="1"/>
                <c:pt idx="0">
                  <c:v>Alamos</c:v>
                </c:pt>
              </c:strCache>
            </c:strRef>
          </c:tx>
          <c:spPr>
            <a:ln w="28575">
              <a:noFill/>
            </a:ln>
          </c:spPr>
          <c:xVal>
            <c:strRef>
              <c:f>'NEO5 - YoY'!$C$12:$E$12</c:f>
              <c:strCache>
                <c:ptCount val="3"/>
                <c:pt idx="0">
                  <c:v>2023 Target TDC</c:v>
                </c:pt>
                <c:pt idx="1">
                  <c:v>2024 Target TDC</c:v>
                </c:pt>
                <c:pt idx="2">
                  <c:v>2025E Target TDC</c:v>
                </c:pt>
              </c:strCache>
            </c:strRef>
          </c:xVal>
          <c:yVal>
            <c:numRef>
              <c:f>'NEO5 - YoY'!$C$31:$E$31</c:f>
              <c:numCache>
                <c:formatCode>General</c:formatCode>
                <c:ptCount val="3"/>
                <c:pt idx="2" formatCode="&quot;$&quot;#,##0">
                  <c:v>1302.6358586277611</c:v>
                </c:pt>
              </c:numCache>
            </c:numRef>
          </c:yVal>
          <c:smooth val="0"/>
          <c:extLst>
            <c:ext xmlns:c16="http://schemas.microsoft.com/office/drawing/2014/chart" uri="{C3380CC4-5D6E-409C-BE32-E72D297353CC}">
              <c16:uniqueId val="{00000006-D9DA-4288-9F3B-0463C5B5A718}"/>
            </c:ext>
          </c:extLst>
        </c:ser>
        <c:ser>
          <c:idx val="7"/>
          <c:order val="7"/>
          <c:tx>
            <c:strRef>
              <c:f>'NEO5 - YoY'!$B$32</c:f>
              <c:strCache>
                <c:ptCount val="1"/>
                <c:pt idx="0">
                  <c:v>Capstone</c:v>
                </c:pt>
              </c:strCache>
            </c:strRef>
          </c:tx>
          <c:spPr>
            <a:ln w="28575">
              <a:noFill/>
            </a:ln>
          </c:spPr>
          <c:xVal>
            <c:strRef>
              <c:f>'NEO5 - YoY'!$C$12:$E$12</c:f>
              <c:strCache>
                <c:ptCount val="3"/>
                <c:pt idx="0">
                  <c:v>2023 Target TDC</c:v>
                </c:pt>
                <c:pt idx="1">
                  <c:v>2024 Target TDC</c:v>
                </c:pt>
                <c:pt idx="2">
                  <c:v>2025E Target TDC</c:v>
                </c:pt>
              </c:strCache>
            </c:strRef>
          </c:xVal>
          <c:yVal>
            <c:numRef>
              <c:f>'NEO5 - YoY'!$C$32:$E$32</c:f>
              <c:numCache>
                <c:formatCode>General</c:formatCode>
                <c:ptCount val="3"/>
                <c:pt idx="2" formatCode="&quot;$&quot;#,##0">
                  <c:v>2219.3924999999999</c:v>
                </c:pt>
              </c:numCache>
            </c:numRef>
          </c:yVal>
          <c:smooth val="0"/>
          <c:extLst>
            <c:ext xmlns:c16="http://schemas.microsoft.com/office/drawing/2014/chart" uri="{C3380CC4-5D6E-409C-BE32-E72D297353CC}">
              <c16:uniqueId val="{00000007-D9DA-4288-9F3B-0463C5B5A718}"/>
            </c:ext>
          </c:extLst>
        </c:ser>
        <c:ser>
          <c:idx val="8"/>
          <c:order val="8"/>
          <c:tx>
            <c:strRef>
              <c:f>'NEO5 - YoY'!$B$33</c:f>
              <c:strCache>
                <c:ptCount val="1"/>
                <c:pt idx="0">
                  <c:v>Eldorado</c:v>
                </c:pt>
              </c:strCache>
            </c:strRef>
          </c:tx>
          <c:spPr>
            <a:ln w="28575">
              <a:noFill/>
            </a:ln>
          </c:spPr>
          <c:xVal>
            <c:strRef>
              <c:f>'NEO5 - YoY'!$C$12:$E$12</c:f>
              <c:strCache>
                <c:ptCount val="3"/>
                <c:pt idx="0">
                  <c:v>2023 Target TDC</c:v>
                </c:pt>
                <c:pt idx="1">
                  <c:v>2024 Target TDC</c:v>
                </c:pt>
                <c:pt idx="2">
                  <c:v>2025E Target TDC</c:v>
                </c:pt>
              </c:strCache>
            </c:strRef>
          </c:xVal>
          <c:yVal>
            <c:numRef>
              <c:f>'NEO5 - YoY'!$C$33:$E$33</c:f>
              <c:numCache>
                <c:formatCode>General</c:formatCode>
                <c:ptCount val="3"/>
                <c:pt idx="2" formatCode="&quot;$&quot;#,##0">
                  <c:v>2638.9666050000001</c:v>
                </c:pt>
              </c:numCache>
            </c:numRef>
          </c:yVal>
          <c:smooth val="0"/>
          <c:extLst>
            <c:ext xmlns:c16="http://schemas.microsoft.com/office/drawing/2014/chart" uri="{C3380CC4-5D6E-409C-BE32-E72D297353CC}">
              <c16:uniqueId val="{00000008-D9DA-4288-9F3B-0463C5B5A718}"/>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Charts'!$B$13</c:f>
              <c:strCache>
                <c:ptCount val="1"/>
                <c:pt idx="0">
                  <c:v>25th</c:v>
                </c:pt>
              </c:strCache>
            </c:strRef>
          </c:tx>
          <c:spPr>
            <a:noFill/>
          </c:spPr>
          <c:invertIfNegative val="0"/>
          <c:cat>
            <c:strRef>
              <c:f>'CEO - Charts'!$C$4:$E$4</c:f>
              <c:strCache>
                <c:ptCount val="3"/>
                <c:pt idx="0">
                  <c:v>Base Salary</c:v>
                </c:pt>
                <c:pt idx="1">
                  <c:v>Target TCC</c:v>
                </c:pt>
                <c:pt idx="2">
                  <c:v>Target TDC</c:v>
                </c:pt>
              </c:strCache>
            </c:strRef>
          </c:cat>
          <c:val>
            <c:numRef>
              <c:f>'CEO - Charts'!$C$13:$E$13</c:f>
              <c:numCache>
                <c:formatCode>"$"#,##0</c:formatCode>
                <c:ptCount val="3"/>
                <c:pt idx="0">
                  <c:v>882.9941</c:v>
                </c:pt>
                <c:pt idx="1">
                  <c:v>1891.25</c:v>
                </c:pt>
                <c:pt idx="2">
                  <c:v>4314.703125</c:v>
                </c:pt>
              </c:numCache>
            </c:numRef>
          </c:val>
          <c:extLst>
            <c:ext xmlns:c16="http://schemas.microsoft.com/office/drawing/2014/chart" uri="{C3380CC4-5D6E-409C-BE32-E72D297353CC}">
              <c16:uniqueId val="{00000000-58FC-4EE6-A5E0-6B2A85C83E76}"/>
            </c:ext>
          </c:extLst>
        </c:ser>
        <c:ser>
          <c:idx val="1"/>
          <c:order val="1"/>
          <c:tx>
            <c:strRef>
              <c:f>'CEO - Charts'!$B$14</c:f>
              <c:strCache>
                <c:ptCount val="1"/>
                <c:pt idx="0">
                  <c:v>50th</c:v>
                </c:pt>
              </c:strCache>
            </c:strRef>
          </c:tx>
          <c:spPr>
            <a:solidFill>
              <a:srgbClr val="002957"/>
            </a:solidFill>
          </c:spPr>
          <c:invertIfNegative val="0"/>
          <c:cat>
            <c:strRef>
              <c:f>'CEO - Charts'!$C$4:$E$4</c:f>
              <c:strCache>
                <c:ptCount val="3"/>
                <c:pt idx="0">
                  <c:v>Base Salary</c:v>
                </c:pt>
                <c:pt idx="1">
                  <c:v>Target TCC</c:v>
                </c:pt>
                <c:pt idx="2">
                  <c:v>Target TDC</c:v>
                </c:pt>
              </c:strCache>
            </c:strRef>
          </c:cat>
          <c:val>
            <c:numRef>
              <c:f>'CEO - Charts'!$C$14:$E$14</c:f>
              <c:numCache>
                <c:formatCode>"$"#,##0</c:formatCode>
                <c:ptCount val="3"/>
                <c:pt idx="0">
                  <c:v>127.40589999999997</c:v>
                </c:pt>
                <c:pt idx="1">
                  <c:v>260.15625</c:v>
                </c:pt>
                <c:pt idx="2">
                  <c:v>706.55687500000022</c:v>
                </c:pt>
              </c:numCache>
            </c:numRef>
          </c:val>
          <c:extLst>
            <c:ext xmlns:c16="http://schemas.microsoft.com/office/drawing/2014/chart" uri="{C3380CC4-5D6E-409C-BE32-E72D297353CC}">
              <c16:uniqueId val="{00000001-58FC-4EE6-A5E0-6B2A85C83E76}"/>
            </c:ext>
          </c:extLst>
        </c:ser>
        <c:ser>
          <c:idx val="2"/>
          <c:order val="2"/>
          <c:tx>
            <c:strRef>
              <c:f>'CEO - Charts'!$B$15</c:f>
              <c:strCache>
                <c:ptCount val="1"/>
                <c:pt idx="0">
                  <c:v>75th</c:v>
                </c:pt>
              </c:strCache>
            </c:strRef>
          </c:tx>
          <c:spPr>
            <a:solidFill>
              <a:schemeClr val="tx2">
                <a:lumMod val="20000"/>
                <a:lumOff val="80000"/>
              </a:schemeClr>
            </a:solidFill>
          </c:spPr>
          <c:invertIfNegative val="0"/>
          <c:cat>
            <c:strRef>
              <c:f>'CEO - Charts'!$C$4:$E$4</c:f>
              <c:strCache>
                <c:ptCount val="3"/>
                <c:pt idx="0">
                  <c:v>Base Salary</c:v>
                </c:pt>
                <c:pt idx="1">
                  <c:v>Target TCC</c:v>
                </c:pt>
                <c:pt idx="2">
                  <c:v>Target TDC</c:v>
                </c:pt>
              </c:strCache>
            </c:strRef>
          </c:cat>
          <c:val>
            <c:numRef>
              <c:f>'CEO - Charts'!$C$15:$E$15</c:f>
              <c:numCache>
                <c:formatCode>"$"#,##0</c:formatCode>
                <c:ptCount val="3"/>
                <c:pt idx="0">
                  <c:v>255.76112500000011</c:v>
                </c:pt>
                <c:pt idx="1">
                  <c:v>287.59633750000012</c:v>
                </c:pt>
                <c:pt idx="2">
                  <c:v>2074.1849833333335</c:v>
                </c:pt>
              </c:numCache>
            </c:numRef>
          </c:val>
          <c:extLst>
            <c:ext xmlns:c16="http://schemas.microsoft.com/office/drawing/2014/chart" uri="{C3380CC4-5D6E-409C-BE32-E72D297353CC}">
              <c16:uniqueId val="{00000002-58FC-4EE6-A5E0-6B2A85C83E76}"/>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Charts'!$C$17:$E$17</c:f>
              <c:numCache>
                <c:formatCode>"$"#,##0</c:formatCode>
                <c:ptCount val="3"/>
                <c:pt idx="0">
                  <c:v>1047.5250000000001</c:v>
                </c:pt>
                <c:pt idx="1">
                  <c:v>2304.5549999999998</c:v>
                </c:pt>
                <c:pt idx="2">
                  <c:v>5080.4962500000001</c:v>
                </c:pt>
              </c:numCache>
            </c:numRef>
          </c:yVal>
          <c:smooth val="0"/>
          <c:extLst>
            <c:ext xmlns:c16="http://schemas.microsoft.com/office/drawing/2014/chart" uri="{C3380CC4-5D6E-409C-BE32-E72D297353CC}">
              <c16:uniqueId val="{00000003-58FC-4EE6-A5E0-6B2A85C83E76}"/>
            </c:ext>
          </c:extLst>
        </c:ser>
        <c:ser>
          <c:idx val="4"/>
          <c:order val="4"/>
          <c:tx>
            <c:strRef>
              <c:f>'CEO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'CEO - Charts'!$C$16:$E$16</c:f>
              <c:numCache>
                <c:formatCode>"$"#,##0</c:formatCode>
                <c:ptCount val="3"/>
                <c:pt idx="0">
                  <c:v>1094.2488626892857</c:v>
                </c:pt>
                <c:pt idx="1">
                  <c:v>2363.1724091453575</c:v>
                </c:pt>
                <c:pt idx="2">
                  <c:v>5578.1621173485619</c:v>
                </c:pt>
              </c:numCache>
            </c:numRef>
          </c:yVal>
          <c:smooth val="0"/>
          <c:extLst>
            <c:ext xmlns:c16="http://schemas.microsoft.com/office/drawing/2014/chart" uri="{C3380CC4-5D6E-409C-BE32-E72D297353CC}">
              <c16:uniqueId val="{00000004-58FC-4EE6-A5E0-6B2A85C83E76}"/>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Charts'!$B$13</c:f>
              <c:strCache>
                <c:ptCount val="1"/>
                <c:pt idx="0">
                  <c:v>25th</c:v>
                </c:pt>
              </c:strCache>
            </c:strRef>
          </c:tx>
          <c:spPr>
            <a:noFill/>
          </c:spPr>
          <c:invertIfNegative val="0"/>
          <c:cat>
            <c:strRef>
              <c:f>'CFO - Charts'!$C$4:$E$4</c:f>
              <c:strCache>
                <c:ptCount val="3"/>
                <c:pt idx="0">
                  <c:v>Base Salary</c:v>
                </c:pt>
                <c:pt idx="1">
                  <c:v>Target TCC</c:v>
                </c:pt>
                <c:pt idx="2">
                  <c:v>Target TDC</c:v>
                </c:pt>
              </c:strCache>
            </c:strRef>
          </c:cat>
          <c:val>
            <c:numRef>
              <c:f>'CFO - Charts'!$C$13:$E$13</c:f>
              <c:numCache>
                <c:formatCode>"$"#,##0</c:formatCode>
                <c:ptCount val="3"/>
                <c:pt idx="0">
                  <c:v>0</c:v>
                </c:pt>
                <c:pt idx="1">
                  <c:v>0</c:v>
                </c:pt>
                <c:pt idx="2">
                  <c:v>0</c:v>
                </c:pt>
              </c:numCache>
            </c:numRef>
          </c:val>
          <c:extLst>
            <c:ext xmlns:c16="http://schemas.microsoft.com/office/drawing/2014/chart" uri="{C3380CC4-5D6E-409C-BE32-E72D297353CC}">
              <c16:uniqueId val="{00000000-8D8B-4B14-8656-E234F530B0BB}"/>
            </c:ext>
          </c:extLst>
        </c:ser>
        <c:ser>
          <c:idx val="1"/>
          <c:order val="1"/>
          <c:tx>
            <c:strRef>
              <c:f>'CFO - Charts'!$B$14</c:f>
              <c:strCache>
                <c:ptCount val="1"/>
                <c:pt idx="0">
                  <c:v>50th</c:v>
                </c:pt>
              </c:strCache>
            </c:strRef>
          </c:tx>
          <c:spPr>
            <a:solidFill>
              <a:srgbClr val="002957"/>
            </a:solidFill>
          </c:spPr>
          <c:invertIfNegative val="0"/>
          <c:cat>
            <c:strRef>
              <c:f>'CFO - Charts'!$C$4:$E$4</c:f>
              <c:strCache>
                <c:ptCount val="3"/>
                <c:pt idx="0">
                  <c:v>Base Salary</c:v>
                </c:pt>
                <c:pt idx="1">
                  <c:v>Target TCC</c:v>
                </c:pt>
                <c:pt idx="2">
                  <c:v>Target TDC</c:v>
                </c:pt>
              </c:strCache>
            </c:strRef>
          </c:cat>
          <c:val>
            <c:numRef>
              <c:f>'CFO - Charts'!$C$14:$E$14</c:f>
              <c:numCache>
                <c:formatCode>"$"#,##0</c:formatCode>
                <c:ptCount val="3"/>
                <c:pt idx="0">
                  <c:v>0</c:v>
                </c:pt>
                <c:pt idx="1">
                  <c:v>0</c:v>
                </c:pt>
                <c:pt idx="2">
                  <c:v>0</c:v>
                </c:pt>
              </c:numCache>
            </c:numRef>
          </c:val>
          <c:extLst>
            <c:ext xmlns:c16="http://schemas.microsoft.com/office/drawing/2014/chart" uri="{C3380CC4-5D6E-409C-BE32-E72D297353CC}">
              <c16:uniqueId val="{00000001-8D8B-4B14-8656-E234F530B0BB}"/>
            </c:ext>
          </c:extLst>
        </c:ser>
        <c:ser>
          <c:idx val="2"/>
          <c:order val="2"/>
          <c:tx>
            <c:strRef>
              <c:f>'CFO - Charts'!$B$15</c:f>
              <c:strCache>
                <c:ptCount val="1"/>
                <c:pt idx="0">
                  <c:v>75th</c:v>
                </c:pt>
              </c:strCache>
            </c:strRef>
          </c:tx>
          <c:spPr>
            <a:solidFill>
              <a:schemeClr val="tx2">
                <a:lumMod val="20000"/>
                <a:lumOff val="80000"/>
              </a:schemeClr>
            </a:solidFill>
          </c:spPr>
          <c:invertIfNegative val="0"/>
          <c:cat>
            <c:strRef>
              <c:f>'CFO - Charts'!$C$4:$E$4</c:f>
              <c:strCache>
                <c:ptCount val="3"/>
                <c:pt idx="0">
                  <c:v>Base Salary</c:v>
                </c:pt>
                <c:pt idx="1">
                  <c:v>Target TCC</c:v>
                </c:pt>
                <c:pt idx="2">
                  <c:v>Target TDC</c:v>
                </c:pt>
              </c:strCache>
            </c:strRef>
          </c:cat>
          <c:val>
            <c:numRef>
              <c:f>'CFO - Charts'!$C$15:$E$15</c:f>
              <c:numCache>
                <c:formatCode>"$"#,##0</c:formatCode>
                <c:ptCount val="3"/>
                <c:pt idx="0">
                  <c:v>0</c:v>
                </c:pt>
                <c:pt idx="1">
                  <c:v>0</c:v>
                </c:pt>
                <c:pt idx="2">
                  <c:v>0</c:v>
                </c:pt>
              </c:numCache>
            </c:numRef>
          </c:val>
          <c:extLst>
            <c:ext xmlns:c16="http://schemas.microsoft.com/office/drawing/2014/chart" uri="{C3380CC4-5D6E-409C-BE32-E72D297353CC}">
              <c16:uniqueId val="{00000002-8D8B-4B14-8656-E234F530B0B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8D8B-4B14-8656-E234F530B0BB}"/>
            </c:ext>
          </c:extLst>
        </c:ser>
        <c:ser>
          <c:idx val="4"/>
          <c:order val="4"/>
          <c:tx>
            <c:strRef>
              <c:f>'CFO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'CFO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8D8B-4B14-8656-E234F530B0B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'NEO1 - Charts'!$B$13</c:f>
              <c:strCache>
                <c:ptCount val="1"/>
                <c:pt idx="0">
                  <c:v>25th</c:v>
                </c:pt>
              </c:strCache>
            </c:strRef>
          </c:tx>
          <c:spPr>
            <a:noFill/>
          </c:spPr>
          <c:invertIfNegative val="0"/>
          <c:cat>
            <c:strRef>
              <c:f>'NEO1 - Charts'!$C$4:$E$4</c:f>
              <c:strCache>
                <c:ptCount val="3"/>
                <c:pt idx="0">
                  <c:v>Base Salary</c:v>
                </c:pt>
                <c:pt idx="1">
                  <c:v>Target TCC</c:v>
                </c:pt>
                <c:pt idx="2">
                  <c:v>Target TDC</c:v>
                </c:pt>
              </c:strCache>
            </c:strRef>
          </c:cat>
          <c:val>
            <c:numRef>
              <c:f>'NEO1 - Charts'!$C$13:$E$13</c:f>
              <c:numCache>
                <c:formatCode>"$"#,##0</c:formatCode>
                <c:ptCount val="3"/>
                <c:pt idx="0">
                  <c:v>0</c:v>
                </c:pt>
                <c:pt idx="1">
                  <c:v>0</c:v>
                </c:pt>
                <c:pt idx="2">
                  <c:v>0</c:v>
                </c:pt>
              </c:numCache>
            </c:numRef>
          </c:val>
          <c:extLst>
            <c:ext xmlns:c16="http://schemas.microsoft.com/office/drawing/2014/chart" uri="{C3380CC4-5D6E-409C-BE32-E72D297353CC}">
              <c16:uniqueId val="{00000000-7CDA-4C09-9874-318BD3913FED}"/>
            </c:ext>
          </c:extLst>
        </c:ser>
        <c:ser>
          <c:idx val="1"/>
          <c:order val="1"/>
          <c:tx>
            <c:strRef>
              <c:f>'NEO1 - Charts'!$B$14</c:f>
              <c:strCache>
                <c:ptCount val="1"/>
                <c:pt idx="0">
                  <c:v>50th</c:v>
                </c:pt>
              </c:strCache>
            </c:strRef>
          </c:tx>
          <c:spPr>
            <a:solidFill>
              <a:srgbClr val="002957"/>
            </a:solidFill>
          </c:spPr>
          <c:invertIfNegative val="0"/>
          <c:cat>
            <c:strRef>
              <c:f>'NEO1 - Charts'!$C$4:$E$4</c:f>
              <c:strCache>
                <c:ptCount val="3"/>
                <c:pt idx="0">
                  <c:v>Base Salary</c:v>
                </c:pt>
                <c:pt idx="1">
                  <c:v>Target TCC</c:v>
                </c:pt>
                <c:pt idx="2">
                  <c:v>Target TDC</c:v>
                </c:pt>
              </c:strCache>
            </c:strRef>
          </c:cat>
          <c:val>
            <c:numRef>
              <c:f>'NEO1 - Charts'!$C$14:$E$14</c:f>
              <c:numCache>
                <c:formatCode>"$"#,##0</c:formatCode>
                <c:ptCount val="3"/>
                <c:pt idx="0">
                  <c:v>0</c:v>
                </c:pt>
                <c:pt idx="1">
                  <c:v>0</c:v>
                </c:pt>
                <c:pt idx="2">
                  <c:v>0</c:v>
                </c:pt>
              </c:numCache>
            </c:numRef>
          </c:val>
          <c:extLst>
            <c:ext xmlns:c16="http://schemas.microsoft.com/office/drawing/2014/chart" uri="{C3380CC4-5D6E-409C-BE32-E72D297353CC}">
              <c16:uniqueId val="{00000001-7CDA-4C09-9874-318BD3913FED}"/>
            </c:ext>
          </c:extLst>
        </c:ser>
        <c:ser>
          <c:idx val="2"/>
          <c:order val="2"/>
          <c:tx>
            <c:strRef>
              <c:f>'NEO1 - Charts'!$B$15</c:f>
              <c:strCache>
                <c:ptCount val="1"/>
                <c:pt idx="0">
                  <c:v>75th</c:v>
                </c:pt>
              </c:strCache>
            </c:strRef>
          </c:tx>
          <c:spPr>
            <a:solidFill>
              <a:schemeClr val="tx2">
                <a:lumMod val="20000"/>
                <a:lumOff val="80000"/>
              </a:schemeClr>
            </a:solidFill>
          </c:spPr>
          <c:invertIfNegative val="0"/>
          <c:cat>
            <c:strRef>
              <c:f>'NEO1 - Charts'!$C$4:$E$4</c:f>
              <c:strCache>
                <c:ptCount val="3"/>
                <c:pt idx="0">
                  <c:v>Base Salary</c:v>
                </c:pt>
                <c:pt idx="1">
                  <c:v>Target TCC</c:v>
                </c:pt>
                <c:pt idx="2">
                  <c:v>Target TDC</c:v>
                </c:pt>
              </c:strCache>
            </c:strRef>
          </c:cat>
          <c:val>
            <c:numRef>
              <c:f>'NEO1 - Charts'!$C$15:$E$15</c:f>
              <c:numCache>
                <c:formatCode>"$"#,##0</c:formatCode>
                <c:ptCount val="3"/>
                <c:pt idx="0">
                  <c:v>0</c:v>
                </c:pt>
                <c:pt idx="1">
                  <c:v>0</c:v>
                </c:pt>
                <c:pt idx="2">
                  <c:v>0</c:v>
                </c:pt>
              </c:numCache>
            </c:numRef>
          </c:val>
          <c:extLst>
            <c:ext xmlns:c16="http://schemas.microsoft.com/office/drawing/2014/chart" uri="{C3380CC4-5D6E-409C-BE32-E72D297353CC}">
              <c16:uniqueId val="{00000002-7CDA-4C09-9874-318BD3913FED}"/>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'NEO1 -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'NEO1 -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7CDA-4C09-9874-318BD3913FED}"/>
            </c:ext>
          </c:extLst>
        </c:ser>
        <c:ser>
          <c:idx val="4"/>
          <c:order val="4"/>
          <c:tx>
            <c:strRef>
              <c:f>'NEO1 -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'NEO1 -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7CDA-4C09-9874-318BD3913FED}"/>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'NEO3 - Charts'!$B$13</c:f>
              <c:strCache>
                <c:ptCount val="1"/>
                <c:pt idx="0">
                  <c:v>25th</c:v>
                </c:pt>
              </c:strCache>
            </c:strRef>
          </c:tx>
          <c:spPr>
            <a:noFill/>
          </c:spPr>
          <c:invertIfNegative val="0"/>
          <c:cat>
            <c:strRef>
              <c:f>'NEO3 - Charts'!$C$4:$E$4</c:f>
              <c:strCache>
                <c:ptCount val="3"/>
                <c:pt idx="0">
                  <c:v>Base Salary</c:v>
                </c:pt>
                <c:pt idx="1">
                  <c:v>Target TCC</c:v>
                </c:pt>
                <c:pt idx="2">
                  <c:v>Target TDC</c:v>
                </c:pt>
              </c:strCache>
            </c:strRef>
          </c:cat>
          <c:val>
            <c:numRef>
              <c:f>'NEO3 - Charts'!$C$13:$E$13</c:f>
              <c:numCache>
                <c:formatCode>"$"#,##0</c:formatCode>
                <c:ptCount val="3"/>
                <c:pt idx="0">
                  <c:v>0</c:v>
                </c:pt>
                <c:pt idx="1">
                  <c:v>0</c:v>
                </c:pt>
                <c:pt idx="2">
                  <c:v>0</c:v>
                </c:pt>
              </c:numCache>
            </c:numRef>
          </c:val>
          <c:extLst>
            <c:ext xmlns:c16="http://schemas.microsoft.com/office/drawing/2014/chart" uri="{C3380CC4-5D6E-409C-BE32-E72D297353CC}">
              <c16:uniqueId val="{00000000-64CB-4DDC-94F1-1875F660C631}"/>
            </c:ext>
          </c:extLst>
        </c:ser>
        <c:ser>
          <c:idx val="1"/>
          <c:order val="1"/>
          <c:tx>
            <c:strRef>
              <c:f>'NEO3 - Charts'!$B$14</c:f>
              <c:strCache>
                <c:ptCount val="1"/>
                <c:pt idx="0">
                  <c:v>50th</c:v>
                </c:pt>
              </c:strCache>
            </c:strRef>
          </c:tx>
          <c:spPr>
            <a:solidFill>
              <a:srgbClr val="002957"/>
            </a:solidFill>
          </c:spPr>
          <c:invertIfNegative val="0"/>
          <c:cat>
            <c:strRef>
              <c:f>'NEO3 - Charts'!$C$4:$E$4</c:f>
              <c:strCache>
                <c:ptCount val="3"/>
                <c:pt idx="0">
                  <c:v>Base Salary</c:v>
                </c:pt>
                <c:pt idx="1">
                  <c:v>Target TCC</c:v>
                </c:pt>
                <c:pt idx="2">
                  <c:v>Target TDC</c:v>
                </c:pt>
              </c:strCache>
            </c:strRef>
          </c:cat>
          <c:val>
            <c:numRef>
              <c:f>'NEO3 - Charts'!$C$14:$E$14</c:f>
              <c:numCache>
                <c:formatCode>"$"#,##0</c:formatCode>
                <c:ptCount val="3"/>
                <c:pt idx="0">
                  <c:v>0</c:v>
                </c:pt>
                <c:pt idx="1">
                  <c:v>0</c:v>
                </c:pt>
                <c:pt idx="2">
                  <c:v>0</c:v>
                </c:pt>
              </c:numCache>
            </c:numRef>
          </c:val>
          <c:extLst>
            <c:ext xmlns:c16="http://schemas.microsoft.com/office/drawing/2014/chart" uri="{C3380CC4-5D6E-409C-BE32-E72D297353CC}">
              <c16:uniqueId val="{00000001-64CB-4DDC-94F1-1875F660C631}"/>
            </c:ext>
          </c:extLst>
        </c:ser>
        <c:ser>
          <c:idx val="2"/>
          <c:order val="2"/>
          <c:tx>
            <c:strRef>
              <c:f>'NEO3 - Charts'!$B$15</c:f>
              <c:strCache>
                <c:ptCount val="1"/>
                <c:pt idx="0">
                  <c:v>75th</c:v>
                </c:pt>
              </c:strCache>
            </c:strRef>
          </c:tx>
          <c:spPr>
            <a:solidFill>
              <a:schemeClr val="tx2">
                <a:lumMod val="20000"/>
                <a:lumOff val="80000"/>
              </a:schemeClr>
            </a:solidFill>
          </c:spPr>
          <c:invertIfNegative val="0"/>
          <c:cat>
            <c:strRef>
              <c:f>'NEO3 - Charts'!$C$4:$E$4</c:f>
              <c:strCache>
                <c:ptCount val="3"/>
                <c:pt idx="0">
                  <c:v>Base Salary</c:v>
                </c:pt>
                <c:pt idx="1">
                  <c:v>Target TCC</c:v>
                </c:pt>
                <c:pt idx="2">
                  <c:v>Target TDC</c:v>
                </c:pt>
              </c:strCache>
            </c:strRef>
          </c:cat>
          <c:val>
            <c:numRef>
              <c:f>'NEO3 - Charts'!$C$15:$E$15</c:f>
              <c:numCache>
                <c:formatCode>"$"#,##0</c:formatCode>
                <c:ptCount val="3"/>
                <c:pt idx="0">
                  <c:v>0</c:v>
                </c:pt>
                <c:pt idx="1">
                  <c:v>0</c:v>
                </c:pt>
                <c:pt idx="2">
                  <c:v>0</c:v>
                </c:pt>
              </c:numCache>
            </c:numRef>
          </c:val>
          <c:extLst>
            <c:ext xmlns:c16="http://schemas.microsoft.com/office/drawing/2014/chart" uri="{C3380CC4-5D6E-409C-BE32-E72D297353CC}">
              <c16:uniqueId val="{00000002-64CB-4DDC-94F1-1875F660C631}"/>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'NEO3 -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'NEO3 -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64CB-4DDC-94F1-1875F660C631}"/>
            </c:ext>
          </c:extLst>
        </c:ser>
        <c:ser>
          <c:idx val="4"/>
          <c:order val="4"/>
          <c:tx>
            <c:strRef>
              <c:f>'NEO3 -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'NEO3 -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64CB-4DDC-94F1-1875F660C631}"/>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'NEO2 - Charts'!$B$13</c:f>
              <c:strCache>
                <c:ptCount val="1"/>
                <c:pt idx="0">
                  <c:v>25th</c:v>
                </c:pt>
              </c:strCache>
            </c:strRef>
          </c:tx>
          <c:spPr>
            <a:noFill/>
          </c:spPr>
          <c:invertIfNegative val="0"/>
          <c:cat>
            <c:strRef>
              <c:f>'NEO2 - Charts'!$C$4:$E$4</c:f>
              <c:strCache>
                <c:ptCount val="3"/>
                <c:pt idx="0">
                  <c:v>Base Salary</c:v>
                </c:pt>
                <c:pt idx="1">
                  <c:v>Target TCC</c:v>
                </c:pt>
                <c:pt idx="2">
                  <c:v>Target TDC</c:v>
                </c:pt>
              </c:strCache>
            </c:strRef>
          </c:cat>
          <c:val>
            <c:numRef>
              <c:f>'NEO2 - Charts'!$C$13:$E$13</c:f>
              <c:numCache>
                <c:formatCode>"$"#,##0</c:formatCode>
                <c:ptCount val="3"/>
                <c:pt idx="0">
                  <c:v>0</c:v>
                </c:pt>
                <c:pt idx="1">
                  <c:v>0</c:v>
                </c:pt>
                <c:pt idx="2">
                  <c:v>0</c:v>
                </c:pt>
              </c:numCache>
            </c:numRef>
          </c:val>
          <c:extLst>
            <c:ext xmlns:c16="http://schemas.microsoft.com/office/drawing/2014/chart" uri="{C3380CC4-5D6E-409C-BE32-E72D297353CC}">
              <c16:uniqueId val="{00000000-23F1-46BA-94E7-A56C4A888DC5}"/>
            </c:ext>
          </c:extLst>
        </c:ser>
        <c:ser>
          <c:idx val="1"/>
          <c:order val="1"/>
          <c:tx>
            <c:strRef>
              <c:f>'NEO2 - Charts'!$B$14</c:f>
              <c:strCache>
                <c:ptCount val="1"/>
                <c:pt idx="0">
                  <c:v>50th</c:v>
                </c:pt>
              </c:strCache>
            </c:strRef>
          </c:tx>
          <c:spPr>
            <a:solidFill>
              <a:srgbClr val="002957"/>
            </a:solidFill>
          </c:spPr>
          <c:invertIfNegative val="0"/>
          <c:cat>
            <c:strRef>
              <c:f>'NEO2 - Charts'!$C$4:$E$4</c:f>
              <c:strCache>
                <c:ptCount val="3"/>
                <c:pt idx="0">
                  <c:v>Base Salary</c:v>
                </c:pt>
                <c:pt idx="1">
                  <c:v>Target TCC</c:v>
                </c:pt>
                <c:pt idx="2">
                  <c:v>Target TDC</c:v>
                </c:pt>
              </c:strCache>
            </c:strRef>
          </c:cat>
          <c:val>
            <c:numRef>
              <c:f>'NEO2 - Charts'!$C$14:$E$14</c:f>
              <c:numCache>
                <c:formatCode>"$"#,##0</c:formatCode>
                <c:ptCount val="3"/>
                <c:pt idx="0">
                  <c:v>0</c:v>
                </c:pt>
                <c:pt idx="1">
                  <c:v>0</c:v>
                </c:pt>
                <c:pt idx="2">
                  <c:v>0</c:v>
                </c:pt>
              </c:numCache>
            </c:numRef>
          </c:val>
          <c:extLst>
            <c:ext xmlns:c16="http://schemas.microsoft.com/office/drawing/2014/chart" uri="{C3380CC4-5D6E-409C-BE32-E72D297353CC}">
              <c16:uniqueId val="{00000001-23F1-46BA-94E7-A56C4A888DC5}"/>
            </c:ext>
          </c:extLst>
        </c:ser>
        <c:ser>
          <c:idx val="2"/>
          <c:order val="2"/>
          <c:tx>
            <c:strRef>
              <c:f>'NEO2 - Charts'!$B$15</c:f>
              <c:strCache>
                <c:ptCount val="1"/>
                <c:pt idx="0">
                  <c:v>75th</c:v>
                </c:pt>
              </c:strCache>
            </c:strRef>
          </c:tx>
          <c:spPr>
            <a:solidFill>
              <a:schemeClr val="tx2">
                <a:lumMod val="20000"/>
                <a:lumOff val="80000"/>
              </a:schemeClr>
            </a:solidFill>
          </c:spPr>
          <c:invertIfNegative val="0"/>
          <c:cat>
            <c:strRef>
              <c:f>'NEO2 - Charts'!$C$4:$E$4</c:f>
              <c:strCache>
                <c:ptCount val="3"/>
                <c:pt idx="0">
                  <c:v>Base Salary</c:v>
                </c:pt>
                <c:pt idx="1">
                  <c:v>Target TCC</c:v>
                </c:pt>
                <c:pt idx="2">
                  <c:v>Target TDC</c:v>
                </c:pt>
              </c:strCache>
            </c:strRef>
          </c:cat>
          <c:val>
            <c:numRef>
              <c:f>'NEO2 - Charts'!$C$15:$E$15</c:f>
              <c:numCache>
                <c:formatCode>"$"#,##0</c:formatCode>
                <c:ptCount val="3"/>
                <c:pt idx="0">
                  <c:v>0</c:v>
                </c:pt>
                <c:pt idx="1">
                  <c:v>0</c:v>
                </c:pt>
                <c:pt idx="2">
                  <c:v>0</c:v>
                </c:pt>
              </c:numCache>
            </c:numRef>
          </c:val>
          <c:extLst>
            <c:ext xmlns:c16="http://schemas.microsoft.com/office/drawing/2014/chart" uri="{C3380CC4-5D6E-409C-BE32-E72D297353CC}">
              <c16:uniqueId val="{00000002-23F1-46BA-94E7-A56C4A888DC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'NEO2 -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'NEO2 -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23F1-46BA-94E7-A56C4A888DC5}"/>
            </c:ext>
          </c:extLst>
        </c:ser>
        <c:ser>
          <c:idx val="4"/>
          <c:order val="4"/>
          <c:tx>
            <c:strRef>
              <c:f>'NEO2 -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'NEO2 -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23F1-46BA-94E7-A56C4A888DC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5" Type="http://schemas.openxmlformats.org/officeDocument/2006/relationships/chart" Target="../charts/chart26.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editAs="oneCell">
    <xdr:from>
      <xdr:col>10</xdr:col>
      <xdr:colOff>428625</xdr:colOff>
      <xdr:row>0</xdr:row>
      <xdr:rowOff>85725</xdr:rowOff>
    </xdr:from>
    <xdr:to>
      <xdr:col>20</xdr:col>
      <xdr:colOff>400897</xdr:colOff>
      <xdr:row>32</xdr:row>
      <xdr:rowOff>865</xdr:rowOff>
    </xdr:to>
    <xdr:pic>
      <xdr:nvPicPr>
        <xdr:cNvPr id="2" name="Picture 1">
          <a:extLst>
            <a:ext uri="{FF2B5EF4-FFF2-40B4-BE49-F238E27FC236}">
              <a16:creationId xmlns:a16="http://schemas.microsoft.com/office/drawing/2014/main" id="{F060CC25-DF40-3429-9448-E0AAE35C3619}"/>
            </a:ext>
          </a:extLst>
        </xdr:cNvPr>
        <xdr:cNvPicPr>
          <a:picLocks noChangeAspect="1"/>
        </xdr:cNvPicPr>
      </xdr:nvPicPr>
      <xdr:blipFill>
        <a:blip xmlns:r="http://schemas.openxmlformats.org/officeDocument/2006/relationships" r:embed="rId1"/>
        <a:stretch>
          <a:fillRect/>
        </a:stretch>
      </xdr:blipFill>
      <xdr:spPr>
        <a:xfrm>
          <a:off x="7848600" y="85725"/>
          <a:ext cx="6068272" cy="620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124796</xdr:colOff>
      <xdr:row>17</xdr:row>
      <xdr:rowOff>163630</xdr:rowOff>
    </xdr:from>
    <xdr:to>
      <xdr:col>16</xdr:col>
      <xdr:colOff>266113</xdr:colOff>
      <xdr:row>30</xdr:row>
      <xdr:rowOff>7473</xdr:rowOff>
    </xdr:to>
    <xdr:pic>
      <xdr:nvPicPr>
        <xdr:cNvPr id="2" name="Picture 1">
          <a:extLst>
            <a:ext uri="{FF2B5EF4-FFF2-40B4-BE49-F238E27FC236}">
              <a16:creationId xmlns:a16="http://schemas.microsoft.com/office/drawing/2014/main" id="{905D3151-85A3-EFDA-F0D7-499BA6EA1C11}"/>
            </a:ext>
          </a:extLst>
        </xdr:cNvPr>
        <xdr:cNvPicPr>
          <a:picLocks noChangeAspect="1"/>
        </xdr:cNvPicPr>
      </xdr:nvPicPr>
      <xdr:blipFill>
        <a:blip xmlns:r="http://schemas.openxmlformats.org/officeDocument/2006/relationships" r:embed="rId1"/>
        <a:stretch>
          <a:fillRect/>
        </a:stretch>
      </xdr:blipFill>
      <xdr:spPr>
        <a:xfrm>
          <a:off x="7630496" y="4868980"/>
          <a:ext cx="7275542" cy="21996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513522</xdr:colOff>
      <xdr:row>3</xdr:row>
      <xdr:rowOff>91107</xdr:rowOff>
    </xdr:from>
    <xdr:to>
      <xdr:col>18</xdr:col>
      <xdr:colOff>99887</xdr:colOff>
      <xdr:row>11</xdr:row>
      <xdr:rowOff>148358</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2343572" y="640382"/>
          <a:ext cx="1418340" cy="1514576"/>
          <a:chOff x="157370" y="0"/>
          <a:chExt cx="1425106" cy="1581251"/>
        </a:xfrm>
      </xdr:grpSpPr>
      <xdr:sp macro="" textlink="">
        <xdr:nvSpPr>
          <xdr:cNvPr id="3" name="TextBox 3">
            <a:extLst>
              <a:ext uri="{FF2B5EF4-FFF2-40B4-BE49-F238E27FC236}">
                <a16:creationId xmlns:a16="http://schemas.microsoft.com/office/drawing/2014/main" id="{00000000-0008-0000-0500-000003000000}"/>
              </a:ext>
            </a:extLst>
          </xdr:cNvPr>
          <xdr:cNvSpPr txBox="1"/>
        </xdr:nvSpPr>
        <xdr:spPr>
          <a:xfrm>
            <a:off x="157370" y="0"/>
            <a:ext cx="1358349"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4" name="Group 50">
            <a:extLst>
              <a:ext uri="{FF2B5EF4-FFF2-40B4-BE49-F238E27FC236}">
                <a16:creationId xmlns:a16="http://schemas.microsoft.com/office/drawing/2014/main" id="{00000000-0008-0000-0500-000004000000}"/>
              </a:ext>
            </a:extLst>
          </xdr:cNvPr>
          <xdr:cNvGrpSpPr/>
        </xdr:nvGrpSpPr>
        <xdr:grpSpPr>
          <a:xfrm>
            <a:off x="258505" y="139686"/>
            <a:ext cx="315534" cy="716384"/>
            <a:chOff x="258505" y="139686"/>
            <a:chExt cx="315534" cy="716384"/>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258505" y="486713"/>
              <a:ext cx="315534" cy="369357"/>
            </a:xfrm>
            <a:prstGeom prst="rect">
              <a:avLst/>
            </a:prstGeom>
            <a:solidFill>
              <a:srgbClr val="002957"/>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3" name="Rectangle 22">
              <a:extLst>
                <a:ext uri="{FF2B5EF4-FFF2-40B4-BE49-F238E27FC236}">
                  <a16:creationId xmlns:a16="http://schemas.microsoft.com/office/drawing/2014/main" id="{00000000-0008-0000-0500-000017000000}"/>
                </a:ext>
              </a:extLst>
            </xdr:cNvPr>
            <xdr:cNvSpPr/>
          </xdr:nvSpPr>
          <xdr:spPr>
            <a:xfrm>
              <a:off x="258505" y="139686"/>
              <a:ext cx="315534" cy="369357"/>
            </a:xfrm>
            <a:prstGeom prst="rect">
              <a:avLst/>
            </a:prstGeom>
            <a:solidFill>
              <a:srgbClr val="AFABAB"/>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5" name="Rectangle 4">
            <a:extLst>
              <a:ext uri="{FF2B5EF4-FFF2-40B4-BE49-F238E27FC236}">
                <a16:creationId xmlns:a16="http://schemas.microsoft.com/office/drawing/2014/main" id="{00000000-0008-0000-0500-000005000000}"/>
              </a:ext>
            </a:extLst>
          </xdr:cNvPr>
          <xdr:cNvSpPr/>
        </xdr:nvSpPr>
        <xdr:spPr>
          <a:xfrm>
            <a:off x="336157" y="1302755"/>
            <a:ext cx="160231" cy="182950"/>
          </a:xfrm>
          <a:prstGeom prst="rect">
            <a:avLst/>
          </a:prstGeom>
          <a:solidFill>
            <a:srgbClr val="F0531E"/>
          </a:solidFill>
          <a:ln w="9525" cap="flat" cmpd="sng" algn="ctr">
            <a:solidFill>
              <a:sysClr val="windowText" lastClr="000000"/>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6" name="Minus 5">
            <a:extLst>
              <a:ext uri="{FF2B5EF4-FFF2-40B4-BE49-F238E27FC236}">
                <a16:creationId xmlns:a16="http://schemas.microsoft.com/office/drawing/2014/main" id="{00000000-0008-0000-0500-000006000000}"/>
              </a:ext>
            </a:extLst>
          </xdr:cNvPr>
          <xdr:cNvSpPr/>
        </xdr:nvSpPr>
        <xdr:spPr>
          <a:xfrm>
            <a:off x="254751" y="1049078"/>
            <a:ext cx="323043" cy="116036"/>
          </a:xfrm>
          <a:prstGeom prst="mathMinus">
            <a:avLst/>
          </a:prstGeom>
          <a:solidFill>
            <a:srgbClr val="5F6269"/>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7" name="Group 53">
            <a:extLst>
              <a:ext uri="{FF2B5EF4-FFF2-40B4-BE49-F238E27FC236}">
                <a16:creationId xmlns:a16="http://schemas.microsoft.com/office/drawing/2014/main" id="{00000000-0008-0000-0500-000007000000}"/>
              </a:ext>
            </a:extLst>
          </xdr:cNvPr>
          <xdr:cNvGrpSpPr/>
        </xdr:nvGrpSpPr>
        <xdr:grpSpPr>
          <a:xfrm>
            <a:off x="681311" y="63487"/>
            <a:ext cx="842667" cy="182217"/>
            <a:chOff x="681311" y="63487"/>
            <a:chExt cx="842667" cy="182217"/>
          </a:xfrm>
        </xdr:grpSpPr>
        <xdr:sp macro="" textlink="">
          <xdr:nvSpPr>
            <xdr:cNvPr id="20" name="Straight Arrow Connector 19">
              <a:extLst>
                <a:ext uri="{FF2B5EF4-FFF2-40B4-BE49-F238E27FC236}">
                  <a16:creationId xmlns:a16="http://schemas.microsoft.com/office/drawing/2014/main" id="{00000000-0008-0000-0500-00001400000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1" name="Rectangle 20">
              <a:extLst>
                <a:ext uri="{FF2B5EF4-FFF2-40B4-BE49-F238E27FC236}">
                  <a16:creationId xmlns:a16="http://schemas.microsoft.com/office/drawing/2014/main" id="{00000000-0008-0000-0500-00001500000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P75</a:t>
              </a:r>
            </a:p>
          </xdr:txBody>
        </xdr:sp>
      </xdr:grpSp>
      <xdr:grpSp>
        <xdr:nvGrpSpPr>
          <xdr:cNvPr id="8" name="Group 54">
            <a:extLst>
              <a:ext uri="{FF2B5EF4-FFF2-40B4-BE49-F238E27FC236}">
                <a16:creationId xmlns:a16="http://schemas.microsoft.com/office/drawing/2014/main" id="{00000000-0008-0000-0500-000008000000}"/>
              </a:ext>
            </a:extLst>
          </xdr:cNvPr>
          <xdr:cNvGrpSpPr/>
        </xdr:nvGrpSpPr>
        <xdr:grpSpPr>
          <a:xfrm>
            <a:off x="673028" y="406770"/>
            <a:ext cx="842665" cy="182217"/>
            <a:chOff x="673028" y="406770"/>
            <a:chExt cx="842665" cy="182217"/>
          </a:xfrm>
        </xdr:grpSpPr>
        <xdr:sp macro="" textlink="">
          <xdr:nvSpPr>
            <xdr:cNvPr id="18" name="Straight Arrow Connector 17">
              <a:extLst>
                <a:ext uri="{FF2B5EF4-FFF2-40B4-BE49-F238E27FC236}">
                  <a16:creationId xmlns:a16="http://schemas.microsoft.com/office/drawing/2014/main" id="{00000000-0008-0000-0500-000012000000}"/>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9" name="Rectangle 18">
              <a:extLst>
                <a:ext uri="{FF2B5EF4-FFF2-40B4-BE49-F238E27FC236}">
                  <a16:creationId xmlns:a16="http://schemas.microsoft.com/office/drawing/2014/main" id="{00000000-0008-0000-0500-000013000000}"/>
                </a:ext>
              </a:extLst>
            </xdr:cNvPr>
            <xdr:cNvSpPr/>
          </xdr:nvSpPr>
          <xdr:spPr>
            <a:xfrm>
              <a:off x="944193" y="406770"/>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Median</a:t>
              </a:r>
            </a:p>
          </xdr:txBody>
        </xdr:sp>
      </xdr:grpSp>
      <xdr:grpSp>
        <xdr:nvGrpSpPr>
          <xdr:cNvPr id="9" name="Group 55">
            <a:extLst>
              <a:ext uri="{FF2B5EF4-FFF2-40B4-BE49-F238E27FC236}">
                <a16:creationId xmlns:a16="http://schemas.microsoft.com/office/drawing/2014/main" id="{00000000-0008-0000-0500-000009000000}"/>
              </a:ext>
            </a:extLst>
          </xdr:cNvPr>
          <xdr:cNvGrpSpPr/>
        </xdr:nvGrpSpPr>
        <xdr:grpSpPr>
          <a:xfrm>
            <a:off x="673028" y="767511"/>
            <a:ext cx="850948" cy="182217"/>
            <a:chOff x="673028" y="767511"/>
            <a:chExt cx="850948" cy="182217"/>
          </a:xfrm>
        </xdr:grpSpPr>
        <xdr:sp macro="" textlink="">
          <xdr:nvSpPr>
            <xdr:cNvPr id="16" name="Straight Arrow Connector 15">
              <a:extLst>
                <a:ext uri="{FF2B5EF4-FFF2-40B4-BE49-F238E27FC236}">
                  <a16:creationId xmlns:a16="http://schemas.microsoft.com/office/drawing/2014/main" id="{00000000-0008-0000-0500-000010000000}"/>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P25</a:t>
              </a:r>
            </a:p>
          </xdr:txBody>
        </xdr:sp>
      </xdr:grpSp>
      <xdr:grpSp>
        <xdr:nvGrpSpPr>
          <xdr:cNvPr id="10" name="Group 56">
            <a:extLst>
              <a:ext uri="{FF2B5EF4-FFF2-40B4-BE49-F238E27FC236}">
                <a16:creationId xmlns:a16="http://schemas.microsoft.com/office/drawing/2014/main" id="{00000000-0008-0000-0500-00000A000000}"/>
              </a:ext>
            </a:extLst>
          </xdr:cNvPr>
          <xdr:cNvGrpSpPr/>
        </xdr:nvGrpSpPr>
        <xdr:grpSpPr>
          <a:xfrm>
            <a:off x="673028" y="1281031"/>
            <a:ext cx="909448" cy="182217"/>
            <a:chOff x="673028" y="1281031"/>
            <a:chExt cx="909448" cy="182217"/>
          </a:xfrm>
        </xdr:grpSpPr>
        <xdr:sp macro="" textlink="">
          <xdr:nvSpPr>
            <xdr:cNvPr id="14" name="Straight Arrow Connector 13">
              <a:extLst>
                <a:ext uri="{FF2B5EF4-FFF2-40B4-BE49-F238E27FC236}">
                  <a16:creationId xmlns:a16="http://schemas.microsoft.com/office/drawing/2014/main" id="{00000000-0008-0000-0500-00000E0000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5" name="Rectangle 14">
              <a:extLst>
                <a:ext uri="{FF2B5EF4-FFF2-40B4-BE49-F238E27FC236}">
                  <a16:creationId xmlns:a16="http://schemas.microsoft.com/office/drawing/2014/main" id="{00000000-0008-0000-0500-00000F000000}"/>
                </a:ext>
              </a:extLst>
            </xdr:cNvPr>
            <xdr:cNvSpPr/>
          </xdr:nvSpPr>
          <xdr:spPr>
            <a:xfrm>
              <a:off x="952476" y="1281031"/>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F36357C5-3ACF-4E42-BB49-2D37B2AD5068}" type="TxLink">
                <a:rPr lang="en-US" sz="1000" b="0" i="0" u="none" strike="noStrike">
                  <a:solidFill>
                    <a:srgbClr val="000000"/>
                  </a:solidFill>
                  <a:latin typeface="Tahoma"/>
                  <a:ea typeface="Tahoma"/>
                  <a:cs typeface="Tahoma"/>
                </a:rPr>
                <a:pPr/>
                <a:t>-</a:t>
              </a:fld>
              <a:endParaRPr lang="en-US" sz="900">
                <a:solidFill>
                  <a:schemeClr val="tx1"/>
                </a:solidFill>
                <a:latin typeface="Tahoma" pitchFamily="34" charset="0"/>
                <a:ea typeface="Tahoma" pitchFamily="34" charset="0"/>
                <a:cs typeface="Tahoma" pitchFamily="34" charset="0"/>
              </a:endParaRPr>
            </a:p>
          </xdr:txBody>
        </xdr:sp>
      </xdr:grpSp>
      <xdr:grpSp>
        <xdr:nvGrpSpPr>
          <xdr:cNvPr id="11" name="Group 57">
            <a:extLst>
              <a:ext uri="{FF2B5EF4-FFF2-40B4-BE49-F238E27FC236}">
                <a16:creationId xmlns:a16="http://schemas.microsoft.com/office/drawing/2014/main" id="{00000000-0008-0000-0500-00000B000000}"/>
              </a:ext>
            </a:extLst>
          </xdr:cNvPr>
          <xdr:cNvGrpSpPr/>
        </xdr:nvGrpSpPr>
        <xdr:grpSpPr>
          <a:xfrm>
            <a:off x="673028" y="1015988"/>
            <a:ext cx="901165" cy="182217"/>
            <a:chOff x="673028" y="1015988"/>
            <a:chExt cx="901165" cy="182217"/>
          </a:xfrm>
        </xdr:grpSpPr>
        <xdr:sp macro="" textlink="">
          <xdr:nvSpPr>
            <xdr:cNvPr id="12" name="Rectangle 11">
              <a:extLst>
                <a:ext uri="{FF2B5EF4-FFF2-40B4-BE49-F238E27FC236}">
                  <a16:creationId xmlns:a16="http://schemas.microsoft.com/office/drawing/2014/main" id="{00000000-0008-0000-0500-00000C000000}"/>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Average</a:t>
              </a:r>
            </a:p>
          </xdr:txBody>
        </xdr:sp>
        <xdr:sp macro="" textlink="">
          <xdr:nvSpPr>
            <xdr:cNvPr id="13" name="Straight Arrow Connector 12">
              <a:extLst>
                <a:ext uri="{FF2B5EF4-FFF2-40B4-BE49-F238E27FC236}">
                  <a16:creationId xmlns:a16="http://schemas.microsoft.com/office/drawing/2014/main" id="{00000000-0008-0000-0500-00000D000000}"/>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8</xdr:col>
      <xdr:colOff>86966</xdr:colOff>
      <xdr:row>3</xdr:row>
      <xdr:rowOff>57978</xdr:rowOff>
    </xdr:from>
    <xdr:to>
      <xdr:col>15</xdr:col>
      <xdr:colOff>247083</xdr:colOff>
      <xdr:row>22</xdr:row>
      <xdr:rowOff>38478</xdr:rowOff>
    </xdr:to>
    <xdr:graphicFrame macro="">
      <xdr:nvGraphicFramePr>
        <xdr:cNvPr id="25" name="Chart 24">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27</xdr:col>
      <xdr:colOff>434008</xdr:colOff>
      <xdr:row>25</xdr:row>
      <xdr:rowOff>201681</xdr:rowOff>
    </xdr:from>
    <xdr:to>
      <xdr:col>30</xdr:col>
      <xdr:colOff>367747</xdr:colOff>
      <xdr:row>35</xdr:row>
      <xdr:rowOff>68432</xdr:rowOff>
    </xdr:to>
    <xdr:grpSp>
      <xdr:nvGrpSpPr>
        <xdr:cNvPr id="3" name="Group 2">
          <a:extLst>
            <a:ext uri="{FF2B5EF4-FFF2-40B4-BE49-F238E27FC236}">
              <a16:creationId xmlns:a16="http://schemas.microsoft.com/office/drawing/2014/main" id="{55FF2B27-F51F-4489-A910-256C4193F4FB}"/>
            </a:ext>
          </a:extLst>
        </xdr:cNvPr>
        <xdr:cNvGrpSpPr/>
      </xdr:nvGrpSpPr>
      <xdr:grpSpPr>
        <a:xfrm>
          <a:off x="24090933" y="922406"/>
          <a:ext cx="1768889" cy="1695551"/>
          <a:chOff x="157370" y="0"/>
          <a:chExt cx="1772479" cy="1581251"/>
        </a:xfrm>
      </xdr:grpSpPr>
      <xdr:sp macro="" textlink="">
        <xdr:nvSpPr>
          <xdr:cNvPr id="4" name="TextBox 3">
            <a:extLst>
              <a:ext uri="{FF2B5EF4-FFF2-40B4-BE49-F238E27FC236}">
                <a16:creationId xmlns:a16="http://schemas.microsoft.com/office/drawing/2014/main" id="{679E66FC-48ED-8F12-73F6-BCA01ACC99E4}"/>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01FDD0-06BB-D96B-C72E-D3CB0E58E02C}"/>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8E239610-92CD-00AA-2A9B-A71711DDD40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255CC77-4B24-5378-7824-3A50C3109FC2}"/>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24CFC981-A342-790D-A4F7-BBAFD70FCF3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CEC33BFB-EA5B-40AB-8CE1-86471D49EC8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899D14CF-6C5E-47FB-039E-E9F5AE32596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FC7252E9-B1A6-6E73-6CE9-A981089394E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C21B6BC8-7325-BDA0-4A68-870201433EA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083AE1C3-920E-8E51-ACE3-8074FF9D94C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4CC29D8C-0439-180D-8F87-A52490EFA8B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4DED61-CFD6-F320-5690-7E8529E21C0E}"/>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AAA245E-858A-5213-92FD-5AD0F8466E6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3386369-7C4D-03CA-4A94-5A29E06D5C1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522A1B10-1D33-B5D6-DD77-760075B3E68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9BF8A09-1CAD-687E-52B7-56D0286DFE2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2842B770-9ADE-5656-C02E-D49F471D35BD}"/>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41">
          <xdr:nvSpPr>
            <xdr:cNvPr id="16" name="Rectangle 15">
              <a:extLst>
                <a:ext uri="{FF2B5EF4-FFF2-40B4-BE49-F238E27FC236}">
                  <a16:creationId xmlns:a16="http://schemas.microsoft.com/office/drawing/2014/main" id="{F37FFEAD-7419-BB98-CAB9-971628F3551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0AC33EE7-733D-319F-9C38-0E3B9176CFEE}"/>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AF69C7A7-58AE-1968-3CB3-EB93836015B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A471358-B934-C75F-BA90-D5390436051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14</xdr:col>
      <xdr:colOff>447675</xdr:colOff>
      <xdr:row>33</xdr:row>
      <xdr:rowOff>104775</xdr:rowOff>
    </xdr:from>
    <xdr:to>
      <xdr:col>28</xdr:col>
      <xdr:colOff>91783</xdr:colOff>
      <xdr:row>60</xdr:row>
      <xdr:rowOff>131792</xdr:rowOff>
    </xdr:to>
    <xdr:graphicFrame macro="">
      <xdr:nvGraphicFramePr>
        <xdr:cNvPr id="29" name="Chart 28" descr="&#10;LinkingStart|ff7d24fb-8475-46c5-b6f3-f3af5abf8127|LinkingEnd">
          <a:extLst>
            <a:ext uri="{FF2B5EF4-FFF2-40B4-BE49-F238E27FC236}">
              <a16:creationId xmlns:a16="http://schemas.microsoft.com/office/drawing/2014/main" id="{959AA0CC-D6B9-47BD-80C3-EF9A217C9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51</xdr:col>
      <xdr:colOff>562210</xdr:colOff>
      <xdr:row>6</xdr:row>
      <xdr:rowOff>412198</xdr:rowOff>
    </xdr:from>
    <xdr:to>
      <xdr:col>57</xdr:col>
      <xdr:colOff>447417</xdr:colOff>
      <xdr:row>19</xdr:row>
      <xdr:rowOff>104223</xdr:rowOff>
    </xdr:to>
    <xdr:graphicFrame macro="">
      <xdr:nvGraphicFramePr>
        <xdr:cNvPr id="2" name="Chart 1" descr="&#10;LinkingStart|9c00ba4c-e9af-4781-971b-4b2fcf5fb8bf|LinkingEnd">
          <a:extLst>
            <a:ext uri="{FF2B5EF4-FFF2-40B4-BE49-F238E27FC236}">
              <a16:creationId xmlns:a16="http://schemas.microsoft.com/office/drawing/2014/main" id="{4CDEA514-9C67-7F54-5A9D-34218E8D3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32125</xdr:colOff>
      <xdr:row>6</xdr:row>
      <xdr:rowOff>406587</xdr:rowOff>
    </xdr:from>
    <xdr:to>
      <xdr:col>63</xdr:col>
      <xdr:colOff>581467</xdr:colOff>
      <xdr:row>19</xdr:row>
      <xdr:rowOff>95437</xdr:rowOff>
    </xdr:to>
    <xdr:graphicFrame macro="">
      <xdr:nvGraphicFramePr>
        <xdr:cNvPr id="3" name="Chart 2" descr="&#10;LinkingStart|fb3bfb34-400b-4c15-b8fc-ca3b7eac1694|LinkingEnd">
          <a:extLst>
            <a:ext uri="{FF2B5EF4-FFF2-40B4-BE49-F238E27FC236}">
              <a16:creationId xmlns:a16="http://schemas.microsoft.com/office/drawing/2014/main" id="{8D2FC5DF-6784-40E8-81A7-421CC5B73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f7d24fb-8475-46c5-b6f3-f3af5abf8127|LinkingEnd">
          <a:extLst>
            <a:ext uri="{FF2B5EF4-FFF2-40B4-BE49-F238E27FC236}">
              <a16:creationId xmlns:a16="http://schemas.microsoft.com/office/drawing/2014/main" id="{5954FF1B-F79A-4F49-8ED8-D4A52CC2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434008</xdr:colOff>
      <xdr:row>11</xdr:row>
      <xdr:rowOff>201681</xdr:rowOff>
    </xdr:from>
    <xdr:to>
      <xdr:col>21</xdr:col>
      <xdr:colOff>367747</xdr:colOff>
      <xdr:row>19</xdr:row>
      <xdr:rowOff>68432</xdr:rowOff>
    </xdr:to>
    <xdr:grpSp>
      <xdr:nvGrpSpPr>
        <xdr:cNvPr id="3" name="Group 2">
          <a:extLst>
            <a:ext uri="{FF2B5EF4-FFF2-40B4-BE49-F238E27FC236}">
              <a16:creationId xmlns:a16="http://schemas.microsoft.com/office/drawing/2014/main" id="{768C9A36-FE7F-46C0-8EDF-473EC2044647}"/>
            </a:ext>
          </a:extLst>
        </xdr:cNvPr>
        <xdr:cNvGrpSpPr/>
      </xdr:nvGrpSpPr>
      <xdr:grpSpPr>
        <a:xfrm>
          <a:off x="14232558" y="2198756"/>
          <a:ext cx="1768889" cy="1514576"/>
          <a:chOff x="157370" y="0"/>
          <a:chExt cx="1772479" cy="1581251"/>
        </a:xfrm>
      </xdr:grpSpPr>
      <xdr:sp macro="" textlink="">
        <xdr:nvSpPr>
          <xdr:cNvPr id="4" name="TextBox 3">
            <a:extLst>
              <a:ext uri="{FF2B5EF4-FFF2-40B4-BE49-F238E27FC236}">
                <a16:creationId xmlns:a16="http://schemas.microsoft.com/office/drawing/2014/main" id="{2973BC41-1E57-A0D5-0258-8E9FFADC09F8}"/>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44E09FD-C015-172F-615D-A4052E20C7F1}"/>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0985839-644C-C6D8-9EB8-391B3FB40B96}"/>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E0C09C3-EFC7-18DF-E4E2-7433226C848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06BA7C4B-18F1-2AB2-21B2-021BD84A84F5}"/>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5CFFFA4-9D1D-21E1-17DD-C54803E07473}"/>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98554714-B2E0-703D-DEB2-3318FE684414}"/>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630561F4-ACB1-BFA4-39EC-56717D7139A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F62DEA8A-575B-74A9-4487-8A102509C81A}"/>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4F65A4E7-EBEB-F753-90CA-0632FBA598F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877D8336-5646-656B-8068-62308000968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CF02F6-36EF-59B4-BB1B-E544B464D7D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71290E95-B7BD-D4AC-C220-EB8731931A21}"/>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E82B5DA7-E0C8-102F-84CF-C9225A292EC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B338FBF3-D39F-4AA9-C616-DB2E973A7FAE}"/>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10CE062D-2501-F0AC-E07B-9BD22C6A89B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4711F7EB-4D07-0205-7D36-B042F6D3C3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AB0DBC3-93E9-79FA-7523-5FEADEEAAA79}"/>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5172E844-8805-3D5A-E1B9-FDAF04141D5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E752CC9D-FF8F-5F59-CED4-E094A32B97E7}"/>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31B53CC-5541-921A-5E9A-7EEB7903A8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bc43bb6-78d2-4183-8858-9929eaf4375b|LinkingEnd">
          <a:extLst>
            <a:ext uri="{FF2B5EF4-FFF2-40B4-BE49-F238E27FC236}">
              <a16:creationId xmlns:a16="http://schemas.microsoft.com/office/drawing/2014/main" id="{C5615693-6094-4239-A6CF-F58612ABA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4A65D63E-7D5F-48DD-A9F7-EEC62ABF0442}"/>
            </a:ext>
          </a:extLst>
        </xdr:cNvPr>
        <xdr:cNvGrpSpPr/>
      </xdr:nvGrpSpPr>
      <xdr:grpSpPr>
        <a:xfrm>
          <a:off x="13518183" y="2497206"/>
          <a:ext cx="1768889" cy="1505051"/>
          <a:chOff x="157370" y="0"/>
          <a:chExt cx="1772479" cy="1581251"/>
        </a:xfrm>
      </xdr:grpSpPr>
      <xdr:sp macro="" textlink="">
        <xdr:nvSpPr>
          <xdr:cNvPr id="4" name="TextBox 3">
            <a:extLst>
              <a:ext uri="{FF2B5EF4-FFF2-40B4-BE49-F238E27FC236}">
                <a16:creationId xmlns:a16="http://schemas.microsoft.com/office/drawing/2014/main" id="{227C3E5E-03BF-FB75-02C6-3184373C071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95DB05C-9DE7-3EBC-6AFA-05AF6C85D32A}"/>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6C7F1AAC-43DD-F784-BA27-A7795351BF1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9196BDE0-2C99-CCF7-F8A1-A6DE49369DE9}"/>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C171D35-D03D-FC5F-9380-F469DCC76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0776E0A3-11FA-46CE-9D99-C199D1F7D500}"/>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5A692BDD-9D4F-873A-FE00-1C1454B14175}"/>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A77B4F30-E42A-3E61-2D10-11C0B50088E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A79D123-0072-F6E6-340B-AD562C6E63F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B1F8FA7-0695-D71B-87B5-57391ED8395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9027E78-B2D0-3C1B-1F6D-8554B5475ED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D92D9D00-48F5-A0F6-B0DE-F63A90B6E1B2}"/>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3646602F-5E5B-409F-1C8E-762DDA855CA9}"/>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2725E1F2-CBEE-F016-4C94-AB9964E9921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820339D7-D150-5257-E7A1-CD0CAE3FC775}"/>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6D2F18AF-943E-2BB0-66AF-B99E47E069B7}"/>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BA67839-14E9-E641-1FD6-6F5926D91303}"/>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5B8ED80C-4011-6F38-3A9A-191BB728773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D19D90A8-BF46-1C05-0EFF-518FCB3B9BE6}"/>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19A1575-4E55-92AE-B376-CA20FFB035E4}"/>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230C8EAC-FD4F-0D93-06CD-F10A319FDA2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01174165-a015-4eae-8a6e-a82a4008019c|LinkingEnd">
          <a:extLst>
            <a:ext uri="{FF2B5EF4-FFF2-40B4-BE49-F238E27FC236}">
              <a16:creationId xmlns:a16="http://schemas.microsoft.com/office/drawing/2014/main" id="{C4F8622B-A31C-4EB5-8829-1D217E26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ADD7BE05-9069-41D9-AB9E-664A4DE5324F}"/>
            </a:ext>
          </a:extLst>
        </xdr:cNvPr>
        <xdr:cNvGrpSpPr/>
      </xdr:nvGrpSpPr>
      <xdr:grpSpPr>
        <a:xfrm>
          <a:off x="13470558" y="2497206"/>
          <a:ext cx="1768889" cy="1505051"/>
          <a:chOff x="157370" y="0"/>
          <a:chExt cx="1772479" cy="1581251"/>
        </a:xfrm>
      </xdr:grpSpPr>
      <xdr:sp macro="" textlink="">
        <xdr:nvSpPr>
          <xdr:cNvPr id="4" name="TextBox 3">
            <a:extLst>
              <a:ext uri="{FF2B5EF4-FFF2-40B4-BE49-F238E27FC236}">
                <a16:creationId xmlns:a16="http://schemas.microsoft.com/office/drawing/2014/main" id="{81939574-E498-D55A-3B9D-10FC4D59F260}"/>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541CD68-A68C-5BD8-8EAB-583EBCCC9BD2}"/>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99073C57-0345-916F-501A-9208FE847A1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31C9172-F84C-8053-99C6-C251049056C5}"/>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46F46B5-B76C-B605-F833-CF3ABB17400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6501E14B-B473-7131-9ADC-D1B1493F81E8}"/>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1FECAB4-2F1F-C825-4203-28AA9C3E3CC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CC1F175-3AE5-FE78-A675-D269A45D0CFC}"/>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C82CD24-2288-935B-4616-CEA497F17EF5}"/>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8F0034E0-D464-9958-0AC5-95D56144E4E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ABB3E2D-EA24-9B77-62FA-272AFE0F7956}"/>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75AA393-2CA5-602A-FA47-4428391F3FBF}"/>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1B09BEE-4940-3875-A039-EEBB2534B4B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11220EA-EB69-8F35-5406-175512412B8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E915FD9D-6690-D8E3-CAAE-A2738F00963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F21C2BA4-DF41-F144-9842-DDEC465037A5}"/>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60ADEDBD-63F1-5084-DFFE-9162B3B4DC8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33C7359-D8AE-911F-6D82-8369FCACE2C7}"/>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2BCB6C00-E81E-7983-18BF-F442D3D7225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2417C535-C1CF-0DEE-9A1A-3A7F69BDE56C}"/>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837B665-5672-E2A6-D377-E23F3CA1C63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14</xdr:col>
      <xdr:colOff>86966</xdr:colOff>
      <xdr:row>11</xdr:row>
      <xdr:rowOff>29403</xdr:rowOff>
    </xdr:from>
    <xdr:to>
      <xdr:col>23</xdr:col>
      <xdr:colOff>580166</xdr:colOff>
      <xdr:row>32</xdr:row>
      <xdr:rowOff>129603</xdr:rowOff>
    </xdr:to>
    <xdr:graphicFrame macro="">
      <xdr:nvGraphicFramePr>
        <xdr:cNvPr id="2" name="Chart 1" descr="&#10;LinkingStart|3d975143-5238-401c-9e7e-fac728e20595|LinkingEnd">
          <a:extLst>
            <a:ext uri="{FF2B5EF4-FFF2-40B4-BE49-F238E27FC236}">
              <a16:creationId xmlns:a16="http://schemas.microsoft.com/office/drawing/2014/main" id="{667AC1E1-6C72-4A87-BE56-6819998CC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281608</xdr:colOff>
      <xdr:row>12</xdr:row>
      <xdr:rowOff>115956</xdr:rowOff>
    </xdr:from>
    <xdr:to>
      <xdr:col>26</xdr:col>
      <xdr:colOff>215347</xdr:colOff>
      <xdr:row>20</xdr:row>
      <xdr:rowOff>173207</xdr:rowOff>
    </xdr:to>
    <xdr:grpSp>
      <xdr:nvGrpSpPr>
        <xdr:cNvPr id="3" name="Group 2">
          <a:extLst>
            <a:ext uri="{FF2B5EF4-FFF2-40B4-BE49-F238E27FC236}">
              <a16:creationId xmlns:a16="http://schemas.microsoft.com/office/drawing/2014/main" id="{9FA48015-6657-4965-874F-BC5B8A631508}"/>
            </a:ext>
          </a:extLst>
        </xdr:cNvPr>
        <xdr:cNvGrpSpPr/>
      </xdr:nvGrpSpPr>
      <xdr:grpSpPr>
        <a:xfrm>
          <a:off x="18614058" y="2497206"/>
          <a:ext cx="1768889" cy="1505051"/>
          <a:chOff x="157370" y="0"/>
          <a:chExt cx="1772479" cy="1581251"/>
        </a:xfrm>
      </xdr:grpSpPr>
      <xdr:sp macro="" textlink="">
        <xdr:nvSpPr>
          <xdr:cNvPr id="4" name="TextBox 3">
            <a:extLst>
              <a:ext uri="{FF2B5EF4-FFF2-40B4-BE49-F238E27FC236}">
                <a16:creationId xmlns:a16="http://schemas.microsoft.com/office/drawing/2014/main" id="{8129520F-0707-D267-AD0F-2630902100A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FD857A7-276F-2A9C-2FEC-5B9AA14CF760}"/>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35CE7F53-1532-056A-638C-BC11CF55FD81}"/>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8804E6E-7C19-7004-9CD3-0DAD0BE2F3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D6847C1-9D70-1DE7-6E25-1DE22D947F73}"/>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1D6D2E05-1184-8CB6-34BD-E108FF81AE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0D59E93-DF2C-44E5-715D-A666D2454B9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C628A365-F362-0BAF-179E-C9F6E9A0997F}"/>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8095022-72E1-690A-8738-CFAECBD4845C}"/>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004190-1A1D-E635-EC9D-E6C1868A512A}"/>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D283045C-4892-6D2D-3731-45E96888FF6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6FFB3015-0B0E-831E-D1DC-F7420485E438}"/>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CE35057-808B-79A3-C4E1-6F07BF4B319F}"/>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74D066D-CED4-3C5B-7BDA-0D81280546EE}"/>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AA1B6D77-C5F2-2DCB-020D-AB8B42019FE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D5880C9C-0E6A-AC51-F7FA-AB71976961ED}"/>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46C7875-5E5C-36FF-0F9B-02202F2D9E2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2071F3C9-0F6B-AFBB-3C93-58D4C45C3B2C}"/>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8114207F-296B-12E5-D8E2-8BA9327B2902}"/>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A4F00AB-0ACC-5F2B-176F-1FAD5950CEA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D073BA4-9B80-3253-00D6-2DE2290E26D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F57EACCD-A8F7-479A-B8E5-BC012057F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278433</xdr:colOff>
      <xdr:row>12</xdr:row>
      <xdr:rowOff>115956</xdr:rowOff>
    </xdr:from>
    <xdr:to>
      <xdr:col>20</xdr:col>
      <xdr:colOff>218522</xdr:colOff>
      <xdr:row>20</xdr:row>
      <xdr:rowOff>173207</xdr:rowOff>
    </xdr:to>
    <xdr:grpSp>
      <xdr:nvGrpSpPr>
        <xdr:cNvPr id="3" name="Group 2">
          <a:extLst>
            <a:ext uri="{FF2B5EF4-FFF2-40B4-BE49-F238E27FC236}">
              <a16:creationId xmlns:a16="http://schemas.microsoft.com/office/drawing/2014/main" id="{67A7861F-8E3B-41E1-A955-C7DECD14DE1A}"/>
            </a:ext>
          </a:extLst>
        </xdr:cNvPr>
        <xdr:cNvGrpSpPr/>
      </xdr:nvGrpSpPr>
      <xdr:grpSpPr>
        <a:xfrm>
          <a:off x="13324508" y="2497206"/>
          <a:ext cx="1775239" cy="1505051"/>
          <a:chOff x="157370" y="0"/>
          <a:chExt cx="1772479" cy="1581251"/>
        </a:xfrm>
      </xdr:grpSpPr>
      <xdr:sp macro="" textlink="">
        <xdr:nvSpPr>
          <xdr:cNvPr id="4" name="TextBox 3">
            <a:extLst>
              <a:ext uri="{FF2B5EF4-FFF2-40B4-BE49-F238E27FC236}">
                <a16:creationId xmlns:a16="http://schemas.microsoft.com/office/drawing/2014/main" id="{5D28F723-7CB4-E2A6-324B-AF835CE6ECFE}"/>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A07D1B7A-E972-AD7A-0C58-B68AC594C3C3}"/>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A7779AA-419A-EBBD-BB72-13A6AFAF8D8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D7BFC0EA-2CEE-68AA-05D3-318453E49D7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AE39C53-FA97-4412-8C25-5673D580BB62}"/>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A1C22DC-8FC1-4C31-8297-07DD027074F7}"/>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CF15CCF9-9007-943A-F142-BC3597CF66DA}"/>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1CE3EA58-6242-1009-2E00-F3A420590321}"/>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0D96AF1-6418-A303-397B-8CDC58520666}"/>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181978C-863A-FD96-D2BF-302FE5A42AD2}"/>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12ED25C-60CE-3BD5-77D7-B86AA139F1E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07D767F-DEB2-9B80-3515-AC4729E15715}"/>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9BA52AF-1CFC-CDF4-7854-807D445F7D8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A75A5D8-0835-FB14-65E4-7726F3DB87EB}"/>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9FBFBB2F-8258-64B0-DF82-44425E23E16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07971A7-9CE6-D2AA-27D9-6D0DB38AF53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0B4DBE5-3AB9-30CE-CA78-CFC252D5195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FC6B78BB-DDF0-2CDA-3CBA-0F9FA1B4C9E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465F74E6-F551-D7DD-5B96-442374122F50}"/>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6FFF68A-E4F7-07F6-26AB-9BDF791D9E4A}"/>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AAB64AA-6337-430F-B837-F3068FCC5AF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DB0ED225-CF1F-420E-9354-B8DB32732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90150125-EFF4-40CC-BEBE-F4547E041F28}"/>
            </a:ext>
          </a:extLst>
        </xdr:cNvPr>
        <xdr:cNvGrpSpPr/>
      </xdr:nvGrpSpPr>
      <xdr:grpSpPr>
        <a:xfrm>
          <a:off x="13327683" y="2497206"/>
          <a:ext cx="1768889" cy="1505051"/>
          <a:chOff x="157370" y="0"/>
          <a:chExt cx="1772479" cy="1581251"/>
        </a:xfrm>
      </xdr:grpSpPr>
      <xdr:sp macro="" textlink="">
        <xdr:nvSpPr>
          <xdr:cNvPr id="4" name="TextBox 3">
            <a:extLst>
              <a:ext uri="{FF2B5EF4-FFF2-40B4-BE49-F238E27FC236}">
                <a16:creationId xmlns:a16="http://schemas.microsoft.com/office/drawing/2014/main" id="{A04A754B-071A-3C55-5306-3131E3869AFF}"/>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DE1436C-0143-416E-0C30-9EB12A4AA828}"/>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7BDB862A-D5AB-C9ED-CF4F-5C12359F7AB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0E5318C-8788-A657-8DA3-15921DBBD4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762D267-9AD2-D01A-A261-A88F0BC1FF9C}"/>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F8C87A91-9F53-BCE6-FADC-373723991FCD}"/>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A8733E0-3A84-6856-41FD-A268ADDBB3F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DAD6850A-7A54-5DF0-8F34-2B9C8EA0E286}"/>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E1D7E4C-2F0C-4BE5-9EE8-31FDDC6E609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94E814B-A1B0-F5A1-80AA-0448DAD57B33}"/>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E4F60174-CC45-89FF-DBE3-1F374E71D9DC}"/>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ACF065C-8BE0-47B7-B662-D93D5730E656}"/>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93A4268-35F7-B173-F756-DA1ABC84E40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04E23A6-ED7E-075C-8289-1DCE74646368}"/>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3DCF40CE-B0DA-3C23-D80D-014527360B71}"/>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A50E310F-2B40-7DD3-1717-27936328BB44}"/>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907232A-0DD9-5654-9350-379426954FA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6D089466-8D15-EBC1-DA69-6AE2C5860BCB}"/>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12A2786D-7B66-875B-333D-2E38019C3B11}"/>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46E968F-1926-E6ED-51E3-6540A3771FA9}"/>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87B5AFA-77D5-6772-3CF1-04D4B1D801C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0E7D4E63-0B5F-4604-9E23-AE97A5438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6CFDE0F4-BB57-489F-BCC5-8FEEE8E5761A}"/>
            </a:ext>
          </a:extLst>
        </xdr:cNvPr>
        <xdr:cNvGrpSpPr/>
      </xdr:nvGrpSpPr>
      <xdr:grpSpPr>
        <a:xfrm>
          <a:off x="13327683" y="2497206"/>
          <a:ext cx="1768889" cy="1505051"/>
          <a:chOff x="157370" y="0"/>
          <a:chExt cx="1772479" cy="1581251"/>
        </a:xfrm>
      </xdr:grpSpPr>
      <xdr:sp macro="" textlink="">
        <xdr:nvSpPr>
          <xdr:cNvPr id="4" name="TextBox 3">
            <a:extLst>
              <a:ext uri="{FF2B5EF4-FFF2-40B4-BE49-F238E27FC236}">
                <a16:creationId xmlns:a16="http://schemas.microsoft.com/office/drawing/2014/main" id="{B7327C69-544B-7F0A-031A-C32B64D7AAFA}"/>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34D9FB-4BA8-EE7D-0F23-BC1205671BA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695C1A9-25FF-A502-F696-DADFCFC2ADB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8B80BD38-F3A4-5945-83DE-FEC9037DEFCA}"/>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18916217-D375-360E-71C3-24B7FEE09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9E6D1CF-F8D6-BDD7-5B36-1B0B48F384B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D07A580-A1F1-1523-9744-8B4F6E883037}"/>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E730FBC0-3435-1E58-0160-8EB1FB9AAF72}"/>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F6B6617-87AF-4EAB-8C5B-518E9975FA1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502F46-58EE-DE87-336B-1A17ACDE09D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92A62F-A4A6-3959-E0DD-9199A2F170A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78554504-A030-BACD-EB08-5B90E4AC071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9F7BAE5-F2A5-2185-8C72-83698172EB3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72B56EB5-6D6C-6E00-1954-1E7DE406A849}"/>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23433C5B-A9A1-8D54-0DBD-1B488AA0BE1B}"/>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049241D1-8DB6-B39D-80A4-832634961ACB}"/>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645DAA0-CAB9-0A73-F6AD-DAF624C8CA22}"/>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7C3E25C-C543-D5B5-7EAF-C7738485B9A8}"/>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9B374DA6-BD31-E915-CA6C-9475603F3C0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FAAA541D-A656-8E01-E0D4-3DCF93B966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E3F8657-0EED-40D8-A6DB-80A8C805D57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228598</xdr:colOff>
      <xdr:row>3</xdr:row>
      <xdr:rowOff>85724</xdr:rowOff>
    </xdr:from>
    <xdr:to>
      <xdr:col>15</xdr:col>
      <xdr:colOff>130198</xdr:colOff>
      <xdr:row>13</xdr:row>
      <xdr:rowOff>27224</xdr:rowOff>
    </xdr:to>
    <xdr:graphicFrame macro="">
      <xdr:nvGraphicFramePr>
        <xdr:cNvPr id="3" name="Chart 2" descr="&#10;LinkingStart|04da464f-8d09-4d00-b1d4-fcac983dc258|LinkingEnd">
          <a:extLst>
            <a:ext uri="{FF2B5EF4-FFF2-40B4-BE49-F238E27FC236}">
              <a16:creationId xmlns:a16="http://schemas.microsoft.com/office/drawing/2014/main" id="{887205AA-04CE-9437-8A41-6AB6E8294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419100</xdr:colOff>
      <xdr:row>3</xdr:row>
      <xdr:rowOff>85725</xdr:rowOff>
    </xdr:from>
    <xdr:to>
      <xdr:col>18</xdr:col>
      <xdr:colOff>320700</xdr:colOff>
      <xdr:row>13</xdr:row>
      <xdr:rowOff>27225</xdr:rowOff>
    </xdr:to>
    <xdr:graphicFrame macro="">
      <xdr:nvGraphicFramePr>
        <xdr:cNvPr id="5" name="Chart 4" descr="&#10;LinkingStart|058d2f7d-d0e4-4f3e-b9ac-42eec815fe8f|LinkingEnd">
          <a:extLst>
            <a:ext uri="{FF2B5EF4-FFF2-40B4-BE49-F238E27FC236}">
              <a16:creationId xmlns:a16="http://schemas.microsoft.com/office/drawing/2014/main" id="{43FD98A2-038D-463E-A0F3-D36E84AE9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12</xdr:row>
      <xdr:rowOff>38100</xdr:rowOff>
    </xdr:from>
    <xdr:to>
      <xdr:col>15</xdr:col>
      <xdr:colOff>158775</xdr:colOff>
      <xdr:row>20</xdr:row>
      <xdr:rowOff>170100</xdr:rowOff>
    </xdr:to>
    <xdr:graphicFrame macro="">
      <xdr:nvGraphicFramePr>
        <xdr:cNvPr id="6" name="Chart 5" descr="&#10;LinkingStart|41c97559-abd0-4ad8-aead-c26c972a38ad|LinkingEnd">
          <a:extLst>
            <a:ext uri="{FF2B5EF4-FFF2-40B4-BE49-F238E27FC236}">
              <a16:creationId xmlns:a16="http://schemas.microsoft.com/office/drawing/2014/main" id="{FB944B57-3952-42DE-B79B-ADDCA980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12</xdr:row>
      <xdr:rowOff>76200</xdr:rowOff>
    </xdr:from>
    <xdr:to>
      <xdr:col>18</xdr:col>
      <xdr:colOff>358800</xdr:colOff>
      <xdr:row>21</xdr:row>
      <xdr:rowOff>17700</xdr:rowOff>
    </xdr:to>
    <xdr:graphicFrame macro="">
      <xdr:nvGraphicFramePr>
        <xdr:cNvPr id="7" name="Chart 6" descr="&#10;LinkingStart|aa2c3e9c-bda1-4c6c-a890-aead911b4aa3|LinkingEnd">
          <a:extLst>
            <a:ext uri="{FF2B5EF4-FFF2-40B4-BE49-F238E27FC236}">
              <a16:creationId xmlns:a16="http://schemas.microsoft.com/office/drawing/2014/main" id="{51F3A506-3446-4F16-819F-4C9A0E15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20</xdr:row>
      <xdr:rowOff>114300</xdr:rowOff>
    </xdr:from>
    <xdr:to>
      <xdr:col>15</xdr:col>
      <xdr:colOff>206400</xdr:colOff>
      <xdr:row>29</xdr:row>
      <xdr:rowOff>55800</xdr:rowOff>
    </xdr:to>
    <xdr:graphicFrame macro="">
      <xdr:nvGraphicFramePr>
        <xdr:cNvPr id="8" name="Chart 7" descr="&#10;LinkingStart|3314d275-e126-4a27-9ad1-c2197d35023e|LinkingEnd">
          <a:extLst>
            <a:ext uri="{FF2B5EF4-FFF2-40B4-BE49-F238E27FC236}">
              <a16:creationId xmlns:a16="http://schemas.microsoft.com/office/drawing/2014/main" id="{58D58A9C-D0F1-4C7B-9B98-21DBE082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495300</xdr:colOff>
      <xdr:row>20</xdr:row>
      <xdr:rowOff>142875</xdr:rowOff>
    </xdr:from>
    <xdr:to>
      <xdr:col>18</xdr:col>
      <xdr:colOff>396900</xdr:colOff>
      <xdr:row>29</xdr:row>
      <xdr:rowOff>84375</xdr:rowOff>
    </xdr:to>
    <xdr:graphicFrame macro="">
      <xdr:nvGraphicFramePr>
        <xdr:cNvPr id="9" name="Chart 8" descr="&#10;LinkingStart|f59b4b3e-cb25-49ee-8ae0-cebd16ad2df7|LinkingEnd">
          <a:extLst>
            <a:ext uri="{FF2B5EF4-FFF2-40B4-BE49-F238E27FC236}">
              <a16:creationId xmlns:a16="http://schemas.microsoft.com/office/drawing/2014/main" id="{999EDE4E-D160-497D-A02C-C7D780CA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276225</xdr:colOff>
      <xdr:row>30</xdr:row>
      <xdr:rowOff>57150</xdr:rowOff>
    </xdr:from>
    <xdr:to>
      <xdr:col>15</xdr:col>
      <xdr:colOff>177825</xdr:colOff>
      <xdr:row>38</xdr:row>
      <xdr:rowOff>189150</xdr:rowOff>
    </xdr:to>
    <xdr:graphicFrame macro="">
      <xdr:nvGraphicFramePr>
        <xdr:cNvPr id="10" name="Chart 9" descr="&#10;LinkingStart|89bf5a4d-f0db-454e-845a-245f6efdc06a|LinkingEnd">
          <a:extLst>
            <a:ext uri="{FF2B5EF4-FFF2-40B4-BE49-F238E27FC236}">
              <a16:creationId xmlns:a16="http://schemas.microsoft.com/office/drawing/2014/main" id="{F03C7525-6D1C-4F3A-8F0F-1E385496E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561975</xdr:colOff>
      <xdr:row>30</xdr:row>
      <xdr:rowOff>152400</xdr:rowOff>
    </xdr:from>
    <xdr:to>
      <xdr:col>18</xdr:col>
      <xdr:colOff>463575</xdr:colOff>
      <xdr:row>39</xdr:row>
      <xdr:rowOff>93900</xdr:rowOff>
    </xdr:to>
    <xdr:graphicFrame macro="">
      <xdr:nvGraphicFramePr>
        <xdr:cNvPr id="11" name="Chart 10" descr="&#10;LinkingStart|baffc417-a019-4e4f-a2cf-39aa4d022bc4|LinkingEnd">
          <a:extLst>
            <a:ext uri="{FF2B5EF4-FFF2-40B4-BE49-F238E27FC236}">
              <a16:creationId xmlns:a16="http://schemas.microsoft.com/office/drawing/2014/main" id="{A9BF53F1-BB54-4C08-BFDA-352EB3A1B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247650</xdr:colOff>
      <xdr:row>39</xdr:row>
      <xdr:rowOff>9525</xdr:rowOff>
    </xdr:from>
    <xdr:to>
      <xdr:col>15</xdr:col>
      <xdr:colOff>149250</xdr:colOff>
      <xdr:row>47</xdr:row>
      <xdr:rowOff>141525</xdr:rowOff>
    </xdr:to>
    <xdr:graphicFrame macro="">
      <xdr:nvGraphicFramePr>
        <xdr:cNvPr id="12" name="Chart 11" descr="&#10;LinkingStart|e6c0dc7c-071d-4d4d-a82e-495df5589165|LinkingEnd">
          <a:extLst>
            <a:ext uri="{FF2B5EF4-FFF2-40B4-BE49-F238E27FC236}">
              <a16:creationId xmlns:a16="http://schemas.microsoft.com/office/drawing/2014/main" id="{A1945F90-42B0-4022-BF48-43F1A9C81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552450</xdr:colOff>
      <xdr:row>38</xdr:row>
      <xdr:rowOff>180975</xdr:rowOff>
    </xdr:from>
    <xdr:to>
      <xdr:col>18</xdr:col>
      <xdr:colOff>454050</xdr:colOff>
      <xdr:row>47</xdr:row>
      <xdr:rowOff>122475</xdr:rowOff>
    </xdr:to>
    <xdr:graphicFrame macro="">
      <xdr:nvGraphicFramePr>
        <xdr:cNvPr id="13" name="Chart 12" descr="&#10;LinkingStart|a3f1fd6f-56a7-44d8-8322-a7e0275d97ba|LinkingEnd">
          <a:extLst>
            <a:ext uri="{FF2B5EF4-FFF2-40B4-BE49-F238E27FC236}">
              <a16:creationId xmlns:a16="http://schemas.microsoft.com/office/drawing/2014/main" id="{B803AF74-56E0-4D59-8868-7F0DC9F7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190500</xdr:colOff>
      <xdr:row>47</xdr:row>
      <xdr:rowOff>152400</xdr:rowOff>
    </xdr:from>
    <xdr:to>
      <xdr:col>15</xdr:col>
      <xdr:colOff>92100</xdr:colOff>
      <xdr:row>56</xdr:row>
      <xdr:rowOff>93900</xdr:rowOff>
    </xdr:to>
    <xdr:graphicFrame macro="">
      <xdr:nvGraphicFramePr>
        <xdr:cNvPr id="14" name="Chart 13">
          <a:extLst>
            <a:ext uri="{FF2B5EF4-FFF2-40B4-BE49-F238E27FC236}">
              <a16:creationId xmlns:a16="http://schemas.microsoft.com/office/drawing/2014/main" id="{6FABE3B9-E003-468A-BAB3-448AB2FB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590550</xdr:colOff>
      <xdr:row>47</xdr:row>
      <xdr:rowOff>95250</xdr:rowOff>
    </xdr:from>
    <xdr:to>
      <xdr:col>18</xdr:col>
      <xdr:colOff>492150</xdr:colOff>
      <xdr:row>56</xdr:row>
      <xdr:rowOff>36750</xdr:rowOff>
    </xdr:to>
    <xdr:graphicFrame macro="">
      <xdr:nvGraphicFramePr>
        <xdr:cNvPr id="15" name="Chart 14">
          <a:extLst>
            <a:ext uri="{FF2B5EF4-FFF2-40B4-BE49-F238E27FC236}">
              <a16:creationId xmlns:a16="http://schemas.microsoft.com/office/drawing/2014/main" id="{C02CF809-88E9-48F3-BFD4-7FFBD8C7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114300</xdr:colOff>
      <xdr:row>56</xdr:row>
      <xdr:rowOff>180975</xdr:rowOff>
    </xdr:from>
    <xdr:to>
      <xdr:col>15</xdr:col>
      <xdr:colOff>15900</xdr:colOff>
      <xdr:row>65</xdr:row>
      <xdr:rowOff>122475</xdr:rowOff>
    </xdr:to>
    <xdr:graphicFrame macro="">
      <xdr:nvGraphicFramePr>
        <xdr:cNvPr id="16" name="Chart 15" descr="&#10;LinkingStart|d4ac7ca8-b283-4778-89fe-d766a47965a3|LinkingEnd">
          <a:extLst>
            <a:ext uri="{FF2B5EF4-FFF2-40B4-BE49-F238E27FC236}">
              <a16:creationId xmlns:a16="http://schemas.microsoft.com/office/drawing/2014/main" id="{64E1A912-6349-4B93-8EFA-7D64AC1A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504825</xdr:colOff>
      <xdr:row>56</xdr:row>
      <xdr:rowOff>76200</xdr:rowOff>
    </xdr:from>
    <xdr:to>
      <xdr:col>18</xdr:col>
      <xdr:colOff>406425</xdr:colOff>
      <xdr:row>65</xdr:row>
      <xdr:rowOff>17700</xdr:rowOff>
    </xdr:to>
    <xdr:graphicFrame macro="">
      <xdr:nvGraphicFramePr>
        <xdr:cNvPr id="17" name="Chart 16" descr="&#10;LinkingStart|fa979a69-02c7-44c0-b33c-62278b3da9da|LinkingEnd">
          <a:extLst>
            <a:ext uri="{FF2B5EF4-FFF2-40B4-BE49-F238E27FC236}">
              <a16:creationId xmlns:a16="http://schemas.microsoft.com/office/drawing/2014/main" id="{6B4F8B32-5634-46F5-9AE1-3912F3952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47625</xdr:colOff>
      <xdr:row>67</xdr:row>
      <xdr:rowOff>47625</xdr:rowOff>
    </xdr:from>
    <xdr:to>
      <xdr:col>14</xdr:col>
      <xdr:colOff>558825</xdr:colOff>
      <xdr:row>75</xdr:row>
      <xdr:rowOff>179625</xdr:rowOff>
    </xdr:to>
    <xdr:graphicFrame macro="">
      <xdr:nvGraphicFramePr>
        <xdr:cNvPr id="18" name="Chart 17">
          <a:extLst>
            <a:ext uri="{FF2B5EF4-FFF2-40B4-BE49-F238E27FC236}">
              <a16:creationId xmlns:a16="http://schemas.microsoft.com/office/drawing/2014/main" id="{F947A940-A20D-4C5E-9CCB-543D75D8B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9525</xdr:colOff>
      <xdr:row>67</xdr:row>
      <xdr:rowOff>0</xdr:rowOff>
    </xdr:from>
    <xdr:to>
      <xdr:col>18</xdr:col>
      <xdr:colOff>520725</xdr:colOff>
      <xdr:row>75</xdr:row>
      <xdr:rowOff>132000</xdr:rowOff>
    </xdr:to>
    <xdr:graphicFrame macro="">
      <xdr:nvGraphicFramePr>
        <xdr:cNvPr id="19" name="Chart 18">
          <a:extLst>
            <a:ext uri="{FF2B5EF4-FFF2-40B4-BE49-F238E27FC236}">
              <a16:creationId xmlns:a16="http://schemas.microsoft.com/office/drawing/2014/main" id="{1BE37DE1-BCC2-449F-B4AF-5B7501C55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38100</xdr:colOff>
      <xdr:row>75</xdr:row>
      <xdr:rowOff>133350</xdr:rowOff>
    </xdr:from>
    <xdr:to>
      <xdr:col>14</xdr:col>
      <xdr:colOff>549300</xdr:colOff>
      <xdr:row>84</xdr:row>
      <xdr:rowOff>74850</xdr:rowOff>
    </xdr:to>
    <xdr:graphicFrame macro="">
      <xdr:nvGraphicFramePr>
        <xdr:cNvPr id="20" name="Chart 19">
          <a:extLst>
            <a:ext uri="{FF2B5EF4-FFF2-40B4-BE49-F238E27FC236}">
              <a16:creationId xmlns:a16="http://schemas.microsoft.com/office/drawing/2014/main" id="{D7FD4475-4C77-4259-AC1E-58A53AE6E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19050</xdr:colOff>
      <xdr:row>75</xdr:row>
      <xdr:rowOff>114300</xdr:rowOff>
    </xdr:from>
    <xdr:to>
      <xdr:col>18</xdr:col>
      <xdr:colOff>530250</xdr:colOff>
      <xdr:row>84</xdr:row>
      <xdr:rowOff>55800</xdr:rowOff>
    </xdr:to>
    <xdr:graphicFrame macro="">
      <xdr:nvGraphicFramePr>
        <xdr:cNvPr id="21" name="Chart 20">
          <a:extLst>
            <a:ext uri="{FF2B5EF4-FFF2-40B4-BE49-F238E27FC236}">
              <a16:creationId xmlns:a16="http://schemas.microsoft.com/office/drawing/2014/main" id="{4740D453-41CD-4F58-A0D2-052FF483B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28575</xdr:colOff>
      <xdr:row>84</xdr:row>
      <xdr:rowOff>104775</xdr:rowOff>
    </xdr:from>
    <xdr:to>
      <xdr:col>14</xdr:col>
      <xdr:colOff>539775</xdr:colOff>
      <xdr:row>93</xdr:row>
      <xdr:rowOff>46275</xdr:rowOff>
    </xdr:to>
    <xdr:graphicFrame macro="">
      <xdr:nvGraphicFramePr>
        <xdr:cNvPr id="22" name="Chart 21">
          <a:extLst>
            <a:ext uri="{FF2B5EF4-FFF2-40B4-BE49-F238E27FC236}">
              <a16:creationId xmlns:a16="http://schemas.microsoft.com/office/drawing/2014/main" id="{735C5627-FFAC-4BF9-BBF0-CB2634D26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28575</xdr:colOff>
      <xdr:row>84</xdr:row>
      <xdr:rowOff>114300</xdr:rowOff>
    </xdr:from>
    <xdr:to>
      <xdr:col>18</xdr:col>
      <xdr:colOff>539775</xdr:colOff>
      <xdr:row>93</xdr:row>
      <xdr:rowOff>55800</xdr:rowOff>
    </xdr:to>
    <xdr:graphicFrame macro="">
      <xdr:nvGraphicFramePr>
        <xdr:cNvPr id="23" name="Chart 22">
          <a:extLst>
            <a:ext uri="{FF2B5EF4-FFF2-40B4-BE49-F238E27FC236}">
              <a16:creationId xmlns:a16="http://schemas.microsoft.com/office/drawing/2014/main" id="{909AB253-9684-4118-9066-60E61B60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0</xdr:colOff>
      <xdr:row>56</xdr:row>
      <xdr:rowOff>0</xdr:rowOff>
    </xdr:from>
    <xdr:to>
      <xdr:col>23</xdr:col>
      <xdr:colOff>507736</xdr:colOff>
      <xdr:row>64</xdr:row>
      <xdr:rowOff>132000</xdr:rowOff>
    </xdr:to>
    <xdr:graphicFrame macro="">
      <xdr:nvGraphicFramePr>
        <xdr:cNvPr id="26" name="Chart 25">
          <a:extLst>
            <a:ext uri="{FF2B5EF4-FFF2-40B4-BE49-F238E27FC236}">
              <a16:creationId xmlns:a16="http://schemas.microsoft.com/office/drawing/2014/main" id="{47FBA3D2-D10B-4527-9F85-6F28283A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85c5bd71-247f-43c3-8479-ebb1171f3d44|LinkingEnd">
          <a:extLst>
            <a:ext uri="{FF2B5EF4-FFF2-40B4-BE49-F238E27FC236}">
              <a16:creationId xmlns:a16="http://schemas.microsoft.com/office/drawing/2014/main" id="{10B26C7B-BAB1-4039-A4B3-E1FE42985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B54A4F15-E899-4DA1-BC0D-2BF156EAE379}"/>
            </a:ext>
          </a:extLst>
        </xdr:cNvPr>
        <xdr:cNvGrpSpPr/>
      </xdr:nvGrpSpPr>
      <xdr:grpSpPr>
        <a:xfrm>
          <a:off x="13327683" y="2497206"/>
          <a:ext cx="1768889" cy="1505051"/>
          <a:chOff x="157370" y="0"/>
          <a:chExt cx="1772479" cy="1581251"/>
        </a:xfrm>
      </xdr:grpSpPr>
      <xdr:sp macro="" textlink="">
        <xdr:nvSpPr>
          <xdr:cNvPr id="4" name="TextBox 3">
            <a:extLst>
              <a:ext uri="{FF2B5EF4-FFF2-40B4-BE49-F238E27FC236}">
                <a16:creationId xmlns:a16="http://schemas.microsoft.com/office/drawing/2014/main" id="{8BAEB9F8-82DC-A113-8B6E-BF54985FCC77}"/>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A9F7F314-15A2-A2D4-EA90-B40DA7136C45}"/>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DDD2217B-9CE0-DED2-0B13-1E24678ABC75}"/>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626093E2-95B5-1869-178F-5F2114F339DA}"/>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6D769130-9777-069F-9E2D-479206B3234E}"/>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3460ED96-694E-DA0F-CF09-58BAE90CD792}"/>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6476C982-8CB0-B666-86BA-C3F0F4943DC9}"/>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12D79252-1270-04CD-0D78-FD171A48D4E1}"/>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3CCFEB73-39B3-6CD3-8A67-7B308DFA80AA}"/>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2A94DB18-DAA6-34E6-3365-4B963F3AAFFC}"/>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4D2301C-7AD5-E633-D578-9DFDFC5C2A67}"/>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DAEDC09A-6FEF-0D95-13E4-AA0957B1A15F}"/>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911EA924-4024-7CD6-E956-B567EB5ED0C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0B1417A-8EA5-4FD5-2F78-C79BC1199854}"/>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5DCA922F-3B77-9275-ADB4-1D1C23FE2E34}"/>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8B4EB425-7F30-2783-F4EC-A48AF8D91335}"/>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36B22291-CCA7-F529-A443-25C7485EE8C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12C0848E-256D-2DB6-B1C3-F6FA74DB9C97}"/>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6304BD97-1D89-3F48-C1C3-B32B4BF10452}"/>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AA42EB71-5507-A507-194A-EF3DA57F065A}"/>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F4B38EAF-B3F1-EE8A-FC65-F9237EDCD232}"/>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4" name="Chart 23">
          <a:extLst>
            <a:ext uri="{FF2B5EF4-FFF2-40B4-BE49-F238E27FC236}">
              <a16:creationId xmlns:a16="http://schemas.microsoft.com/office/drawing/2014/main" id="{F524A032-4CAB-432D-B1DB-D6FF04A76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25" name="Group 24">
          <a:extLst>
            <a:ext uri="{FF2B5EF4-FFF2-40B4-BE49-F238E27FC236}">
              <a16:creationId xmlns:a16="http://schemas.microsoft.com/office/drawing/2014/main" id="{79341D3B-F527-4DAA-A834-810A3AB377A5}"/>
            </a:ext>
          </a:extLst>
        </xdr:cNvPr>
        <xdr:cNvGrpSpPr/>
      </xdr:nvGrpSpPr>
      <xdr:grpSpPr>
        <a:xfrm>
          <a:off x="13327683" y="858906"/>
          <a:ext cx="1768889" cy="1505051"/>
          <a:chOff x="157370" y="0"/>
          <a:chExt cx="1772479" cy="1581251"/>
        </a:xfrm>
      </xdr:grpSpPr>
      <xdr:sp macro="" textlink="">
        <xdr:nvSpPr>
          <xdr:cNvPr id="26" name="TextBox 3">
            <a:extLst>
              <a:ext uri="{FF2B5EF4-FFF2-40B4-BE49-F238E27FC236}">
                <a16:creationId xmlns:a16="http://schemas.microsoft.com/office/drawing/2014/main" id="{3D730C5B-E798-4C1F-9B45-A79ACDA781D2}"/>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27" name="Group 50">
            <a:extLst>
              <a:ext uri="{FF2B5EF4-FFF2-40B4-BE49-F238E27FC236}">
                <a16:creationId xmlns:a16="http://schemas.microsoft.com/office/drawing/2014/main" id="{48629BCC-C7B5-4AA4-96CC-02216BDB08BF}"/>
              </a:ext>
            </a:extLst>
          </xdr:cNvPr>
          <xdr:cNvGrpSpPr/>
        </xdr:nvGrpSpPr>
        <xdr:grpSpPr>
          <a:xfrm>
            <a:off x="258505" y="139686"/>
            <a:ext cx="315534" cy="716384"/>
            <a:chOff x="258505" y="139686"/>
            <a:chExt cx="315534" cy="716384"/>
          </a:xfrm>
        </xdr:grpSpPr>
        <xdr:sp macro="" textlink="">
          <xdr:nvSpPr>
            <xdr:cNvPr id="45" name="Rectangle 44">
              <a:extLst>
                <a:ext uri="{FF2B5EF4-FFF2-40B4-BE49-F238E27FC236}">
                  <a16:creationId xmlns:a16="http://schemas.microsoft.com/office/drawing/2014/main" id="{7BB7F134-4520-4450-BEDB-8E91AD4E9CC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46" name="Rectangle 45">
              <a:extLst>
                <a:ext uri="{FF2B5EF4-FFF2-40B4-BE49-F238E27FC236}">
                  <a16:creationId xmlns:a16="http://schemas.microsoft.com/office/drawing/2014/main" id="{64709694-B714-4DA5-950B-C54A5BAADD87}"/>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28" name="Diamond 27">
            <a:extLst>
              <a:ext uri="{FF2B5EF4-FFF2-40B4-BE49-F238E27FC236}">
                <a16:creationId xmlns:a16="http://schemas.microsoft.com/office/drawing/2014/main" id="{D9754F56-63E8-452A-A81B-6AD501A6C0F9}"/>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29" name="Minus 5">
            <a:extLst>
              <a:ext uri="{FF2B5EF4-FFF2-40B4-BE49-F238E27FC236}">
                <a16:creationId xmlns:a16="http://schemas.microsoft.com/office/drawing/2014/main" id="{AC65512B-3749-4E38-A3E1-FA6152AA52C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30" name="Group 53">
            <a:extLst>
              <a:ext uri="{FF2B5EF4-FFF2-40B4-BE49-F238E27FC236}">
                <a16:creationId xmlns:a16="http://schemas.microsoft.com/office/drawing/2014/main" id="{C9B89066-457B-478C-9D8E-55AAC6D45A7D}"/>
              </a:ext>
            </a:extLst>
          </xdr:cNvPr>
          <xdr:cNvGrpSpPr/>
        </xdr:nvGrpSpPr>
        <xdr:grpSpPr>
          <a:xfrm>
            <a:off x="681311" y="63487"/>
            <a:ext cx="842667" cy="182217"/>
            <a:chOff x="681311" y="63487"/>
            <a:chExt cx="842667" cy="182217"/>
          </a:xfrm>
        </xdr:grpSpPr>
        <xdr:sp macro="" textlink="">
          <xdr:nvSpPr>
            <xdr:cNvPr id="43" name="Straight Arrow Connector 42">
              <a:extLst>
                <a:ext uri="{FF2B5EF4-FFF2-40B4-BE49-F238E27FC236}">
                  <a16:creationId xmlns:a16="http://schemas.microsoft.com/office/drawing/2014/main" id="{021EB9A5-DCF9-4D86-B882-41DAF314778B}"/>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4" name="Rectangle 43">
              <a:extLst>
                <a:ext uri="{FF2B5EF4-FFF2-40B4-BE49-F238E27FC236}">
                  <a16:creationId xmlns:a16="http://schemas.microsoft.com/office/drawing/2014/main" id="{18983A31-6BCD-498D-9FF8-11B76D5CD06D}"/>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31" name="Group 54">
            <a:extLst>
              <a:ext uri="{FF2B5EF4-FFF2-40B4-BE49-F238E27FC236}">
                <a16:creationId xmlns:a16="http://schemas.microsoft.com/office/drawing/2014/main" id="{A374B082-3694-4946-906D-9E24D83ABB49}"/>
              </a:ext>
            </a:extLst>
          </xdr:cNvPr>
          <xdr:cNvGrpSpPr/>
        </xdr:nvGrpSpPr>
        <xdr:grpSpPr>
          <a:xfrm>
            <a:off x="673028" y="406771"/>
            <a:ext cx="991778" cy="173014"/>
            <a:chOff x="673028" y="406771"/>
            <a:chExt cx="991778" cy="173014"/>
          </a:xfrm>
        </xdr:grpSpPr>
        <xdr:sp macro="" textlink="">
          <xdr:nvSpPr>
            <xdr:cNvPr id="41" name="Straight Arrow Connector 40">
              <a:extLst>
                <a:ext uri="{FF2B5EF4-FFF2-40B4-BE49-F238E27FC236}">
                  <a16:creationId xmlns:a16="http://schemas.microsoft.com/office/drawing/2014/main" id="{9C98F09C-1D00-4C98-BE38-1989AED76E93}"/>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2" name="Rectangle 41">
              <a:extLst>
                <a:ext uri="{FF2B5EF4-FFF2-40B4-BE49-F238E27FC236}">
                  <a16:creationId xmlns:a16="http://schemas.microsoft.com/office/drawing/2014/main" id="{DAEAD564-06FD-4033-94F2-676119B70CE3}"/>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32" name="Group 55">
            <a:extLst>
              <a:ext uri="{FF2B5EF4-FFF2-40B4-BE49-F238E27FC236}">
                <a16:creationId xmlns:a16="http://schemas.microsoft.com/office/drawing/2014/main" id="{75287FAB-D3F3-43B0-A641-2E60A4619280}"/>
              </a:ext>
            </a:extLst>
          </xdr:cNvPr>
          <xdr:cNvGrpSpPr/>
        </xdr:nvGrpSpPr>
        <xdr:grpSpPr>
          <a:xfrm>
            <a:off x="673028" y="767511"/>
            <a:ext cx="850948" cy="182217"/>
            <a:chOff x="673028" y="767511"/>
            <a:chExt cx="850948" cy="182217"/>
          </a:xfrm>
        </xdr:grpSpPr>
        <xdr:sp macro="" textlink="">
          <xdr:nvSpPr>
            <xdr:cNvPr id="39" name="Straight Arrow Connector 38">
              <a:extLst>
                <a:ext uri="{FF2B5EF4-FFF2-40B4-BE49-F238E27FC236}">
                  <a16:creationId xmlns:a16="http://schemas.microsoft.com/office/drawing/2014/main" id="{5D5B7302-C62E-4E20-B382-4096A225E394}"/>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0" name="Rectangle 39">
              <a:extLst>
                <a:ext uri="{FF2B5EF4-FFF2-40B4-BE49-F238E27FC236}">
                  <a16:creationId xmlns:a16="http://schemas.microsoft.com/office/drawing/2014/main" id="{EF98D190-D027-4462-B9EC-AD9BE4BBAE1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33" name="Group 56">
            <a:extLst>
              <a:ext uri="{FF2B5EF4-FFF2-40B4-BE49-F238E27FC236}">
                <a16:creationId xmlns:a16="http://schemas.microsoft.com/office/drawing/2014/main" id="{A1FC20CD-C479-4E00-A821-F37F498AF25E}"/>
              </a:ext>
            </a:extLst>
          </xdr:cNvPr>
          <xdr:cNvGrpSpPr/>
        </xdr:nvGrpSpPr>
        <xdr:grpSpPr>
          <a:xfrm>
            <a:off x="673028" y="1281031"/>
            <a:ext cx="1256821" cy="193275"/>
            <a:chOff x="673028" y="1281031"/>
            <a:chExt cx="1256821" cy="193275"/>
          </a:xfrm>
        </xdr:grpSpPr>
        <xdr:sp macro="" textlink="">
          <xdr:nvSpPr>
            <xdr:cNvPr id="37" name="Straight Arrow Connector 36">
              <a:extLst>
                <a:ext uri="{FF2B5EF4-FFF2-40B4-BE49-F238E27FC236}">
                  <a16:creationId xmlns:a16="http://schemas.microsoft.com/office/drawing/2014/main" id="{4E465006-CD3D-42D4-A495-BB89A771D1E9}"/>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38" name="Rectangle 37">
              <a:extLst>
                <a:ext uri="{FF2B5EF4-FFF2-40B4-BE49-F238E27FC236}">
                  <a16:creationId xmlns:a16="http://schemas.microsoft.com/office/drawing/2014/main" id="{0CCBCAC6-AD38-4DF8-A241-BBCBA661D79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34" name="Group 57">
            <a:extLst>
              <a:ext uri="{FF2B5EF4-FFF2-40B4-BE49-F238E27FC236}">
                <a16:creationId xmlns:a16="http://schemas.microsoft.com/office/drawing/2014/main" id="{AABA95FC-7734-45D7-A9FA-6456B005A7DC}"/>
              </a:ext>
            </a:extLst>
          </xdr:cNvPr>
          <xdr:cNvGrpSpPr/>
        </xdr:nvGrpSpPr>
        <xdr:grpSpPr>
          <a:xfrm>
            <a:off x="673028" y="1015988"/>
            <a:ext cx="901165" cy="182217"/>
            <a:chOff x="673028" y="1015988"/>
            <a:chExt cx="901165" cy="182217"/>
          </a:xfrm>
        </xdr:grpSpPr>
        <xdr:sp macro="" textlink="">
          <xdr:nvSpPr>
            <xdr:cNvPr id="35" name="Rectangle 34">
              <a:extLst>
                <a:ext uri="{FF2B5EF4-FFF2-40B4-BE49-F238E27FC236}">
                  <a16:creationId xmlns:a16="http://schemas.microsoft.com/office/drawing/2014/main" id="{F655FEF6-C41C-4AF7-9D33-9E3CF032DCD2}"/>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36" name="Straight Arrow Connector 35">
              <a:extLst>
                <a:ext uri="{FF2B5EF4-FFF2-40B4-BE49-F238E27FC236}">
                  <a16:creationId xmlns:a16="http://schemas.microsoft.com/office/drawing/2014/main" id="{CF9431DD-0FA8-4227-81BB-0CD0478F26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a:extLst>
            <a:ext uri="{FF2B5EF4-FFF2-40B4-BE49-F238E27FC236}">
              <a16:creationId xmlns:a16="http://schemas.microsoft.com/office/drawing/2014/main" id="{B2938114-CF70-404C-96D8-D4F662BBD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79CF64D2-5163-49E1-B53D-9F1634790C90}"/>
            </a:ext>
          </a:extLst>
        </xdr:cNvPr>
        <xdr:cNvGrpSpPr/>
      </xdr:nvGrpSpPr>
      <xdr:grpSpPr>
        <a:xfrm>
          <a:off x="13327683" y="858906"/>
          <a:ext cx="1768889" cy="1505051"/>
          <a:chOff x="157370" y="0"/>
          <a:chExt cx="1772479" cy="1581251"/>
        </a:xfrm>
      </xdr:grpSpPr>
      <xdr:sp macro="" textlink="">
        <xdr:nvSpPr>
          <xdr:cNvPr id="4" name="TextBox 3">
            <a:extLst>
              <a:ext uri="{FF2B5EF4-FFF2-40B4-BE49-F238E27FC236}">
                <a16:creationId xmlns:a16="http://schemas.microsoft.com/office/drawing/2014/main" id="{181FE670-4FEA-4B3B-8B88-8D50028BB08D}"/>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C4CEEBB5-F60A-428D-994B-E2F0265354ED}"/>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C9C21FDD-7BD9-401B-9C22-179C6C9A94C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6FF3650-9FCB-4F77-B5C2-F41A0CAE1327}"/>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AA3C132E-C8BB-4665-B43F-63A0B2FF89B6}"/>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9881BE9D-3007-4B65-9FD5-E0137DAB6600}"/>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47DE7A07-E1B1-49A7-B600-F40A11791B00}"/>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4142623B-21FE-4A31-AC09-5B3D4CB7F404}"/>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0062A284-1693-486E-A4B2-9DDE741940A7}"/>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D05FCF04-2088-444D-B0FE-F7761F2A37C2}"/>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2754FACF-2B3C-4EB6-875E-0D406EF65A7C}"/>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48DB5979-DB2C-4432-B312-0021A7FCE25E}"/>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AE6E11E-AF5B-4848-A961-A9897898B094}"/>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C8218F9-2D24-42E7-A2E6-4CF1716BCD48}"/>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B599C16C-F56D-44BB-9F5A-888AA34BF39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9D041194-F3FE-44D7-A300-A358C8A82CA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663042A5-06C7-4975-9CE7-9472053B4C93}"/>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1BD260BD-9FAB-410D-97F4-9EBB272A8307}"/>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988ADFE0-4FB0-4FDA-9680-A8E5949F4A85}"/>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3257CA20-6E90-472F-ABB1-6B9DF1C3EDC5}"/>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B4255842-EF23-4E9B-89F2-029FF251ED19}"/>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a:extLst>
            <a:ext uri="{FF2B5EF4-FFF2-40B4-BE49-F238E27FC236}">
              <a16:creationId xmlns:a16="http://schemas.microsoft.com/office/drawing/2014/main" id="{106886CA-918E-455B-9F98-93749D9B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CA31665E-3FFA-4893-B935-685B46F6DB9C}"/>
            </a:ext>
          </a:extLst>
        </xdr:cNvPr>
        <xdr:cNvGrpSpPr/>
      </xdr:nvGrpSpPr>
      <xdr:grpSpPr>
        <a:xfrm>
          <a:off x="13327683" y="858906"/>
          <a:ext cx="1768889" cy="1505051"/>
          <a:chOff x="157370" y="0"/>
          <a:chExt cx="1772479" cy="1581251"/>
        </a:xfrm>
      </xdr:grpSpPr>
      <xdr:sp macro="" textlink="">
        <xdr:nvSpPr>
          <xdr:cNvPr id="4" name="TextBox 3">
            <a:extLst>
              <a:ext uri="{FF2B5EF4-FFF2-40B4-BE49-F238E27FC236}">
                <a16:creationId xmlns:a16="http://schemas.microsoft.com/office/drawing/2014/main" id="{2E009739-01D9-47E9-9E9E-601D50D5B985}"/>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07F66A3D-BD4B-4EB3-9BE0-DD3EDF79244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1CE30A7-BE46-424A-8EE2-0D5B43552B3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D94B9D3-35AE-4A13-ADFA-4513DD441E4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E345DD8C-0377-4C98-87A8-A39E41666E30}"/>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B53C17AF-5269-4B4C-9417-575926F35A8B}"/>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0C5360E-AF03-416D-B86C-492E34529ED2}"/>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3BD7B78C-72B2-4021-9B73-01BD793D836D}"/>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D4D25A17-A28B-4361-A039-209B08985AA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308674A7-F87B-43E9-9A89-DCAD15D8F63D}"/>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2D84AD-1C37-4938-B873-34B63257B2A8}"/>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DA9D8C1-F568-44D3-91D8-6BACD4E32E6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99AAA5D2-2FFE-4489-B22E-4227EA39A81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AFAB8CED-36A7-4870-9A3C-A5DA7C02BD51}"/>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C75502F0-86C3-40F5-AC98-E9481FBB918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F74575C6-56F6-4D04-8A3D-57E5966B356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A491711-BAF1-4D71-9D17-611D6E950F01}"/>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B07FB2A7-53F2-4FF6-9741-F69951FD2A34}"/>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D1F70AE-DB21-4DD4-A680-E97BBF0350ED}"/>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BC9042D3-03C1-42B3-997F-88F47B16B7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E594DAF7-E0B3-42B2-87A6-664B1AA7958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a:extLst>
            <a:ext uri="{FF2B5EF4-FFF2-40B4-BE49-F238E27FC236}">
              <a16:creationId xmlns:a16="http://schemas.microsoft.com/office/drawing/2014/main" id="{0509AEEF-924B-4CBB-A735-5AC149857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C0E4467A-F6CE-492C-B4C9-E096919C8ACC}"/>
            </a:ext>
          </a:extLst>
        </xdr:cNvPr>
        <xdr:cNvGrpSpPr/>
      </xdr:nvGrpSpPr>
      <xdr:grpSpPr>
        <a:xfrm>
          <a:off x="13327683" y="858906"/>
          <a:ext cx="1768889" cy="1505051"/>
          <a:chOff x="157370" y="0"/>
          <a:chExt cx="1772479" cy="1581251"/>
        </a:xfrm>
      </xdr:grpSpPr>
      <xdr:sp macro="" textlink="">
        <xdr:nvSpPr>
          <xdr:cNvPr id="4" name="TextBox 3">
            <a:extLst>
              <a:ext uri="{FF2B5EF4-FFF2-40B4-BE49-F238E27FC236}">
                <a16:creationId xmlns:a16="http://schemas.microsoft.com/office/drawing/2014/main" id="{A1BF35EB-7297-4039-B676-BD53886E126C}"/>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9128018-5A8B-4C4A-975A-7D8E62255844}"/>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2C469016-81D0-4A5A-B38D-B46C0113176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0824878-8445-428C-A8A4-646321B0C126}"/>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1D76CF74-E729-4452-94F9-FF9726E2EA7E}"/>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050A55F1-DCF3-48E6-81BD-8F077E8A78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8F3F474-564A-440D-8E6D-CDE5C7D5AEAD}"/>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60E32D23-F595-4E6D-8BE3-431284C10B98}"/>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49116559-46F4-4C57-A26E-25ED15419B03}"/>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4BA6E3A-5789-4A40-A54B-6D152C6A7B3D}"/>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E6211036-2AD2-4774-B0BE-E67F82703F2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CF11F5C-3065-4BA9-9FC5-BEF1223F9BAB}"/>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66720093-0A3A-4AC8-8EE6-48A3520E1675}"/>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34501C43-8220-4300-87A3-543D8C0E792C}"/>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77CE7F88-9ED0-4E4C-B90A-62811AFB13B4}"/>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957BF547-AD51-4F8C-8039-1AB96500186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E7D23FC2-D83D-48E1-BBC9-910B19E1C8D9}"/>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8AD4B411-5ABC-456C-BD76-B603A6038624}"/>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4A3C4775-A0D1-47C7-A068-5E0A0CE4E3E5}"/>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8BD6C0E7-FA9C-40BB-8C74-266C9150420C}"/>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92BDEBF-A037-47E6-A17E-3F6453E294EE}"/>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9.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a:extLst>
            <a:ext uri="{FF2B5EF4-FFF2-40B4-BE49-F238E27FC236}">
              <a16:creationId xmlns:a16="http://schemas.microsoft.com/office/drawing/2014/main" id="{DE37DAEA-AAE0-439C-AAB9-33B737B82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42E2A1F6-0116-4CFF-BC91-5158F3989827}"/>
            </a:ext>
          </a:extLst>
        </xdr:cNvPr>
        <xdr:cNvGrpSpPr/>
      </xdr:nvGrpSpPr>
      <xdr:grpSpPr>
        <a:xfrm>
          <a:off x="13327683" y="858906"/>
          <a:ext cx="1768889" cy="1505051"/>
          <a:chOff x="157370" y="0"/>
          <a:chExt cx="1772479" cy="1581251"/>
        </a:xfrm>
      </xdr:grpSpPr>
      <xdr:sp macro="" textlink="">
        <xdr:nvSpPr>
          <xdr:cNvPr id="4" name="TextBox 3">
            <a:extLst>
              <a:ext uri="{FF2B5EF4-FFF2-40B4-BE49-F238E27FC236}">
                <a16:creationId xmlns:a16="http://schemas.microsoft.com/office/drawing/2014/main" id="{5B99AD76-FA9A-4E3A-A20A-5BFAB812A273}"/>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9721F75-F772-41AF-AF82-998B50B3256E}"/>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ED866BA7-2F18-450C-AE3C-0BC3D263C93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D4EA60D-732A-45B8-AEDE-A35F0F0356A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319E66E-3F7E-494D-AB00-18DBB28710CF}"/>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8F385C1-1426-41FE-B939-12CE2F46BF1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2D963BD5-015E-4909-ACBD-9CB2D94F8561}"/>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1BA78B6-CE3A-4403-9A36-DB63401E0AEE}"/>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92D4BD1-F8CB-4244-A0BA-E8114912D332}"/>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10EA0ECC-6BF3-48EA-96AD-BF6B8B79CC2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BC2DB1B6-E4F9-41B4-B6D8-4C367D128EB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8A8FC41F-1508-4970-888F-80FD5E288B0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DF33FD3C-5B60-46E4-9F01-8B52A339E29B}"/>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C513038-1166-4B88-B402-9652783A16DA}"/>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4050B1D4-1379-481C-8FBB-1DD2AA7C692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C7D8089A-21E6-4B7D-9CD2-6A77A9AAEC4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DACB9F90-8217-464C-9FA8-B0631B8727C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E577E9E2-D3D2-414E-BF93-AFC6DA7AC2AA}"/>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524B21B-9ECB-426F-AD88-1AA77268BE8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7ED4357D-B70D-4D16-9234-6FE94C97C016}"/>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0A79FFA2-201D-468B-8C86-EF17A133B70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Clients\Pure%20Industrial%20REIT\Benchmarking\EC%20Benchmarking%20PIRET%20-%20July,%202014%20-%20EP%20Peer%20Review%20v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T:\Clients\Hudbay\Projects\2023\2023-05%20Trends%20Report\2025%20Research\Hudbay%20vs.%20Copper%20Chart%20-%202025.xlsx" TargetMode="External"/><Relationship Id="rId1" Type="http://schemas.openxmlformats.org/officeDocument/2006/relationships/externalLinkPath" Target="/Clients/Hudbay/Projects/2023/2023-05%20Trends%20Report/2025%20Research/Hudbay%20vs.%20Copper%20Chart%20-%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c-cal-dc\Documents\Clients\Royal%20Gold\Analysis\Performance%20Analysis\Royal%20Gold%20Performance%20Analysis%20%20-%20steramin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lients\Interpipeline%20Fund\HCI%20Analysis\Exec%20Comp%20Benchmarking\IPL%20EC%20Benchmarking%20v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Templates\Excel%20Templates%20(Including%20Benchmarking)\Benchmarking%20Templates\DC%20Benchmarking%20NEW%20-%20May%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Financials"/>
      <sheetName val="Variables"/>
      <sheetName val="Raw Data"/>
      <sheetName val="CEO "/>
      <sheetName val="_CIQHiddenCacheSheet"/>
      <sheetName val="CFO "/>
      <sheetName val="STIP"/>
      <sheetName val="LTIP Design"/>
      <sheetName val="STIP Detail"/>
      <sheetName val="LTIP Perf. Metrics"/>
      <sheetName val="Sheet3"/>
      <sheetName val="KG - Charts"/>
      <sheetName val="Co-CEO - Charts"/>
      <sheetName val="CFO - Charts"/>
      <sheetName val="Summary of BS, TCC, &amp; TDC"/>
      <sheetName val="Pay Mix"/>
      <sheetName val="Observations"/>
      <sheetName val="Comp Rank"/>
      <sheetName val="LTI Review"/>
      <sheetName val="Instructions"/>
      <sheetName val="Inputs"/>
      <sheetName val="CIQ_LinkingNames"/>
      <sheetName val="Summary"/>
      <sheetName val="Director at Large"/>
      <sheetName val="Board Chair or Lead"/>
      <sheetName val="Profile 1"/>
      <sheetName val="Profile 2"/>
      <sheetName val="Profile 3"/>
      <sheetName val="DaL Chart"/>
      <sheetName val="BC Chart"/>
      <sheetName val="Summary Chart"/>
      <sheetName val="Com. Chair Fees"/>
      <sheetName val="Com. Member Fees"/>
      <sheetName val="SOG"/>
      <sheetName val="# Mtgs"/>
      <sheetName val="Footnotes"/>
      <sheetName val="Peer Group"/>
    </sheetNames>
    <sheetDataSet>
      <sheetData sheetId="0"/>
      <sheetData sheetId="1">
        <row r="3">
          <cell r="B3" t="str">
            <v>CAD</v>
          </cell>
        </row>
        <row r="4">
          <cell r="H4">
            <v>0.98960000000000004</v>
          </cell>
        </row>
        <row r="5">
          <cell r="B5" t="str">
            <v>TSX:AAR.UN</v>
          </cell>
          <cell r="H5">
            <v>0.99960000000000004</v>
          </cell>
        </row>
        <row r="6">
          <cell r="H6">
            <v>1.0299</v>
          </cell>
        </row>
        <row r="7">
          <cell r="B7" t="str">
            <v>tsx:DIR.UN</v>
          </cell>
        </row>
        <row r="8">
          <cell r="B8" t="str">
            <v>tsx:CRR.UN</v>
          </cell>
        </row>
        <row r="9">
          <cell r="B9" t="str">
            <v>tsx:AX.UN</v>
          </cell>
        </row>
        <row r="10">
          <cell r="B10" t="str">
            <v>tsx:NPR.UN</v>
          </cell>
          <cell r="E10" t="str">
            <v>CFO</v>
          </cell>
        </row>
        <row r="11">
          <cell r="B11" t="str">
            <v>tsx:KMP</v>
          </cell>
        </row>
        <row r="12">
          <cell r="B12" t="str">
            <v>tsx:MRD</v>
          </cell>
        </row>
        <row r="13">
          <cell r="B13" t="str">
            <v>tsx:MEQ</v>
          </cell>
        </row>
        <row r="14">
          <cell r="B14" t="str">
            <v>tsx:RMM.UN</v>
          </cell>
        </row>
        <row r="15">
          <cell r="B15" t="str">
            <v>tsx:PLZ.UN</v>
          </cell>
        </row>
        <row r="16">
          <cell r="B16" t="str">
            <v>tsx:IIP.UN</v>
          </cell>
        </row>
        <row r="18">
          <cell r="B18" t="str">
            <v>tsx:BTB.UN</v>
          </cell>
        </row>
        <row r="19">
          <cell r="B19" t="str">
            <v>tsx:CUF.UN</v>
          </cell>
        </row>
        <row r="20">
          <cell r="B20" t="str">
            <v>tsx:REF.UN</v>
          </cell>
        </row>
      </sheetData>
      <sheetData sheetId="2">
        <row r="1">
          <cell r="A1">
            <v>0</v>
          </cell>
          <cell r="B1" t="str">
            <v>Date</v>
          </cell>
          <cell r="C1">
            <v>41844</v>
          </cell>
          <cell r="D1">
            <v>0</v>
          </cell>
          <cell r="E1">
            <v>0</v>
          </cell>
          <cell r="F1">
            <v>0</v>
          </cell>
          <cell r="G1">
            <v>0</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v>
          </cell>
          <cell r="AD1">
            <v>0</v>
          </cell>
          <cell r="AE1">
            <v>0</v>
          </cell>
          <cell r="AF1">
            <v>0</v>
          </cell>
          <cell r="AG1">
            <v>0</v>
          </cell>
          <cell r="AH1">
            <v>0</v>
          </cell>
          <cell r="AI1">
            <v>0</v>
          </cell>
          <cell r="AJ1">
            <v>0</v>
          </cell>
          <cell r="AK1">
            <v>0</v>
          </cell>
          <cell r="AL1">
            <v>0</v>
          </cell>
          <cell r="AM1">
            <v>0</v>
          </cell>
          <cell r="AN1">
            <v>0</v>
          </cell>
          <cell r="AO1">
            <v>0</v>
          </cell>
          <cell r="AP1">
            <v>0</v>
          </cell>
          <cell r="AQ1">
            <v>0</v>
          </cell>
          <cell r="AR1">
            <v>0</v>
          </cell>
          <cell r="AS1">
            <v>0</v>
          </cell>
          <cell r="AT1">
            <v>0</v>
          </cell>
          <cell r="AU1">
            <v>0</v>
          </cell>
          <cell r="AV1">
            <v>0</v>
          </cell>
          <cell r="AW1">
            <v>0</v>
          </cell>
          <cell r="AX1">
            <v>0</v>
          </cell>
          <cell r="AY1">
            <v>0</v>
          </cell>
          <cell r="AZ1">
            <v>0</v>
          </cell>
          <cell r="BA1">
            <v>0</v>
          </cell>
          <cell r="BB1">
            <v>0</v>
          </cell>
          <cell r="BC1">
            <v>0</v>
          </cell>
          <cell r="BD1">
            <v>0</v>
          </cell>
          <cell r="BE1">
            <v>0</v>
          </cell>
          <cell r="BF1">
            <v>0</v>
          </cell>
          <cell r="BG1">
            <v>0</v>
          </cell>
          <cell r="BH1">
            <v>0</v>
          </cell>
          <cell r="BI1">
            <v>0</v>
          </cell>
          <cell r="BJ1">
            <v>0</v>
          </cell>
        </row>
        <row r="2">
          <cell r="A2">
            <v>0</v>
          </cell>
          <cell r="B2" t="str">
            <v>Currency</v>
          </cell>
          <cell r="C2" t="str">
            <v>CAD</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row>
        <row r="3">
          <cell r="A3">
            <v>0</v>
          </cell>
          <cell r="B3" t="str">
            <v>2013 FX Rate</v>
          </cell>
          <cell r="C3">
            <v>1.0299</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row>
        <row r="4">
          <cell r="A4">
            <v>0</v>
          </cell>
          <cell r="B4" t="str">
            <v>2012 FX Rate</v>
          </cell>
          <cell r="C4">
            <v>0.99960000000000004</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row>
        <row r="5">
          <cell r="A5">
            <v>0</v>
          </cell>
          <cell r="B5" t="str">
            <v>2011 FX Rate</v>
          </cell>
          <cell r="C5">
            <v>0.98960000000000004</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row>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row>
        <row r="7">
          <cell r="A7">
            <v>1</v>
          </cell>
          <cell r="B7">
            <v>2</v>
          </cell>
          <cell r="C7">
            <v>3</v>
          </cell>
          <cell r="D7">
            <v>4</v>
          </cell>
          <cell r="E7">
            <v>5</v>
          </cell>
          <cell r="F7">
            <v>6</v>
          </cell>
          <cell r="G7">
            <v>7</v>
          </cell>
          <cell r="H7">
            <v>8</v>
          </cell>
          <cell r="I7">
            <v>9</v>
          </cell>
          <cell r="J7">
            <v>10</v>
          </cell>
          <cell r="K7">
            <v>11</v>
          </cell>
          <cell r="L7">
            <v>12</v>
          </cell>
          <cell r="M7">
            <v>13</v>
          </cell>
          <cell r="N7">
            <v>14</v>
          </cell>
          <cell r="O7">
            <v>15</v>
          </cell>
          <cell r="P7">
            <v>16</v>
          </cell>
          <cell r="Q7">
            <v>17</v>
          </cell>
          <cell r="R7">
            <v>18</v>
          </cell>
          <cell r="S7">
            <v>19</v>
          </cell>
          <cell r="T7">
            <v>20</v>
          </cell>
          <cell r="U7">
            <v>21</v>
          </cell>
          <cell r="V7">
            <v>22</v>
          </cell>
          <cell r="W7">
            <v>23</v>
          </cell>
          <cell r="X7">
            <v>24</v>
          </cell>
          <cell r="Y7">
            <v>25</v>
          </cell>
          <cell r="Z7">
            <v>26</v>
          </cell>
          <cell r="AA7">
            <v>27</v>
          </cell>
          <cell r="AB7">
            <v>28</v>
          </cell>
          <cell r="AC7">
            <v>29</v>
          </cell>
          <cell r="AD7">
            <v>30</v>
          </cell>
          <cell r="AE7">
            <v>31</v>
          </cell>
          <cell r="AF7">
            <v>32</v>
          </cell>
          <cell r="AG7">
            <v>33</v>
          </cell>
          <cell r="AH7">
            <v>34</v>
          </cell>
          <cell r="AI7">
            <v>35</v>
          </cell>
          <cell r="AJ7">
            <v>36</v>
          </cell>
          <cell r="AK7">
            <v>37</v>
          </cell>
          <cell r="AL7">
            <v>38</v>
          </cell>
          <cell r="AM7">
            <v>39</v>
          </cell>
          <cell r="AN7">
            <v>40</v>
          </cell>
          <cell r="AO7">
            <v>41</v>
          </cell>
          <cell r="AP7">
            <v>42</v>
          </cell>
          <cell r="AQ7">
            <v>43</v>
          </cell>
          <cell r="AR7">
            <v>44</v>
          </cell>
          <cell r="AS7">
            <v>45</v>
          </cell>
          <cell r="AT7">
            <v>46</v>
          </cell>
          <cell r="AU7">
            <v>47</v>
          </cell>
          <cell r="AV7">
            <v>48</v>
          </cell>
          <cell r="AW7">
            <v>49</v>
          </cell>
          <cell r="AX7">
            <v>50</v>
          </cell>
          <cell r="AY7">
            <v>51</v>
          </cell>
          <cell r="AZ7">
            <v>52</v>
          </cell>
          <cell r="BA7">
            <v>53</v>
          </cell>
          <cell r="BB7">
            <v>54</v>
          </cell>
          <cell r="BC7">
            <v>55</v>
          </cell>
          <cell r="BD7">
            <v>56</v>
          </cell>
          <cell r="BE7">
            <v>57</v>
          </cell>
          <cell r="BF7">
            <v>58</v>
          </cell>
          <cell r="BG7">
            <v>59</v>
          </cell>
          <cell r="BH7">
            <v>60</v>
          </cell>
          <cell r="BI7">
            <v>61</v>
          </cell>
          <cell r="BJ7">
            <v>62</v>
          </cell>
        </row>
        <row r="8">
          <cell r="A8" t="str">
            <v>Vlookup</v>
          </cell>
          <cell r="B8" t="str">
            <v>Ticker</v>
          </cell>
          <cell r="C8" t="str">
            <v>Company</v>
          </cell>
          <cell r="D8" t="str">
            <v>Year</v>
          </cell>
          <cell r="E8" t="str">
            <v>Months</v>
          </cell>
          <cell r="F8" t="str">
            <v>Currency of Disclosure</v>
          </cell>
          <cell r="G8" t="str">
            <v>FX Rate</v>
          </cell>
          <cell r="H8" t="str">
            <v>Incumbent</v>
          </cell>
          <cell r="I8" t="str">
            <v>Position Title</v>
          </cell>
          <cell r="J8" t="str">
            <v>BLUE ROW 1: Rank By Target TDC
BLUE ROW 2: Rank by Position</v>
          </cell>
          <cell r="K8" t="str">
            <v>Market Cap</v>
          </cell>
          <cell r="L8" t="str">
            <v>TEV</v>
          </cell>
          <cell r="M8" t="str">
            <v>Base Salary</v>
          </cell>
          <cell r="N8">
            <v>0</v>
          </cell>
          <cell r="O8">
            <v>0</v>
          </cell>
          <cell r="P8" t="str">
            <v>STIP</v>
          </cell>
          <cell r="Q8">
            <v>0</v>
          </cell>
          <cell r="R8">
            <v>0</v>
          </cell>
          <cell r="S8">
            <v>0</v>
          </cell>
          <cell r="T8">
            <v>0</v>
          </cell>
          <cell r="U8" t="str">
            <v>Total Cash Compensation</v>
          </cell>
          <cell r="V8">
            <v>0</v>
          </cell>
          <cell r="W8" t="str">
            <v>Long-Term Incentives</v>
          </cell>
          <cell r="X8">
            <v>0</v>
          </cell>
          <cell r="Y8">
            <v>0</v>
          </cell>
          <cell r="Z8">
            <v>0</v>
          </cell>
          <cell r="AA8">
            <v>0</v>
          </cell>
          <cell r="AB8">
            <v>0</v>
          </cell>
          <cell r="AC8">
            <v>0</v>
          </cell>
          <cell r="AD8">
            <v>0</v>
          </cell>
          <cell r="AE8">
            <v>0</v>
          </cell>
          <cell r="AF8" t="str">
            <v>Total Direct Compensation</v>
          </cell>
          <cell r="AG8">
            <v>0</v>
          </cell>
          <cell r="AH8" t="str">
            <v>Pension</v>
          </cell>
          <cell r="AI8" t="str">
            <v>Other</v>
          </cell>
          <cell r="AJ8" t="str">
            <v>Total Compensation</v>
          </cell>
          <cell r="AK8" t="str">
            <v>STIP Legend</v>
          </cell>
          <cell r="AL8" t="str">
            <v>LTIP Legend</v>
          </cell>
          <cell r="AM8" t="str">
            <v>Incumbent Specific Notes:</v>
          </cell>
          <cell r="AN8" t="str">
            <v>RSUs</v>
          </cell>
          <cell r="AO8">
            <v>0</v>
          </cell>
          <cell r="AP8">
            <v>0</v>
          </cell>
          <cell r="AQ8" t="str">
            <v>PSUs</v>
          </cell>
          <cell r="AR8">
            <v>0</v>
          </cell>
          <cell r="AS8">
            <v>0</v>
          </cell>
          <cell r="AT8" t="str">
            <v>Stock Option Grant 1</v>
          </cell>
          <cell r="AU8">
            <v>0</v>
          </cell>
          <cell r="AV8">
            <v>0</v>
          </cell>
          <cell r="AW8">
            <v>0</v>
          </cell>
          <cell r="AX8" t="str">
            <v>Stock Option Grant 2</v>
          </cell>
          <cell r="AY8">
            <v>0</v>
          </cell>
          <cell r="AZ8">
            <v>0</v>
          </cell>
          <cell r="BA8">
            <v>0</v>
          </cell>
          <cell r="BB8" t="str">
            <v>DSUs</v>
          </cell>
          <cell r="BC8">
            <v>0</v>
          </cell>
          <cell r="BD8">
            <v>0</v>
          </cell>
          <cell r="BE8" t="str">
            <v>Share Ownership Requirements</v>
          </cell>
          <cell r="BF8">
            <v>0</v>
          </cell>
          <cell r="BG8">
            <v>0</v>
          </cell>
          <cell r="BH8">
            <v>0</v>
          </cell>
          <cell r="BI8" t="str">
            <v>Data Recorder</v>
          </cell>
          <cell r="BJ8" t="str">
            <v>Peer Reviewer</v>
          </cell>
        </row>
        <row r="9">
          <cell r="A9">
            <v>0</v>
          </cell>
          <cell r="B9">
            <v>0</v>
          </cell>
          <cell r="C9">
            <v>0</v>
          </cell>
          <cell r="D9">
            <v>0</v>
          </cell>
          <cell r="E9">
            <v>0</v>
          </cell>
          <cell r="F9">
            <v>0</v>
          </cell>
          <cell r="G9">
            <v>0</v>
          </cell>
          <cell r="H9">
            <v>0</v>
          </cell>
          <cell r="I9">
            <v>0</v>
          </cell>
          <cell r="J9">
            <v>0</v>
          </cell>
          <cell r="K9">
            <v>0</v>
          </cell>
          <cell r="L9">
            <v>0</v>
          </cell>
          <cell r="M9" t="str">
            <v>Actual Paid</v>
          </cell>
          <cell r="N9" t="str">
            <v>Annualized / Converted</v>
          </cell>
          <cell r="O9" t="str">
            <v>Latest Salary in 2013 
(if disclosed)</v>
          </cell>
          <cell r="P9" t="str">
            <v>Actual $</v>
          </cell>
          <cell r="Q9" t="str">
            <v>Annualized / Converted $</v>
          </cell>
          <cell r="R9" t="str">
            <v xml:space="preserve">Actual % </v>
          </cell>
          <cell r="S9" t="str">
            <v>Target %</v>
          </cell>
          <cell r="T9" t="str">
            <v>Target $</v>
          </cell>
          <cell r="U9" t="str">
            <v>Actual</v>
          </cell>
          <cell r="V9" t="str">
            <v>Target</v>
          </cell>
          <cell r="W9" t="str">
            <v>RSUs</v>
          </cell>
          <cell r="X9" t="str">
            <v>PSUs</v>
          </cell>
          <cell r="Y9" t="str">
            <v>Stock Options</v>
          </cell>
          <cell r="Z9" t="str">
            <v>DSUs</v>
          </cell>
          <cell r="AA9" t="str">
            <v>LT Cash</v>
          </cell>
          <cell r="AB9" t="str">
            <v>Total LTI
(Actual)</v>
          </cell>
          <cell r="AC9" t="str">
            <v>Total LTI %</v>
          </cell>
          <cell r="AD9" t="str">
            <v>Target LTI %</v>
          </cell>
          <cell r="AE9" t="str">
            <v>Total LTI
(Converted)</v>
          </cell>
          <cell r="AF9" t="str">
            <v>Actual 
(base + actual bonus + actual LTIP)</v>
          </cell>
          <cell r="AG9" t="str">
            <v>Target 
(base + target bonus + 3-yr average LTIP)</v>
          </cell>
          <cell r="AH9">
            <v>0</v>
          </cell>
          <cell r="AI9">
            <v>0</v>
          </cell>
          <cell r="AJ9">
            <v>0</v>
          </cell>
          <cell r="AK9">
            <v>0</v>
          </cell>
          <cell r="AL9">
            <v>0</v>
          </cell>
          <cell r="AM9">
            <v>0</v>
          </cell>
          <cell r="AN9" t="str">
            <v>Grant Date</v>
          </cell>
          <cell r="AO9" t="str">
            <v># of RSUs Granted</v>
          </cell>
          <cell r="AP9" t="str">
            <v>Price</v>
          </cell>
          <cell r="AQ9" t="str">
            <v>Grant Date</v>
          </cell>
          <cell r="AR9" t="str">
            <v># of PSUs Granted</v>
          </cell>
          <cell r="AS9" t="str">
            <v>Price</v>
          </cell>
          <cell r="AT9" t="str">
            <v>Term</v>
          </cell>
          <cell r="AU9" t="str">
            <v>Grant Date</v>
          </cell>
          <cell r="AV9" t="str">
            <v># of Options Granted</v>
          </cell>
          <cell r="AW9" t="str">
            <v>Strike Price</v>
          </cell>
          <cell r="AX9" t="str">
            <v>Term</v>
          </cell>
          <cell r="AY9" t="str">
            <v>Grant Date</v>
          </cell>
          <cell r="AZ9" t="str">
            <v># of Options Granted</v>
          </cell>
          <cell r="BA9" t="str">
            <v>Strike Price</v>
          </cell>
          <cell r="BB9" t="str">
            <v>Grant Date</v>
          </cell>
          <cell r="BC9" t="str">
            <v># of DSUs Granted</v>
          </cell>
          <cell r="BD9" t="str">
            <v>Price</v>
          </cell>
          <cell r="BE9" t="str">
            <v>Multiple</v>
          </cell>
          <cell r="BF9" t="str">
            <v>$ Value</v>
          </cell>
          <cell r="BG9" t="str">
            <v>Years to reach SOR</v>
          </cell>
          <cell r="BH9" t="str">
            <v>Real Shares Only (Y/N)</v>
          </cell>
          <cell r="BI9">
            <v>0</v>
          </cell>
          <cell r="BJ9">
            <v>0</v>
          </cell>
        </row>
        <row r="10">
          <cell r="A10" t="str">
            <v>tsx:DIR.UN__2013</v>
          </cell>
          <cell r="B10" t="str">
            <v>tsx:DIR.UN</v>
          </cell>
          <cell r="C10" t="str">
            <v>Dream Industrial Real Estate Investment Trust</v>
          </cell>
          <cell r="D10">
            <v>2013</v>
          </cell>
          <cell r="E10">
            <v>8</v>
          </cell>
          <cell r="F10" t="str">
            <v>CAD</v>
          </cell>
          <cell r="G10">
            <v>1</v>
          </cell>
          <cell r="H10" t="str">
            <v>Randy Cameron</v>
          </cell>
          <cell r="I10" t="str">
            <v>President and CEO</v>
          </cell>
          <cell r="J10">
            <v>0</v>
          </cell>
          <cell r="K10">
            <v>693.59424999999999</v>
          </cell>
          <cell r="L10">
            <v>1529.58925</v>
          </cell>
          <cell r="M10">
            <v>228333</v>
          </cell>
          <cell r="N10">
            <v>342499.5</v>
          </cell>
          <cell r="O10">
            <v>342499.5</v>
          </cell>
          <cell r="P10">
            <v>140000</v>
          </cell>
          <cell r="Q10">
            <v>210000</v>
          </cell>
          <cell r="R10">
            <v>0.61313958122566603</v>
          </cell>
          <cell r="S10">
            <v>0.61313958122566603</v>
          </cell>
          <cell r="T10">
            <v>210000</v>
          </cell>
          <cell r="U10">
            <v>552499.5</v>
          </cell>
          <cell r="V10">
            <v>552499.5</v>
          </cell>
          <cell r="W10">
            <v>0</v>
          </cell>
          <cell r="X10">
            <v>0</v>
          </cell>
          <cell r="Y10">
            <v>0</v>
          </cell>
          <cell r="Z10">
            <v>133320</v>
          </cell>
          <cell r="AA10">
            <v>0</v>
          </cell>
          <cell r="AB10">
            <v>133320</v>
          </cell>
          <cell r="AC10">
            <v>0.38925604270955139</v>
          </cell>
          <cell r="AD10">
            <v>0.38925604270955139</v>
          </cell>
          <cell r="AE10">
            <v>133320</v>
          </cell>
          <cell r="AF10">
            <v>685819.5</v>
          </cell>
          <cell r="AG10">
            <v>0</v>
          </cell>
          <cell r="AH10">
            <v>0</v>
          </cell>
          <cell r="AI10">
            <v>0</v>
          </cell>
          <cell r="AJ10">
            <v>685819.5</v>
          </cell>
          <cell r="AK10" t="str">
            <v>*</v>
          </cell>
          <cell r="AL10" t="str">
            <v>*</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41713</v>
          </cell>
          <cell r="BC10">
            <v>12000</v>
          </cell>
          <cell r="BD10">
            <v>11.11</v>
          </cell>
          <cell r="BE10">
            <v>0</v>
          </cell>
          <cell r="BF10">
            <v>0</v>
          </cell>
          <cell r="BG10">
            <v>0</v>
          </cell>
          <cell r="BH10">
            <v>0</v>
          </cell>
          <cell r="BI10">
            <v>0</v>
          </cell>
          <cell r="BJ10">
            <v>0</v>
          </cell>
        </row>
        <row r="11">
          <cell r="A11" t="str">
            <v>tsx:DIR.UN__2012</v>
          </cell>
          <cell r="B11" t="str">
            <v>tsx:DIR.UN</v>
          </cell>
          <cell r="C11" t="str">
            <v>Dream Industrial Real Estate Investment Trust</v>
          </cell>
          <cell r="D11">
            <v>2012</v>
          </cell>
          <cell r="E11">
            <v>12</v>
          </cell>
          <cell r="F11" t="str">
            <v>CAD</v>
          </cell>
          <cell r="G11">
            <v>1</v>
          </cell>
          <cell r="H11">
            <v>0</v>
          </cell>
          <cell r="I11">
            <v>0</v>
          </cell>
          <cell r="J11">
            <v>0</v>
          </cell>
          <cell r="K11">
            <v>693.59424999999999</v>
          </cell>
          <cell r="L11">
            <v>1529.58925</v>
          </cell>
          <cell r="M11">
            <v>0</v>
          </cell>
          <cell r="N11">
            <v>0</v>
          </cell>
          <cell r="O11">
            <v>0</v>
          </cell>
          <cell r="P11">
            <v>0</v>
          </cell>
          <cell r="Q11">
            <v>0</v>
          </cell>
          <cell r="R11" t="str">
            <v>input</v>
          </cell>
          <cell r="S11">
            <v>0</v>
          </cell>
          <cell r="T11">
            <v>0</v>
          </cell>
          <cell r="U11">
            <v>0</v>
          </cell>
          <cell r="V11">
            <v>0</v>
          </cell>
          <cell r="W11">
            <v>0</v>
          </cell>
          <cell r="X11">
            <v>0</v>
          </cell>
          <cell r="Y11">
            <v>0</v>
          </cell>
          <cell r="Z11">
            <v>0</v>
          </cell>
          <cell r="AA11">
            <v>0</v>
          </cell>
          <cell r="AB11">
            <v>0</v>
          </cell>
          <cell r="AC11" t="str">
            <v>input</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row>
        <row r="12">
          <cell r="A12" t="str">
            <v>tsx:DIR.UN__2011</v>
          </cell>
          <cell r="B12" t="str">
            <v>tsx:DIR.UN</v>
          </cell>
          <cell r="C12" t="str">
            <v>Dream Industrial Real Estate Investment Trust</v>
          </cell>
          <cell r="D12">
            <v>2011</v>
          </cell>
          <cell r="E12">
            <v>12</v>
          </cell>
          <cell r="F12" t="str">
            <v>CAD</v>
          </cell>
          <cell r="G12">
            <v>1</v>
          </cell>
          <cell r="H12">
            <v>0</v>
          </cell>
          <cell r="I12">
            <v>0</v>
          </cell>
          <cell r="J12">
            <v>0</v>
          </cell>
          <cell r="K12">
            <v>693.59424999999999</v>
          </cell>
          <cell r="L12">
            <v>1529.58925</v>
          </cell>
          <cell r="M12">
            <v>0</v>
          </cell>
          <cell r="N12">
            <v>0</v>
          </cell>
          <cell r="O12">
            <v>0</v>
          </cell>
          <cell r="P12">
            <v>0</v>
          </cell>
          <cell r="Q12">
            <v>0</v>
          </cell>
          <cell r="R12" t="str">
            <v>input</v>
          </cell>
          <cell r="S12">
            <v>0</v>
          </cell>
          <cell r="T12">
            <v>0</v>
          </cell>
          <cell r="U12">
            <v>0</v>
          </cell>
          <cell r="V12">
            <v>0</v>
          </cell>
          <cell r="W12">
            <v>0</v>
          </cell>
          <cell r="X12">
            <v>0</v>
          </cell>
          <cell r="Y12">
            <v>0</v>
          </cell>
          <cell r="Z12">
            <v>0</v>
          </cell>
          <cell r="AA12">
            <v>0</v>
          </cell>
          <cell r="AB12">
            <v>0</v>
          </cell>
          <cell r="AC12" t="str">
            <v>input</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row>
        <row r="13">
          <cell r="A13" t="str">
            <v>tsx:DIR.UN_CEO_Target</v>
          </cell>
          <cell r="B13" t="str">
            <v>tsx:DIR.UN</v>
          </cell>
          <cell r="C13" t="str">
            <v>Dream Industrial Real Estate Investment Trust</v>
          </cell>
          <cell r="D13" t="str">
            <v>Target</v>
          </cell>
          <cell r="E13">
            <v>8</v>
          </cell>
          <cell r="F13" t="str">
            <v>CAD</v>
          </cell>
          <cell r="G13">
            <v>1</v>
          </cell>
          <cell r="H13" t="str">
            <v>Randy Cameron</v>
          </cell>
          <cell r="I13" t="str">
            <v>President and CEO</v>
          </cell>
          <cell r="J13" t="str">
            <v>CEO</v>
          </cell>
          <cell r="K13">
            <v>693.59424999999999</v>
          </cell>
          <cell r="L13">
            <v>1529.58925</v>
          </cell>
          <cell r="M13">
            <v>228333</v>
          </cell>
          <cell r="N13">
            <v>342499.5</v>
          </cell>
          <cell r="O13">
            <v>342499.5</v>
          </cell>
          <cell r="P13">
            <v>140000</v>
          </cell>
          <cell r="Q13">
            <v>210000</v>
          </cell>
          <cell r="R13">
            <v>0.61313958122566603</v>
          </cell>
          <cell r="S13">
            <v>0.61313958122566603</v>
          </cell>
          <cell r="T13">
            <v>210000</v>
          </cell>
          <cell r="U13">
            <v>552499.5</v>
          </cell>
          <cell r="V13">
            <v>552499.5</v>
          </cell>
          <cell r="W13" t="str">
            <v>input</v>
          </cell>
          <cell r="X13" t="str">
            <v>input</v>
          </cell>
          <cell r="Y13" t="str">
            <v>input</v>
          </cell>
          <cell r="Z13">
            <v>133320</v>
          </cell>
          <cell r="AA13" t="str">
            <v>input</v>
          </cell>
          <cell r="AB13">
            <v>133320</v>
          </cell>
          <cell r="AC13">
            <v>0.38925604270955139</v>
          </cell>
          <cell r="AD13">
            <v>0.38925604270955139</v>
          </cell>
          <cell r="AE13">
            <v>133320</v>
          </cell>
          <cell r="AF13">
            <v>685819.5</v>
          </cell>
          <cell r="AG13">
            <v>685819.5</v>
          </cell>
          <cell r="AH13">
            <v>0</v>
          </cell>
          <cell r="AI13">
            <v>0</v>
          </cell>
          <cell r="AJ13">
            <v>685819.5</v>
          </cell>
          <cell r="AK13" t="str">
            <v>*</v>
          </cell>
          <cell r="AL13" t="str">
            <v>*</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row>
        <row r="14">
          <cell r="A14" t="str">
            <v>tsx:DIR.UN_CEO_Target</v>
          </cell>
          <cell r="B14" t="str">
            <v>tsx:DIR.UN</v>
          </cell>
          <cell r="C14" t="str">
            <v>Dream Industrial Real Estate Investment Trust</v>
          </cell>
          <cell r="D14" t="str">
            <v>Target</v>
          </cell>
          <cell r="E14">
            <v>8</v>
          </cell>
          <cell r="F14" t="str">
            <v>CAD</v>
          </cell>
          <cell r="G14">
            <v>1</v>
          </cell>
          <cell r="H14" t="str">
            <v>Randy Cameron</v>
          </cell>
          <cell r="I14" t="str">
            <v>President and CEO</v>
          </cell>
          <cell r="J14" t="str">
            <v>CEO</v>
          </cell>
          <cell r="K14">
            <v>693.59424999999999</v>
          </cell>
          <cell r="L14">
            <v>1529.58925</v>
          </cell>
          <cell r="M14">
            <v>228333</v>
          </cell>
          <cell r="N14">
            <v>342499.5</v>
          </cell>
          <cell r="O14">
            <v>342499.5</v>
          </cell>
          <cell r="P14">
            <v>140000</v>
          </cell>
          <cell r="Q14">
            <v>210000</v>
          </cell>
          <cell r="R14">
            <v>0.61313958122566603</v>
          </cell>
          <cell r="S14">
            <v>0.61313958122566603</v>
          </cell>
          <cell r="T14">
            <v>210000</v>
          </cell>
          <cell r="U14">
            <v>552499.5</v>
          </cell>
          <cell r="V14">
            <v>552499.5</v>
          </cell>
          <cell r="W14" t="str">
            <v>input</v>
          </cell>
          <cell r="X14" t="str">
            <v>input</v>
          </cell>
          <cell r="Y14" t="str">
            <v>input</v>
          </cell>
          <cell r="Z14">
            <v>133320</v>
          </cell>
          <cell r="AA14" t="str">
            <v>input</v>
          </cell>
          <cell r="AB14">
            <v>133320</v>
          </cell>
          <cell r="AC14">
            <v>0.38925604270955139</v>
          </cell>
          <cell r="AD14">
            <v>0.38925604270955139</v>
          </cell>
          <cell r="AE14">
            <v>133320</v>
          </cell>
          <cell r="AF14">
            <v>685819.5</v>
          </cell>
          <cell r="AG14">
            <v>685819.5</v>
          </cell>
          <cell r="AH14">
            <v>0</v>
          </cell>
          <cell r="AI14">
            <v>0</v>
          </cell>
          <cell r="AJ14">
            <v>685819.5</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row>
        <row r="15">
          <cell r="A15" t="str">
            <v>tsx:DIR.UN__2013</v>
          </cell>
          <cell r="B15" t="str">
            <v>tsx:DIR.UN</v>
          </cell>
          <cell r="C15" t="str">
            <v>Dream Industrial Real Estate Investment Trust</v>
          </cell>
          <cell r="D15">
            <v>2013</v>
          </cell>
          <cell r="E15">
            <v>5.333333333333333</v>
          </cell>
          <cell r="F15" t="str">
            <v>CAD</v>
          </cell>
          <cell r="G15">
            <v>1</v>
          </cell>
          <cell r="H15" t="str">
            <v>John Todd</v>
          </cell>
          <cell r="I15" t="str">
            <v>CFO</v>
          </cell>
          <cell r="J15">
            <v>0</v>
          </cell>
          <cell r="K15">
            <v>693.59424999999999</v>
          </cell>
          <cell r="L15">
            <v>1529.58925</v>
          </cell>
          <cell r="M15">
            <v>120167</v>
          </cell>
          <cell r="N15">
            <v>270375.75</v>
          </cell>
          <cell r="O15">
            <v>270375.75</v>
          </cell>
          <cell r="P15">
            <v>130000</v>
          </cell>
          <cell r="Q15">
            <v>292500</v>
          </cell>
          <cell r="R15">
            <v>1.0818277896593906</v>
          </cell>
          <cell r="S15">
            <v>1.0818277896593906</v>
          </cell>
          <cell r="T15">
            <v>292500</v>
          </cell>
          <cell r="U15">
            <v>562875.75</v>
          </cell>
          <cell r="V15">
            <v>562875.75</v>
          </cell>
          <cell r="W15">
            <v>0</v>
          </cell>
          <cell r="X15">
            <v>0</v>
          </cell>
          <cell r="Y15">
            <v>0</v>
          </cell>
          <cell r="Z15">
            <v>0</v>
          </cell>
          <cell r="AA15">
            <v>0</v>
          </cell>
          <cell r="AB15">
            <v>0</v>
          </cell>
          <cell r="AC15">
            <v>0</v>
          </cell>
          <cell r="AD15" t="str">
            <v>n/d</v>
          </cell>
          <cell r="AE15">
            <v>0</v>
          </cell>
          <cell r="AF15">
            <v>562875.75</v>
          </cell>
          <cell r="AG15">
            <v>0</v>
          </cell>
          <cell r="AH15">
            <v>0</v>
          </cell>
          <cell r="AI15">
            <v>0</v>
          </cell>
          <cell r="AJ15">
            <v>562875.75</v>
          </cell>
          <cell r="AK15" t="str">
            <v>*</v>
          </cell>
          <cell r="AL15">
            <v>0</v>
          </cell>
          <cell r="AM15">
            <v>0</v>
          </cell>
          <cell r="AO15">
            <v>0</v>
          </cell>
          <cell r="AP15">
            <v>0</v>
          </cell>
          <cell r="AR15">
            <v>0</v>
          </cell>
          <cell r="AS15">
            <v>0</v>
          </cell>
          <cell r="AT15">
            <v>0</v>
          </cell>
          <cell r="AU15">
            <v>0</v>
          </cell>
          <cell r="AV15">
            <v>0</v>
          </cell>
          <cell r="AW15">
            <v>0</v>
          </cell>
          <cell r="AX15">
            <v>7.32</v>
          </cell>
          <cell r="AY15">
            <v>0</v>
          </cell>
          <cell r="AZ15">
            <v>0</v>
          </cell>
          <cell r="BA15">
            <v>0</v>
          </cell>
          <cell r="BB15">
            <v>0</v>
          </cell>
          <cell r="BC15">
            <v>0</v>
          </cell>
          <cell r="BD15">
            <v>0</v>
          </cell>
          <cell r="BE15">
            <v>0</v>
          </cell>
          <cell r="BF15">
            <v>0</v>
          </cell>
          <cell r="BG15">
            <v>0</v>
          </cell>
          <cell r="BH15">
            <v>0</v>
          </cell>
          <cell r="BI15" t="str">
            <v xml:space="preserve">Erin </v>
          </cell>
          <cell r="BJ15">
            <v>0</v>
          </cell>
        </row>
        <row r="16">
          <cell r="A16" t="str">
            <v>tsx:DIR.UN__2012</v>
          </cell>
          <cell r="B16" t="str">
            <v>tsx:DIR.UN</v>
          </cell>
          <cell r="C16" t="str">
            <v>Dream Industrial Real Estate Investment Trust</v>
          </cell>
          <cell r="D16">
            <v>2012</v>
          </cell>
          <cell r="E16">
            <v>12</v>
          </cell>
          <cell r="F16" t="str">
            <v>CAD</v>
          </cell>
          <cell r="G16">
            <v>1</v>
          </cell>
          <cell r="H16">
            <v>0</v>
          </cell>
          <cell r="I16">
            <v>0</v>
          </cell>
          <cell r="J16">
            <v>0</v>
          </cell>
          <cell r="K16">
            <v>693.59424999999999</v>
          </cell>
          <cell r="L16">
            <v>1529.58925</v>
          </cell>
          <cell r="M16">
            <v>0</v>
          </cell>
          <cell r="N16">
            <v>0</v>
          </cell>
          <cell r="O16">
            <v>0</v>
          </cell>
          <cell r="P16">
            <v>0</v>
          </cell>
          <cell r="Q16">
            <v>0</v>
          </cell>
          <cell r="R16" t="str">
            <v>input</v>
          </cell>
          <cell r="S16">
            <v>0</v>
          </cell>
          <cell r="T16">
            <v>0</v>
          </cell>
          <cell r="U16">
            <v>0</v>
          </cell>
          <cell r="V16">
            <v>0</v>
          </cell>
          <cell r="W16">
            <v>0</v>
          </cell>
          <cell r="X16">
            <v>0</v>
          </cell>
          <cell r="Y16">
            <v>0</v>
          </cell>
          <cell r="Z16">
            <v>0</v>
          </cell>
          <cell r="AA16">
            <v>0</v>
          </cell>
          <cell r="AB16">
            <v>0</v>
          </cell>
          <cell r="AC16" t="str">
            <v>input</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row>
        <row r="17">
          <cell r="A17" t="str">
            <v>tsx:DIR.UN__2011</v>
          </cell>
          <cell r="B17" t="str">
            <v>tsx:DIR.UN</v>
          </cell>
          <cell r="C17" t="str">
            <v>Dream Industrial Real Estate Investment Trust</v>
          </cell>
          <cell r="D17">
            <v>2011</v>
          </cell>
          <cell r="E17">
            <v>12</v>
          </cell>
          <cell r="F17" t="str">
            <v>CAD</v>
          </cell>
          <cell r="G17">
            <v>1</v>
          </cell>
          <cell r="H17">
            <v>0</v>
          </cell>
          <cell r="I17">
            <v>0</v>
          </cell>
          <cell r="J17">
            <v>0</v>
          </cell>
          <cell r="K17">
            <v>693.59424999999999</v>
          </cell>
          <cell r="L17">
            <v>1529.58925</v>
          </cell>
          <cell r="M17">
            <v>0</v>
          </cell>
          <cell r="N17">
            <v>0</v>
          </cell>
          <cell r="O17">
            <v>0</v>
          </cell>
          <cell r="P17">
            <v>0</v>
          </cell>
          <cell r="Q17">
            <v>0</v>
          </cell>
          <cell r="R17" t="str">
            <v>input</v>
          </cell>
          <cell r="S17">
            <v>0</v>
          </cell>
          <cell r="T17">
            <v>0</v>
          </cell>
          <cell r="U17">
            <v>0</v>
          </cell>
          <cell r="V17">
            <v>0</v>
          </cell>
          <cell r="W17">
            <v>0</v>
          </cell>
          <cell r="X17">
            <v>0</v>
          </cell>
          <cell r="Y17">
            <v>0</v>
          </cell>
          <cell r="Z17">
            <v>0</v>
          </cell>
          <cell r="AA17">
            <v>0</v>
          </cell>
          <cell r="AB17">
            <v>0</v>
          </cell>
          <cell r="AC17" t="str">
            <v>input</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row>
        <row r="18">
          <cell r="A18" t="str">
            <v>tsx:DIR.UN_CFO_Target</v>
          </cell>
          <cell r="B18" t="str">
            <v>tsx:DIR.UN</v>
          </cell>
          <cell r="C18" t="str">
            <v>Dream Industrial Real Estate Investment Trust</v>
          </cell>
          <cell r="D18" t="str">
            <v>Target</v>
          </cell>
          <cell r="E18">
            <v>5.333333333333333</v>
          </cell>
          <cell r="F18" t="str">
            <v>CAD</v>
          </cell>
          <cell r="G18">
            <v>1</v>
          </cell>
          <cell r="H18" t="str">
            <v>John Todd</v>
          </cell>
          <cell r="I18" t="str">
            <v>CFO</v>
          </cell>
          <cell r="J18" t="str">
            <v>CFO</v>
          </cell>
          <cell r="K18">
            <v>693.59424999999999</v>
          </cell>
          <cell r="L18">
            <v>1529.58925</v>
          </cell>
          <cell r="M18">
            <v>120167</v>
          </cell>
          <cell r="N18">
            <v>270375.75</v>
          </cell>
          <cell r="O18">
            <v>270375.75</v>
          </cell>
          <cell r="P18">
            <v>130000</v>
          </cell>
          <cell r="Q18">
            <v>292500</v>
          </cell>
          <cell r="R18">
            <v>1.0818277896593906</v>
          </cell>
          <cell r="S18">
            <v>1.0818277896593906</v>
          </cell>
          <cell r="T18">
            <v>292500</v>
          </cell>
          <cell r="U18">
            <v>562875.75</v>
          </cell>
          <cell r="V18">
            <v>562875.75</v>
          </cell>
          <cell r="W18" t="str">
            <v>input</v>
          </cell>
          <cell r="X18" t="str">
            <v>input</v>
          </cell>
          <cell r="Y18" t="str">
            <v>input</v>
          </cell>
          <cell r="Z18" t="str">
            <v>input</v>
          </cell>
          <cell r="AA18" t="str">
            <v>input</v>
          </cell>
          <cell r="AB18">
            <v>0</v>
          </cell>
          <cell r="AC18">
            <v>0</v>
          </cell>
          <cell r="AD18">
            <v>0</v>
          </cell>
          <cell r="AE18">
            <v>0</v>
          </cell>
          <cell r="AF18">
            <v>562875.75</v>
          </cell>
          <cell r="AG18">
            <v>562875.75</v>
          </cell>
          <cell r="AH18">
            <v>0</v>
          </cell>
          <cell r="AI18">
            <v>0</v>
          </cell>
          <cell r="AJ18">
            <v>562875.75</v>
          </cell>
          <cell r="AK18" t="str">
            <v>*</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row>
        <row r="19">
          <cell r="A19" t="str">
            <v>tsx:DIR.UN_CFO_Target</v>
          </cell>
          <cell r="B19" t="str">
            <v>tsx:DIR.UN</v>
          </cell>
          <cell r="C19" t="str">
            <v>Dream Industrial Real Estate Investment Trust</v>
          </cell>
          <cell r="D19" t="str">
            <v>Target</v>
          </cell>
          <cell r="E19">
            <v>5.333333333333333</v>
          </cell>
          <cell r="F19" t="str">
            <v>CAD</v>
          </cell>
          <cell r="G19">
            <v>1</v>
          </cell>
          <cell r="H19" t="str">
            <v>John Todd</v>
          </cell>
          <cell r="I19" t="str">
            <v>CFO</v>
          </cell>
          <cell r="J19" t="str">
            <v>CFO</v>
          </cell>
          <cell r="K19">
            <v>693.59424999999999</v>
          </cell>
          <cell r="L19">
            <v>1529.58925</v>
          </cell>
          <cell r="M19">
            <v>120167</v>
          </cell>
          <cell r="N19">
            <v>270375.75</v>
          </cell>
          <cell r="O19">
            <v>270375.75</v>
          </cell>
          <cell r="P19">
            <v>130000</v>
          </cell>
          <cell r="Q19">
            <v>292500</v>
          </cell>
          <cell r="R19">
            <v>1.0818277896593906</v>
          </cell>
          <cell r="S19">
            <v>1.0818277896593906</v>
          </cell>
          <cell r="T19">
            <v>292500</v>
          </cell>
          <cell r="U19">
            <v>562875.75</v>
          </cell>
          <cell r="V19">
            <v>562875.75</v>
          </cell>
          <cell r="W19" t="str">
            <v>input</v>
          </cell>
          <cell r="X19" t="str">
            <v>input</v>
          </cell>
          <cell r="Y19" t="str">
            <v>input</v>
          </cell>
          <cell r="Z19" t="str">
            <v>input</v>
          </cell>
          <cell r="AA19" t="str">
            <v>input</v>
          </cell>
          <cell r="AB19">
            <v>0</v>
          </cell>
          <cell r="AC19">
            <v>0</v>
          </cell>
          <cell r="AD19">
            <v>0</v>
          </cell>
          <cell r="AE19">
            <v>0</v>
          </cell>
          <cell r="AF19">
            <v>562875.75</v>
          </cell>
          <cell r="AG19">
            <v>562875.75</v>
          </cell>
          <cell r="AH19">
            <v>0</v>
          </cell>
          <cell r="AI19">
            <v>0</v>
          </cell>
          <cell r="AJ19">
            <v>562875.75</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row>
        <row r="20">
          <cell r="A20" t="str">
            <v>tsx:CRR.UN__2013</v>
          </cell>
          <cell r="B20" t="str">
            <v>tsx:CRR.UN</v>
          </cell>
          <cell r="C20" t="str">
            <v>Crombie Real Estate Investment Trust</v>
          </cell>
          <cell r="D20">
            <v>2013</v>
          </cell>
          <cell r="E20">
            <v>12</v>
          </cell>
          <cell r="F20" t="str">
            <v>CAD</v>
          </cell>
          <cell r="G20">
            <v>1</v>
          </cell>
          <cell r="H20" t="str">
            <v>Donald E. Clow</v>
          </cell>
          <cell r="I20" t="str">
            <v>CEO</v>
          </cell>
          <cell r="J20">
            <v>0</v>
          </cell>
          <cell r="K20">
            <v>1742.27972</v>
          </cell>
          <cell r="L20">
            <v>3793.9657200000001</v>
          </cell>
          <cell r="M20">
            <v>510000</v>
          </cell>
          <cell r="N20">
            <v>510000</v>
          </cell>
          <cell r="O20">
            <v>510000</v>
          </cell>
          <cell r="P20">
            <v>621371</v>
          </cell>
          <cell r="Q20">
            <v>621371</v>
          </cell>
          <cell r="R20">
            <v>1.2183745098039216</v>
          </cell>
          <cell r="S20">
            <v>0.75</v>
          </cell>
          <cell r="T20">
            <v>382500</v>
          </cell>
          <cell r="U20">
            <v>1131371</v>
          </cell>
          <cell r="V20">
            <v>892500</v>
          </cell>
          <cell r="W20">
            <v>0</v>
          </cell>
          <cell r="X20">
            <v>0</v>
          </cell>
          <cell r="Y20">
            <v>0</v>
          </cell>
          <cell r="Z20">
            <v>0</v>
          </cell>
          <cell r="AA20">
            <v>543800</v>
          </cell>
          <cell r="AB20">
            <v>543800</v>
          </cell>
          <cell r="AC20">
            <v>1.0662745098039215</v>
          </cell>
          <cell r="AD20">
            <v>0.75</v>
          </cell>
          <cell r="AE20">
            <v>543800</v>
          </cell>
          <cell r="AF20">
            <v>1675171</v>
          </cell>
          <cell r="AG20">
            <v>0</v>
          </cell>
          <cell r="AH20">
            <v>209070</v>
          </cell>
          <cell r="AI20">
            <v>0</v>
          </cell>
          <cell r="AJ20">
            <v>1884241</v>
          </cell>
          <cell r="AK20" t="str">
            <v>targets disclosed</v>
          </cell>
          <cell r="AL20" t="str">
            <v>targets disclosed</v>
          </cell>
          <cell r="AM20" t="str">
            <v xml:space="preserve">Clow (Crombie, tsx:CRR.UN) was awarded $220,000 in recognition of the closing of successful acquisitions in 2014, which has been excluded from this analysis. </v>
          </cell>
          <cell r="AO20">
            <v>0</v>
          </cell>
          <cell r="AP20">
            <v>0</v>
          </cell>
          <cell r="AR20">
            <v>0</v>
          </cell>
          <cell r="AS20">
            <v>0</v>
          </cell>
          <cell r="AT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row>
        <row r="21">
          <cell r="A21" t="str">
            <v>tsx:CRR.UN__2012</v>
          </cell>
          <cell r="B21" t="str">
            <v>tsx:CRR.UN</v>
          </cell>
          <cell r="C21" t="str">
            <v>Crombie Real Estate Investment Trust</v>
          </cell>
          <cell r="D21">
            <v>2012</v>
          </cell>
          <cell r="E21">
            <v>12</v>
          </cell>
          <cell r="F21" t="str">
            <v>CAD</v>
          </cell>
          <cell r="G21">
            <v>1</v>
          </cell>
          <cell r="H21" t="str">
            <v>Donald E. Clow</v>
          </cell>
          <cell r="I21" t="str">
            <v>CEO</v>
          </cell>
          <cell r="J21">
            <v>0</v>
          </cell>
          <cell r="K21">
            <v>1742.27972</v>
          </cell>
          <cell r="L21">
            <v>3793.9657200000001</v>
          </cell>
          <cell r="M21">
            <v>450000</v>
          </cell>
          <cell r="N21">
            <v>450000</v>
          </cell>
          <cell r="O21">
            <v>0</v>
          </cell>
          <cell r="P21">
            <v>414000</v>
          </cell>
          <cell r="Q21">
            <v>414000</v>
          </cell>
          <cell r="R21">
            <v>0.92</v>
          </cell>
          <cell r="S21">
            <v>0</v>
          </cell>
          <cell r="T21">
            <v>0</v>
          </cell>
          <cell r="U21">
            <v>0</v>
          </cell>
          <cell r="V21">
            <v>0</v>
          </cell>
          <cell r="W21">
            <v>0</v>
          </cell>
          <cell r="X21">
            <v>0</v>
          </cell>
          <cell r="Y21">
            <v>0</v>
          </cell>
          <cell r="Z21">
            <v>0</v>
          </cell>
          <cell r="AA21">
            <v>413572</v>
          </cell>
          <cell r="AB21">
            <v>413572</v>
          </cell>
          <cell r="AC21">
            <v>0.91904888888888892</v>
          </cell>
          <cell r="AD21">
            <v>0</v>
          </cell>
          <cell r="AE21">
            <v>413572</v>
          </cell>
          <cell r="AF21">
            <v>1277572</v>
          </cell>
          <cell r="AG21">
            <v>0</v>
          </cell>
          <cell r="AH21">
            <v>159020</v>
          </cell>
          <cell r="AI21">
            <v>0</v>
          </cell>
          <cell r="AJ21">
            <v>1436592</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row>
        <row r="22">
          <cell r="A22" t="str">
            <v>tsx:CRR.UN__2011</v>
          </cell>
          <cell r="B22" t="str">
            <v>tsx:CRR.UN</v>
          </cell>
          <cell r="C22" t="str">
            <v>Crombie Real Estate Investment Trust</v>
          </cell>
          <cell r="D22">
            <v>2011</v>
          </cell>
          <cell r="E22">
            <v>12</v>
          </cell>
          <cell r="F22" t="str">
            <v>CAD</v>
          </cell>
          <cell r="G22">
            <v>1</v>
          </cell>
          <cell r="H22" t="str">
            <v>Donald E. Clow</v>
          </cell>
          <cell r="I22" t="str">
            <v>CEO</v>
          </cell>
          <cell r="J22">
            <v>0</v>
          </cell>
          <cell r="K22">
            <v>1742.27972</v>
          </cell>
          <cell r="L22">
            <v>3793.9657200000001</v>
          </cell>
          <cell r="M22">
            <v>400000</v>
          </cell>
          <cell r="N22">
            <v>400000</v>
          </cell>
          <cell r="O22">
            <v>0</v>
          </cell>
          <cell r="P22">
            <v>292280</v>
          </cell>
          <cell r="Q22">
            <v>292280</v>
          </cell>
          <cell r="R22">
            <v>0.73070000000000002</v>
          </cell>
          <cell r="S22">
            <v>0</v>
          </cell>
          <cell r="T22">
            <v>0</v>
          </cell>
          <cell r="U22">
            <v>0</v>
          </cell>
          <cell r="V22">
            <v>0</v>
          </cell>
          <cell r="W22">
            <v>0</v>
          </cell>
          <cell r="X22">
            <v>0</v>
          </cell>
          <cell r="Y22">
            <v>0</v>
          </cell>
          <cell r="Z22">
            <v>0</v>
          </cell>
          <cell r="AA22">
            <v>223480</v>
          </cell>
          <cell r="AB22">
            <v>223480</v>
          </cell>
          <cell r="AC22">
            <v>0.55869999999999997</v>
          </cell>
          <cell r="AD22">
            <v>0</v>
          </cell>
          <cell r="AE22">
            <v>223480</v>
          </cell>
          <cell r="AF22">
            <v>915760</v>
          </cell>
          <cell r="AG22">
            <v>0</v>
          </cell>
          <cell r="AH22">
            <v>92570</v>
          </cell>
          <cell r="AI22">
            <v>0</v>
          </cell>
          <cell r="AJ22">
            <v>1008330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row>
        <row r="23">
          <cell r="A23" t="str">
            <v>tsx:CRR.UN_CEO_Target</v>
          </cell>
          <cell r="B23" t="str">
            <v>tsx:CRR.UN</v>
          </cell>
          <cell r="C23" t="str">
            <v>Crombie Real Estate Investment Trust</v>
          </cell>
          <cell r="D23" t="str">
            <v>Target</v>
          </cell>
          <cell r="E23">
            <v>12</v>
          </cell>
          <cell r="F23" t="str">
            <v>CAD</v>
          </cell>
          <cell r="G23">
            <v>1</v>
          </cell>
          <cell r="H23" t="str">
            <v>Donald E. Clow</v>
          </cell>
          <cell r="I23" t="str">
            <v>CEO</v>
          </cell>
          <cell r="J23" t="str">
            <v>CEO</v>
          </cell>
          <cell r="K23">
            <v>1742.27972</v>
          </cell>
          <cell r="L23">
            <v>3793.9657200000001</v>
          </cell>
          <cell r="M23">
            <v>510000</v>
          </cell>
          <cell r="N23">
            <v>510000</v>
          </cell>
          <cell r="O23">
            <v>510000</v>
          </cell>
          <cell r="P23">
            <v>621371</v>
          </cell>
          <cell r="Q23">
            <v>621371</v>
          </cell>
          <cell r="R23">
            <v>1.2183745098039216</v>
          </cell>
          <cell r="S23">
            <v>0.75</v>
          </cell>
          <cell r="T23">
            <v>382500</v>
          </cell>
          <cell r="U23">
            <v>1131371</v>
          </cell>
          <cell r="V23">
            <v>892500</v>
          </cell>
          <cell r="W23" t="str">
            <v>input</v>
          </cell>
          <cell r="X23" t="str">
            <v>input</v>
          </cell>
          <cell r="Y23" t="str">
            <v>input</v>
          </cell>
          <cell r="Z23" t="str">
            <v>input</v>
          </cell>
          <cell r="AA23">
            <v>393617.33333333331</v>
          </cell>
          <cell r="AB23">
            <v>543800</v>
          </cell>
          <cell r="AC23">
            <v>0.84800779956427019</v>
          </cell>
          <cell r="AD23">
            <v>0.75</v>
          </cell>
          <cell r="AE23">
            <v>432483.97777777782</v>
          </cell>
          <cell r="AF23">
            <v>1675171</v>
          </cell>
          <cell r="AG23">
            <v>1324983.9777777777</v>
          </cell>
          <cell r="AH23">
            <v>209070</v>
          </cell>
          <cell r="AI23">
            <v>0</v>
          </cell>
          <cell r="AJ23">
            <v>1884241</v>
          </cell>
          <cell r="AK23" t="str">
            <v>targets disclosed</v>
          </cell>
          <cell r="AL23" t="str">
            <v>targets disclosed</v>
          </cell>
          <cell r="AM23" t="str">
            <v xml:space="preserve">Clow (Crombie, tsx:CRR.UN) was awarded $220,000 in recognition of the closing of successful acquisitions in 2014, which has been excluded from this analysis. </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row>
        <row r="24">
          <cell r="A24" t="str">
            <v>tsx:CRR.UN_CEO_Target</v>
          </cell>
          <cell r="B24" t="str">
            <v>tsx:CRR.UN</v>
          </cell>
          <cell r="C24" t="str">
            <v>Crombie Real Estate Investment Trust</v>
          </cell>
          <cell r="D24" t="str">
            <v>Target</v>
          </cell>
          <cell r="E24">
            <v>12</v>
          </cell>
          <cell r="F24" t="str">
            <v>CAD</v>
          </cell>
          <cell r="G24">
            <v>1</v>
          </cell>
          <cell r="H24" t="str">
            <v>Donald E. Clow</v>
          </cell>
          <cell r="I24" t="str">
            <v>CEO</v>
          </cell>
          <cell r="J24" t="str">
            <v>CEO</v>
          </cell>
          <cell r="K24">
            <v>1742.27972</v>
          </cell>
          <cell r="L24">
            <v>3793.9657200000001</v>
          </cell>
          <cell r="M24">
            <v>510000</v>
          </cell>
          <cell r="N24">
            <v>510000</v>
          </cell>
          <cell r="O24">
            <v>510000</v>
          </cell>
          <cell r="P24">
            <v>621371</v>
          </cell>
          <cell r="Q24">
            <v>621371</v>
          </cell>
          <cell r="R24">
            <v>1.2183745098039216</v>
          </cell>
          <cell r="S24">
            <v>0.75</v>
          </cell>
          <cell r="T24">
            <v>382500</v>
          </cell>
          <cell r="U24">
            <v>1131371</v>
          </cell>
          <cell r="V24">
            <v>892500</v>
          </cell>
          <cell r="W24" t="str">
            <v>input</v>
          </cell>
          <cell r="X24" t="str">
            <v>input</v>
          </cell>
          <cell r="Y24" t="str">
            <v>input</v>
          </cell>
          <cell r="Z24" t="str">
            <v>input</v>
          </cell>
          <cell r="AA24">
            <v>393617.33333333331</v>
          </cell>
          <cell r="AB24">
            <v>543800</v>
          </cell>
          <cell r="AC24">
            <v>0.84800779956427019</v>
          </cell>
          <cell r="AD24">
            <v>0.75</v>
          </cell>
          <cell r="AE24">
            <v>432483.97777777782</v>
          </cell>
          <cell r="AF24">
            <v>1675171</v>
          </cell>
          <cell r="AG24">
            <v>1324983.9777777777</v>
          </cell>
          <cell r="AH24">
            <v>209070</v>
          </cell>
          <cell r="AI24">
            <v>0</v>
          </cell>
          <cell r="AJ24">
            <v>1884241</v>
          </cell>
          <cell r="AK24">
            <v>0</v>
          </cell>
          <cell r="AL24">
            <v>0</v>
          </cell>
          <cell r="AM24" t="str">
            <v xml:space="preserve">Clow (Crombie, tsx:CRR.UN) was awarded $220,000 in recognition of the closing of successful acquisitions in 2014, which has been excluded from this analysis. </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row>
        <row r="25">
          <cell r="A25" t="str">
            <v>tsx:CRR.UN__2013</v>
          </cell>
          <cell r="B25" t="str">
            <v>tsx:CRR.UN</v>
          </cell>
          <cell r="C25" t="str">
            <v>Crombie Real Estate Investment Trust</v>
          </cell>
          <cell r="D25">
            <v>2013</v>
          </cell>
          <cell r="E25">
            <v>12</v>
          </cell>
          <cell r="F25" t="str">
            <v>CAD</v>
          </cell>
          <cell r="G25">
            <v>1</v>
          </cell>
          <cell r="H25" t="str">
            <v>Glen Hynes</v>
          </cell>
          <cell r="I25" t="str">
            <v>EVP, CFO, Secretary</v>
          </cell>
          <cell r="J25">
            <v>0</v>
          </cell>
          <cell r="K25">
            <v>1742.27972</v>
          </cell>
          <cell r="L25">
            <v>3793.9657200000001</v>
          </cell>
          <cell r="M25">
            <v>340011</v>
          </cell>
          <cell r="N25">
            <v>340011</v>
          </cell>
          <cell r="O25">
            <v>340011</v>
          </cell>
          <cell r="P25">
            <v>280424</v>
          </cell>
          <cell r="Q25">
            <v>280424</v>
          </cell>
          <cell r="R25">
            <v>0.82474978750687478</v>
          </cell>
          <cell r="S25">
            <v>0.5</v>
          </cell>
          <cell r="T25">
            <v>170005.5</v>
          </cell>
          <cell r="U25">
            <v>620435</v>
          </cell>
          <cell r="V25">
            <v>510016.5</v>
          </cell>
          <cell r="W25">
            <v>0</v>
          </cell>
          <cell r="X25">
            <v>0</v>
          </cell>
          <cell r="Y25">
            <v>0</v>
          </cell>
          <cell r="Z25">
            <v>0</v>
          </cell>
          <cell r="AA25">
            <v>241697</v>
          </cell>
          <cell r="AB25">
            <v>241697</v>
          </cell>
          <cell r="AC25">
            <v>0.71085053130634013</v>
          </cell>
          <cell r="AD25">
            <v>0.5</v>
          </cell>
          <cell r="AE25">
            <v>241697</v>
          </cell>
          <cell r="AF25">
            <v>862132</v>
          </cell>
          <cell r="AG25">
            <v>0</v>
          </cell>
          <cell r="AH25">
            <v>83570</v>
          </cell>
          <cell r="AI25">
            <v>0</v>
          </cell>
          <cell r="AJ25">
            <v>945702</v>
          </cell>
          <cell r="AK25" t="str">
            <v>***</v>
          </cell>
          <cell r="AL25" t="str">
            <v>***</v>
          </cell>
          <cell r="AM25" t="str">
            <v xml:space="preserve">Hynes (Crombie, tsx:CRR.UN) was awarded $125,000 in recognition of the closing of successful acquisitions in 2014, which has been excluded from this analysis. </v>
          </cell>
          <cell r="AO25">
            <v>0</v>
          </cell>
          <cell r="AP25">
            <v>0</v>
          </cell>
          <cell r="AR25">
            <v>0</v>
          </cell>
          <cell r="AS25">
            <v>0</v>
          </cell>
          <cell r="AT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row>
        <row r="26">
          <cell r="A26" t="str">
            <v>tsx:CRR.UN__2012</v>
          </cell>
          <cell r="B26" t="str">
            <v>tsx:CRR.UN</v>
          </cell>
          <cell r="C26" t="str">
            <v>Crombie Real Estate Investment Trust</v>
          </cell>
          <cell r="D26">
            <v>2012</v>
          </cell>
          <cell r="E26">
            <v>12</v>
          </cell>
          <cell r="F26" t="str">
            <v>CAD</v>
          </cell>
          <cell r="G26">
            <v>1</v>
          </cell>
          <cell r="H26" t="str">
            <v>Glen Hynes</v>
          </cell>
          <cell r="I26" t="str">
            <v>CFO, Secretary</v>
          </cell>
          <cell r="J26">
            <v>0</v>
          </cell>
          <cell r="K26">
            <v>1742.27972</v>
          </cell>
          <cell r="L26">
            <v>3793.9657200000001</v>
          </cell>
          <cell r="M26">
            <v>310020</v>
          </cell>
          <cell r="N26">
            <v>310020</v>
          </cell>
          <cell r="O26">
            <v>0</v>
          </cell>
          <cell r="P26">
            <v>267857</v>
          </cell>
          <cell r="Q26">
            <v>267857</v>
          </cell>
          <cell r="R26">
            <v>0.86399909683246245</v>
          </cell>
          <cell r="S26">
            <v>0</v>
          </cell>
          <cell r="T26">
            <v>0</v>
          </cell>
          <cell r="U26">
            <v>0</v>
          </cell>
          <cell r="V26">
            <v>0</v>
          </cell>
          <cell r="W26">
            <v>0</v>
          </cell>
          <cell r="X26">
            <v>0</v>
          </cell>
          <cell r="Y26">
            <v>0</v>
          </cell>
          <cell r="Z26">
            <v>0</v>
          </cell>
          <cell r="AA26">
            <v>170954</v>
          </cell>
          <cell r="AB26">
            <v>170954</v>
          </cell>
          <cell r="AC26">
            <v>0.55142894006838272</v>
          </cell>
          <cell r="AD26">
            <v>0</v>
          </cell>
          <cell r="AE26">
            <v>170954</v>
          </cell>
          <cell r="AF26">
            <v>748831</v>
          </cell>
          <cell r="AG26">
            <v>0</v>
          </cell>
          <cell r="AH26">
            <v>71520</v>
          </cell>
          <cell r="AI26">
            <v>0</v>
          </cell>
          <cell r="AJ26">
            <v>820351</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row>
        <row r="27">
          <cell r="A27" t="str">
            <v>tsx:CRR.UN__2011</v>
          </cell>
          <cell r="B27" t="str">
            <v>tsx:CRR.UN</v>
          </cell>
          <cell r="C27" t="str">
            <v>Crombie Real Estate Investment Trust</v>
          </cell>
          <cell r="D27">
            <v>2011</v>
          </cell>
          <cell r="E27">
            <v>12</v>
          </cell>
          <cell r="F27" t="str">
            <v>CAD</v>
          </cell>
          <cell r="G27">
            <v>1</v>
          </cell>
          <cell r="H27" t="str">
            <v>Glen Hynes</v>
          </cell>
          <cell r="I27" t="str">
            <v>CFO, Secretary</v>
          </cell>
          <cell r="J27">
            <v>0</v>
          </cell>
          <cell r="K27">
            <v>1742.27972</v>
          </cell>
          <cell r="L27">
            <v>3793.9657200000001</v>
          </cell>
          <cell r="M27">
            <v>275007</v>
          </cell>
          <cell r="N27">
            <v>275007</v>
          </cell>
          <cell r="O27">
            <v>0</v>
          </cell>
          <cell r="P27">
            <v>180853</v>
          </cell>
          <cell r="Q27">
            <v>180853</v>
          </cell>
          <cell r="R27">
            <v>0.65763053304097718</v>
          </cell>
          <cell r="S27">
            <v>0</v>
          </cell>
          <cell r="T27">
            <v>0</v>
          </cell>
          <cell r="U27">
            <v>0</v>
          </cell>
          <cell r="V27">
            <v>0</v>
          </cell>
          <cell r="W27">
            <v>0</v>
          </cell>
          <cell r="X27">
            <v>0</v>
          </cell>
          <cell r="Y27">
            <v>0</v>
          </cell>
          <cell r="Z27">
            <v>0</v>
          </cell>
          <cell r="AA27">
            <v>92188</v>
          </cell>
          <cell r="AB27">
            <v>92188</v>
          </cell>
          <cell r="AC27">
            <v>0.33522055802215944</v>
          </cell>
          <cell r="AD27">
            <v>0</v>
          </cell>
          <cell r="AE27">
            <v>92188</v>
          </cell>
          <cell r="AF27">
            <v>548048</v>
          </cell>
          <cell r="AG27">
            <v>0</v>
          </cell>
          <cell r="AH27">
            <v>49070</v>
          </cell>
          <cell r="AI27">
            <v>0</v>
          </cell>
          <cell r="AJ27">
            <v>597118</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row>
        <row r="28">
          <cell r="A28" t="str">
            <v>tsx:CRR.UN_CFO_Target</v>
          </cell>
          <cell r="B28" t="str">
            <v>tsx:CRR.UN</v>
          </cell>
          <cell r="C28" t="str">
            <v>Crombie Real Estate Investment Trust</v>
          </cell>
          <cell r="D28" t="str">
            <v>Target</v>
          </cell>
          <cell r="E28">
            <v>12</v>
          </cell>
          <cell r="F28" t="str">
            <v>CAD</v>
          </cell>
          <cell r="G28">
            <v>1</v>
          </cell>
          <cell r="H28" t="str">
            <v>Glen Hynes</v>
          </cell>
          <cell r="I28" t="str">
            <v>EVP, CFO, Secretary</v>
          </cell>
          <cell r="J28" t="str">
            <v>CFO</v>
          </cell>
          <cell r="K28">
            <v>1742.27972</v>
          </cell>
          <cell r="L28">
            <v>3793.9657200000001</v>
          </cell>
          <cell r="M28">
            <v>340011</v>
          </cell>
          <cell r="N28">
            <v>340011</v>
          </cell>
          <cell r="O28">
            <v>340011</v>
          </cell>
          <cell r="P28">
            <v>280424</v>
          </cell>
          <cell r="Q28">
            <v>280424</v>
          </cell>
          <cell r="R28">
            <v>0.82474978750687478</v>
          </cell>
          <cell r="S28">
            <v>0.5</v>
          </cell>
          <cell r="T28">
            <v>170005.5</v>
          </cell>
          <cell r="U28">
            <v>620435</v>
          </cell>
          <cell r="V28">
            <v>510016.5</v>
          </cell>
          <cell r="W28" t="str">
            <v>input</v>
          </cell>
          <cell r="X28" t="str">
            <v>input</v>
          </cell>
          <cell r="Y28" t="str">
            <v>input</v>
          </cell>
          <cell r="Z28" t="str">
            <v>input</v>
          </cell>
          <cell r="AA28">
            <v>168279.66666666666</v>
          </cell>
          <cell r="AB28">
            <v>241697</v>
          </cell>
          <cell r="AC28">
            <v>0.53250000979896073</v>
          </cell>
          <cell r="AD28">
            <v>0.5</v>
          </cell>
          <cell r="AE28">
            <v>181055.86083175443</v>
          </cell>
          <cell r="AF28">
            <v>862132</v>
          </cell>
          <cell r="AG28">
            <v>691072.3608317544</v>
          </cell>
          <cell r="AH28">
            <v>83570</v>
          </cell>
          <cell r="AI28">
            <v>0</v>
          </cell>
          <cell r="AJ28">
            <v>945702</v>
          </cell>
          <cell r="AK28" t="str">
            <v>***</v>
          </cell>
          <cell r="AL28" t="str">
            <v>***</v>
          </cell>
          <cell r="AM28" t="str">
            <v xml:space="preserve">Hynes (Crombie, tsx:CRR.UN) was awarded $125,000 in recognition of the closing of successful acquisitions in 2014, which has been excluded from this analysis. </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row>
        <row r="29">
          <cell r="A29" t="str">
            <v>tsx:CRR.UN_CFO_Target</v>
          </cell>
          <cell r="B29" t="str">
            <v>tsx:CRR.UN</v>
          </cell>
          <cell r="C29" t="str">
            <v>Crombie Real Estate Investment Trust</v>
          </cell>
          <cell r="D29" t="str">
            <v>Target</v>
          </cell>
          <cell r="E29">
            <v>12</v>
          </cell>
          <cell r="F29" t="str">
            <v>CAD</v>
          </cell>
          <cell r="G29">
            <v>1</v>
          </cell>
          <cell r="H29" t="str">
            <v>Glen Hynes</v>
          </cell>
          <cell r="I29" t="str">
            <v>EVP, CFO, Secretary</v>
          </cell>
          <cell r="J29" t="str">
            <v>CFO</v>
          </cell>
          <cell r="K29">
            <v>1742.27972</v>
          </cell>
          <cell r="L29">
            <v>3793.9657200000001</v>
          </cell>
          <cell r="M29">
            <v>340011</v>
          </cell>
          <cell r="N29">
            <v>340011</v>
          </cell>
          <cell r="O29">
            <v>340011</v>
          </cell>
          <cell r="P29">
            <v>280424</v>
          </cell>
          <cell r="Q29">
            <v>280424</v>
          </cell>
          <cell r="R29">
            <v>0.82474978750687478</v>
          </cell>
          <cell r="S29">
            <v>0.5</v>
          </cell>
          <cell r="T29">
            <v>170005.5</v>
          </cell>
          <cell r="U29">
            <v>620435</v>
          </cell>
          <cell r="V29">
            <v>510016.5</v>
          </cell>
          <cell r="W29" t="str">
            <v>input</v>
          </cell>
          <cell r="X29" t="str">
            <v>input</v>
          </cell>
          <cell r="Y29" t="str">
            <v>input</v>
          </cell>
          <cell r="Z29" t="str">
            <v>input</v>
          </cell>
          <cell r="AA29">
            <v>168279.66666666666</v>
          </cell>
          <cell r="AB29">
            <v>241697</v>
          </cell>
          <cell r="AC29">
            <v>0.53250000979896073</v>
          </cell>
          <cell r="AD29">
            <v>0.5</v>
          </cell>
          <cell r="AE29">
            <v>181055.86083175443</v>
          </cell>
          <cell r="AF29">
            <v>862132</v>
          </cell>
          <cell r="AG29">
            <v>691072.3608317544</v>
          </cell>
          <cell r="AH29">
            <v>83570</v>
          </cell>
          <cell r="AI29">
            <v>0</v>
          </cell>
          <cell r="AJ29">
            <v>945702</v>
          </cell>
          <cell r="AK29">
            <v>0</v>
          </cell>
          <cell r="AL29">
            <v>0</v>
          </cell>
          <cell r="AM29" t="str">
            <v xml:space="preserve">Hynes (Crombie, tsx:CRR.UN) was awarded $125,000 in recognition of the closing of successful acquisitions in 2014, which has been excluded from this analysis. </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row>
        <row r="30">
          <cell r="A30" t="str">
            <v>tsx:AX.UN__2013</v>
          </cell>
          <cell r="B30" t="str">
            <v>tsx:AX.UN</v>
          </cell>
          <cell r="C30" t="str">
            <v>Artis Real Estate Investment Trust</v>
          </cell>
          <cell r="D30">
            <v>2013</v>
          </cell>
          <cell r="E30">
            <v>12</v>
          </cell>
          <cell r="F30" t="str">
            <v>CAD</v>
          </cell>
          <cell r="G30">
            <v>1</v>
          </cell>
          <cell r="H30" t="str">
            <v>Armin Martens</v>
          </cell>
          <cell r="I30" t="str">
            <v>President and CEO</v>
          </cell>
          <cell r="J30">
            <v>0</v>
          </cell>
          <cell r="K30">
            <v>2133.7934399999999</v>
          </cell>
          <cell r="L30">
            <v>4910.8204400000004</v>
          </cell>
          <cell r="M30">
            <v>750000</v>
          </cell>
          <cell r="N30">
            <v>750000</v>
          </cell>
          <cell r="O30">
            <v>750000</v>
          </cell>
          <cell r="P30">
            <v>980000</v>
          </cell>
          <cell r="Q30">
            <v>980000</v>
          </cell>
          <cell r="R30">
            <v>1.3066666666666666</v>
          </cell>
          <cell r="S30">
            <v>1.3033333333333332</v>
          </cell>
          <cell r="T30">
            <v>977499.99999999988</v>
          </cell>
          <cell r="U30">
            <v>1730000</v>
          </cell>
          <cell r="V30">
            <v>1727500</v>
          </cell>
          <cell r="W30">
            <v>1306823</v>
          </cell>
          <cell r="X30">
            <v>0</v>
          </cell>
          <cell r="Y30">
            <v>0</v>
          </cell>
          <cell r="Z30">
            <v>0</v>
          </cell>
          <cell r="AA30">
            <v>0</v>
          </cell>
          <cell r="AB30">
            <v>1306823</v>
          </cell>
          <cell r="AC30">
            <v>1.7424306666666667</v>
          </cell>
          <cell r="AD30">
            <v>1.1345486666666666</v>
          </cell>
          <cell r="AE30">
            <v>1306823</v>
          </cell>
          <cell r="AF30">
            <v>3036823</v>
          </cell>
          <cell r="AG30">
            <v>0</v>
          </cell>
          <cell r="AH30">
            <v>813518</v>
          </cell>
          <cell r="AI30">
            <v>174663</v>
          </cell>
          <cell r="AJ30">
            <v>4025004</v>
          </cell>
          <cell r="AK30" t="str">
            <v>**</v>
          </cell>
          <cell r="AL30" t="str">
            <v>**</v>
          </cell>
          <cell r="AM30" t="str">
            <v xml:space="preserve">STIP and LTIP targets for Martens (Artis, tsx:AX.UN) did not consider 2011 compensation as Artis was internalized in 2012. All other compensation included: distributions on restricted units, employer contributions to Artis' RSP program, and other perquisites and benefits. </v>
          </cell>
          <cell r="AO30">
            <v>0</v>
          </cell>
          <cell r="AP30">
            <v>0</v>
          </cell>
          <cell r="AR30">
            <v>0</v>
          </cell>
          <cell r="AS30">
            <v>0</v>
          </cell>
          <cell r="AT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row>
        <row r="31">
          <cell r="A31" t="str">
            <v>tsx:AX.UN__2012</v>
          </cell>
          <cell r="B31" t="str">
            <v>tsx:AX.UN</v>
          </cell>
          <cell r="C31" t="str">
            <v>Artis Real Estate Investment Trust</v>
          </cell>
          <cell r="D31">
            <v>2012</v>
          </cell>
          <cell r="E31">
            <v>12</v>
          </cell>
          <cell r="F31" t="str">
            <v>CAD</v>
          </cell>
          <cell r="G31">
            <v>1</v>
          </cell>
          <cell r="H31" t="str">
            <v>Armin Martens</v>
          </cell>
          <cell r="I31" t="str">
            <v>President and CEO</v>
          </cell>
          <cell r="J31">
            <v>0</v>
          </cell>
          <cell r="K31">
            <v>2133.7934399999999</v>
          </cell>
          <cell r="L31">
            <v>4910.8204400000004</v>
          </cell>
          <cell r="M31">
            <v>750000</v>
          </cell>
          <cell r="N31">
            <v>750000</v>
          </cell>
          <cell r="O31">
            <v>0</v>
          </cell>
          <cell r="P31">
            <v>975000</v>
          </cell>
          <cell r="Q31">
            <v>975000</v>
          </cell>
          <cell r="R31">
            <v>1.3</v>
          </cell>
          <cell r="S31">
            <v>0</v>
          </cell>
          <cell r="T31">
            <v>0</v>
          </cell>
          <cell r="U31">
            <v>0</v>
          </cell>
          <cell r="V31">
            <v>0</v>
          </cell>
          <cell r="W31">
            <v>395000</v>
          </cell>
          <cell r="X31">
            <v>0</v>
          </cell>
          <cell r="Y31">
            <v>0</v>
          </cell>
          <cell r="Z31">
            <v>0</v>
          </cell>
          <cell r="AA31">
            <v>0</v>
          </cell>
          <cell r="AB31">
            <v>395000</v>
          </cell>
          <cell r="AC31">
            <v>0.52666666666666662</v>
          </cell>
          <cell r="AD31">
            <v>0</v>
          </cell>
          <cell r="AE31">
            <v>395000</v>
          </cell>
          <cell r="AF31">
            <v>2120000</v>
          </cell>
          <cell r="AG31">
            <v>0</v>
          </cell>
          <cell r="AH31">
            <v>692972</v>
          </cell>
          <cell r="AI31">
            <v>146124</v>
          </cell>
          <cell r="AJ31">
            <v>2959096</v>
          </cell>
          <cell r="AK31">
            <v>0</v>
          </cell>
          <cell r="AL31">
            <v>0</v>
          </cell>
          <cell r="AM31" t="str">
            <v>Stock option grants for 2012 were granted with exercise price equal to current price, didn't record as compensation since FV = 0.  Do we need to value these options and add iin an imputed value for LTIP?</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row>
        <row r="32">
          <cell r="A32" t="str">
            <v>tsx:AX.UN__2011</v>
          </cell>
          <cell r="B32" t="str">
            <v>tsx:AX.UN</v>
          </cell>
          <cell r="C32" t="str">
            <v>Artis Real Estate Investment Trust</v>
          </cell>
          <cell r="D32">
            <v>2011</v>
          </cell>
          <cell r="E32">
            <v>12</v>
          </cell>
          <cell r="F32" t="str">
            <v>CAD</v>
          </cell>
          <cell r="G32">
            <v>1</v>
          </cell>
          <cell r="H32">
            <v>0</v>
          </cell>
          <cell r="I32">
            <v>0</v>
          </cell>
          <cell r="J32">
            <v>0</v>
          </cell>
          <cell r="K32">
            <v>2133.7934399999999</v>
          </cell>
          <cell r="L32">
            <v>4910.8204400000004</v>
          </cell>
          <cell r="M32">
            <v>0</v>
          </cell>
          <cell r="N32">
            <v>0</v>
          </cell>
          <cell r="O32">
            <v>0</v>
          </cell>
          <cell r="P32">
            <v>0</v>
          </cell>
          <cell r="Q32">
            <v>0</v>
          </cell>
          <cell r="R32" t="str">
            <v>input</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row>
        <row r="33">
          <cell r="A33" t="str">
            <v>tsx:AX.UN_CEO_Target</v>
          </cell>
          <cell r="B33" t="str">
            <v>tsx:AX.UN</v>
          </cell>
          <cell r="C33" t="str">
            <v>Artis Real Estate Investment Trust</v>
          </cell>
          <cell r="D33" t="str">
            <v>Target</v>
          </cell>
          <cell r="E33">
            <v>12</v>
          </cell>
          <cell r="F33" t="str">
            <v>CAD</v>
          </cell>
          <cell r="G33">
            <v>1</v>
          </cell>
          <cell r="H33" t="str">
            <v>Armin Martens</v>
          </cell>
          <cell r="I33" t="str">
            <v>President and CEO</v>
          </cell>
          <cell r="J33" t="str">
            <v>CEO</v>
          </cell>
          <cell r="K33">
            <v>2133.7934399999999</v>
          </cell>
          <cell r="L33">
            <v>4910.8204400000004</v>
          </cell>
          <cell r="M33">
            <v>750000</v>
          </cell>
          <cell r="N33">
            <v>750000</v>
          </cell>
          <cell r="O33">
            <v>750000</v>
          </cell>
          <cell r="P33">
            <v>980000</v>
          </cell>
          <cell r="Q33">
            <v>980000</v>
          </cell>
          <cell r="R33">
            <v>1.3066666666666666</v>
          </cell>
          <cell r="S33">
            <v>1.3033333333333332</v>
          </cell>
          <cell r="T33">
            <v>977499.99999999988</v>
          </cell>
          <cell r="U33">
            <v>1730000</v>
          </cell>
          <cell r="V33">
            <v>1727500</v>
          </cell>
          <cell r="W33">
            <v>850911.5</v>
          </cell>
          <cell r="X33" t="str">
            <v>input</v>
          </cell>
          <cell r="Y33" t="str">
            <v>input</v>
          </cell>
          <cell r="Z33" t="str">
            <v>input</v>
          </cell>
          <cell r="AA33" t="str">
            <v>input</v>
          </cell>
          <cell r="AB33">
            <v>1306823</v>
          </cell>
          <cell r="AC33">
            <v>1.1345486666666666</v>
          </cell>
          <cell r="AD33">
            <v>1.1345486666666666</v>
          </cell>
          <cell r="AE33">
            <v>850911.5</v>
          </cell>
          <cell r="AF33">
            <v>3036823</v>
          </cell>
          <cell r="AG33">
            <v>2578411.5</v>
          </cell>
          <cell r="AH33">
            <v>813518</v>
          </cell>
          <cell r="AI33">
            <v>0</v>
          </cell>
          <cell r="AJ33">
            <v>3850341</v>
          </cell>
          <cell r="AK33" t="str">
            <v>**</v>
          </cell>
          <cell r="AL33" t="str">
            <v>**</v>
          </cell>
          <cell r="AM33" t="str">
            <v xml:space="preserve">STIP and LTIP targets for Martens (Artis, tsx:AX.UN) did not consider 2011 compensation as Artis was internalized in 2012. All other compensation included: distributions on restricted units, employer contributions to Artis' RSP program, and other perquisites and benefits. </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row>
        <row r="34">
          <cell r="A34" t="str">
            <v>tsx:AX.UN_CEO_Target</v>
          </cell>
          <cell r="B34" t="str">
            <v>tsx:AX.UN</v>
          </cell>
          <cell r="C34" t="str">
            <v>Artis Real Estate Investment Trust</v>
          </cell>
          <cell r="D34" t="str">
            <v>Target</v>
          </cell>
          <cell r="E34">
            <v>12</v>
          </cell>
          <cell r="F34" t="str">
            <v>CAD</v>
          </cell>
          <cell r="G34">
            <v>1</v>
          </cell>
          <cell r="H34" t="str">
            <v>Armin Martens</v>
          </cell>
          <cell r="I34" t="str">
            <v>President and CEO</v>
          </cell>
          <cell r="J34" t="str">
            <v>CEO</v>
          </cell>
          <cell r="K34">
            <v>2133.7934399999999</v>
          </cell>
          <cell r="L34">
            <v>4910.8204400000004</v>
          </cell>
          <cell r="M34">
            <v>750000</v>
          </cell>
          <cell r="N34">
            <v>750000</v>
          </cell>
          <cell r="O34">
            <v>750000</v>
          </cell>
          <cell r="P34">
            <v>980000</v>
          </cell>
          <cell r="Q34">
            <v>980000</v>
          </cell>
          <cell r="R34">
            <v>1.3066666666666666</v>
          </cell>
          <cell r="S34">
            <v>1.3033333333333332</v>
          </cell>
          <cell r="T34">
            <v>977499.99999999988</v>
          </cell>
          <cell r="U34">
            <v>1730000</v>
          </cell>
          <cell r="V34">
            <v>1727500</v>
          </cell>
          <cell r="W34">
            <v>850911.5</v>
          </cell>
          <cell r="X34" t="str">
            <v>input</v>
          </cell>
          <cell r="Y34" t="str">
            <v>input</v>
          </cell>
          <cell r="Z34" t="str">
            <v>input</v>
          </cell>
          <cell r="AA34" t="str">
            <v>input</v>
          </cell>
          <cell r="AB34">
            <v>1306823</v>
          </cell>
          <cell r="AC34">
            <v>1.1345486666666666</v>
          </cell>
          <cell r="AD34">
            <v>1.1345486666666666</v>
          </cell>
          <cell r="AE34">
            <v>850911.5</v>
          </cell>
          <cell r="AF34">
            <v>3036823</v>
          </cell>
          <cell r="AG34">
            <v>2578411.5</v>
          </cell>
          <cell r="AH34">
            <v>813518</v>
          </cell>
          <cell r="AI34">
            <v>0</v>
          </cell>
          <cell r="AJ34">
            <v>3850341</v>
          </cell>
          <cell r="AK34">
            <v>0</v>
          </cell>
          <cell r="AL34">
            <v>0</v>
          </cell>
          <cell r="AM34" t="str">
            <v>Stock option grants for 2012 were granted with exercise price equal to current price, didn't record as compensation since FV = 0.  Do we need to value these options and add iin an imputed value for LTIP?</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row>
        <row r="35">
          <cell r="A35" t="str">
            <v>tsx:AX.UN__2013</v>
          </cell>
          <cell r="B35" t="str">
            <v>tsx:AX.UN</v>
          </cell>
          <cell r="C35" t="str">
            <v>Artis Real Estate Investment Trust</v>
          </cell>
          <cell r="D35">
            <v>2013</v>
          </cell>
          <cell r="E35">
            <v>12</v>
          </cell>
          <cell r="F35" t="str">
            <v>CAD</v>
          </cell>
          <cell r="G35">
            <v>1</v>
          </cell>
          <cell r="H35" t="str">
            <v>James Green</v>
          </cell>
          <cell r="I35" t="str">
            <v>CFO</v>
          </cell>
          <cell r="J35">
            <v>0</v>
          </cell>
          <cell r="K35">
            <v>2133.7934399999999</v>
          </cell>
          <cell r="L35">
            <v>4910.8204400000004</v>
          </cell>
          <cell r="M35">
            <v>300000</v>
          </cell>
          <cell r="N35">
            <v>300000</v>
          </cell>
          <cell r="O35">
            <v>300000</v>
          </cell>
          <cell r="P35">
            <v>170000</v>
          </cell>
          <cell r="Q35">
            <v>170000</v>
          </cell>
          <cell r="R35">
            <v>0.56666666666666665</v>
          </cell>
          <cell r="S35">
            <v>0.56666666666666665</v>
          </cell>
          <cell r="T35">
            <v>170000</v>
          </cell>
          <cell r="U35">
            <v>470000</v>
          </cell>
          <cell r="V35">
            <v>470000</v>
          </cell>
          <cell r="W35">
            <v>288449</v>
          </cell>
          <cell r="X35">
            <v>0</v>
          </cell>
          <cell r="Y35">
            <v>0</v>
          </cell>
          <cell r="Z35">
            <v>0</v>
          </cell>
          <cell r="AA35">
            <v>0</v>
          </cell>
          <cell r="AB35">
            <v>288449</v>
          </cell>
          <cell r="AC35">
            <v>0.96149666666666667</v>
          </cell>
          <cell r="AD35">
            <v>0.61366500000000002</v>
          </cell>
          <cell r="AE35">
            <v>288449</v>
          </cell>
          <cell r="AF35">
            <v>758449</v>
          </cell>
          <cell r="AG35">
            <v>0</v>
          </cell>
          <cell r="AH35">
            <v>267103</v>
          </cell>
          <cell r="AI35">
            <v>108831</v>
          </cell>
          <cell r="AJ35">
            <v>1134383</v>
          </cell>
          <cell r="AK35" t="str">
            <v>**</v>
          </cell>
          <cell r="AL35" t="str">
            <v>**</v>
          </cell>
          <cell r="AM35" t="str">
            <v xml:space="preserve">STIP and LTIP targets for Green (Artis, tsx:AX.UN) did not consider 2011 compensation as Artis was internalized in 2012. All other compensation included: distributions on restricted units, employer contributions to Artis' RSP program, and other perquisites and benefits. </v>
          </cell>
          <cell r="AO35">
            <v>0</v>
          </cell>
          <cell r="AP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row>
        <row r="36">
          <cell r="A36" t="str">
            <v>tsx:AX.UN__2012</v>
          </cell>
          <cell r="B36" t="str">
            <v>tsx:AX.UN</v>
          </cell>
          <cell r="C36" t="str">
            <v>Artis Real Estate Investment Trust</v>
          </cell>
          <cell r="D36">
            <v>2012</v>
          </cell>
          <cell r="E36">
            <v>12</v>
          </cell>
          <cell r="F36" t="str">
            <v>CAD</v>
          </cell>
          <cell r="G36">
            <v>1</v>
          </cell>
          <cell r="H36" t="str">
            <v>James Green</v>
          </cell>
          <cell r="I36" t="str">
            <v>CFO</v>
          </cell>
          <cell r="J36">
            <v>0</v>
          </cell>
          <cell r="K36">
            <v>2133.7934399999999</v>
          </cell>
          <cell r="L36">
            <v>4910.8204400000004</v>
          </cell>
          <cell r="M36">
            <v>300000</v>
          </cell>
          <cell r="N36">
            <v>300000</v>
          </cell>
          <cell r="O36">
            <v>0</v>
          </cell>
          <cell r="P36">
            <v>170000</v>
          </cell>
          <cell r="Q36">
            <v>170000</v>
          </cell>
          <cell r="R36">
            <v>0.56666666666666665</v>
          </cell>
          <cell r="S36">
            <v>0</v>
          </cell>
          <cell r="T36">
            <v>0</v>
          </cell>
          <cell r="U36">
            <v>0</v>
          </cell>
          <cell r="V36">
            <v>0</v>
          </cell>
          <cell r="W36">
            <v>79750</v>
          </cell>
          <cell r="X36">
            <v>0</v>
          </cell>
          <cell r="Y36">
            <v>0</v>
          </cell>
          <cell r="Z36">
            <v>0</v>
          </cell>
          <cell r="AA36">
            <v>0</v>
          </cell>
          <cell r="AB36">
            <v>79750</v>
          </cell>
          <cell r="AC36">
            <v>0.26583333333333331</v>
          </cell>
          <cell r="AD36">
            <v>0</v>
          </cell>
          <cell r="AE36">
            <v>79750</v>
          </cell>
          <cell r="AF36">
            <v>549750</v>
          </cell>
          <cell r="AG36">
            <v>0</v>
          </cell>
          <cell r="AH36">
            <v>218183</v>
          </cell>
          <cell r="AI36">
            <v>101587</v>
          </cell>
          <cell r="AJ36">
            <v>869520</v>
          </cell>
          <cell r="AK36">
            <v>0</v>
          </cell>
          <cell r="AL36">
            <v>0</v>
          </cell>
          <cell r="AM36" t="str">
            <v>Stock option grants for 2012 were granted with exercise price equal to current price, didn't record as compensation since FV = 0.  Do we need to value these options and add iin an imputed value for LTIP?</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row>
        <row r="37">
          <cell r="A37" t="str">
            <v>tsx:AX.UN__2011</v>
          </cell>
          <cell r="B37" t="str">
            <v>tsx:AX.UN</v>
          </cell>
          <cell r="C37" t="str">
            <v>Artis Real Estate Investment Trust</v>
          </cell>
          <cell r="D37">
            <v>2011</v>
          </cell>
          <cell r="E37">
            <v>12</v>
          </cell>
          <cell r="F37" t="str">
            <v>CAD</v>
          </cell>
          <cell r="G37">
            <v>1</v>
          </cell>
          <cell r="H37">
            <v>0</v>
          </cell>
          <cell r="I37">
            <v>0</v>
          </cell>
          <cell r="J37">
            <v>0</v>
          </cell>
          <cell r="K37">
            <v>2133.7934399999999</v>
          </cell>
          <cell r="L37">
            <v>4910.8204400000004</v>
          </cell>
          <cell r="M37">
            <v>0</v>
          </cell>
          <cell r="N37">
            <v>0</v>
          </cell>
          <cell r="O37">
            <v>0</v>
          </cell>
          <cell r="P37">
            <v>0</v>
          </cell>
          <cell r="Q37">
            <v>0</v>
          </cell>
          <cell r="R37" t="str">
            <v>input</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row>
        <row r="38">
          <cell r="A38" t="str">
            <v>tsx:AX.UN_CFO_Target</v>
          </cell>
          <cell r="B38" t="str">
            <v>tsx:AX.UN</v>
          </cell>
          <cell r="C38" t="str">
            <v>Artis Real Estate Investment Trust</v>
          </cell>
          <cell r="D38" t="str">
            <v>Target</v>
          </cell>
          <cell r="E38">
            <v>12</v>
          </cell>
          <cell r="F38" t="str">
            <v>CAD</v>
          </cell>
          <cell r="G38">
            <v>1</v>
          </cell>
          <cell r="H38" t="str">
            <v>James Green</v>
          </cell>
          <cell r="I38" t="str">
            <v>CFO</v>
          </cell>
          <cell r="J38" t="str">
            <v>CFO</v>
          </cell>
          <cell r="K38">
            <v>2133.7934399999999</v>
          </cell>
          <cell r="L38">
            <v>4910.8204400000004</v>
          </cell>
          <cell r="M38">
            <v>300000</v>
          </cell>
          <cell r="N38">
            <v>300000</v>
          </cell>
          <cell r="O38">
            <v>300000</v>
          </cell>
          <cell r="P38">
            <v>170000</v>
          </cell>
          <cell r="Q38">
            <v>170000</v>
          </cell>
          <cell r="R38">
            <v>0.56666666666666665</v>
          </cell>
          <cell r="S38">
            <v>0.56666666666666665</v>
          </cell>
          <cell r="T38">
            <v>170000</v>
          </cell>
          <cell r="U38">
            <v>470000</v>
          </cell>
          <cell r="V38">
            <v>470000</v>
          </cell>
          <cell r="W38">
            <v>184099.5</v>
          </cell>
          <cell r="X38" t="str">
            <v>input</v>
          </cell>
          <cell r="Y38" t="str">
            <v>input</v>
          </cell>
          <cell r="Z38" t="str">
            <v>input</v>
          </cell>
          <cell r="AA38" t="str">
            <v>input</v>
          </cell>
          <cell r="AB38">
            <v>288449</v>
          </cell>
          <cell r="AC38">
            <v>0.61366500000000002</v>
          </cell>
          <cell r="AD38">
            <v>0.61366500000000002</v>
          </cell>
          <cell r="AE38">
            <v>184099.5</v>
          </cell>
          <cell r="AF38">
            <v>758449</v>
          </cell>
          <cell r="AG38">
            <v>654099.5</v>
          </cell>
          <cell r="AH38">
            <v>267103</v>
          </cell>
          <cell r="AI38">
            <v>0</v>
          </cell>
          <cell r="AJ38">
            <v>1025552</v>
          </cell>
          <cell r="AK38" t="str">
            <v>**</v>
          </cell>
          <cell r="AL38" t="str">
            <v>**</v>
          </cell>
          <cell r="AM38" t="str">
            <v xml:space="preserve">STIP and LTIP targets for Green (Artis, tsx:AX.UN) did not consider 2011 compensation as Artis was internalized in 2012. All other compensation included: distributions on restricted units, employer contributions to Artis' RSP program, and other perquisites and benefits. </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row>
        <row r="39">
          <cell r="A39" t="str">
            <v>tsx:AX.UN_CFO_Target</v>
          </cell>
          <cell r="B39" t="str">
            <v>tsx:AX.UN</v>
          </cell>
          <cell r="C39" t="str">
            <v>Artis Real Estate Investment Trust</v>
          </cell>
          <cell r="D39" t="str">
            <v>Target</v>
          </cell>
          <cell r="E39">
            <v>12</v>
          </cell>
          <cell r="F39" t="str">
            <v>CAD</v>
          </cell>
          <cell r="G39">
            <v>1</v>
          </cell>
          <cell r="H39" t="str">
            <v>James Green</v>
          </cell>
          <cell r="I39" t="str">
            <v>CFO</v>
          </cell>
          <cell r="J39" t="str">
            <v>CFO</v>
          </cell>
          <cell r="K39">
            <v>2133.7934399999999</v>
          </cell>
          <cell r="L39">
            <v>4910.8204400000004</v>
          </cell>
          <cell r="M39">
            <v>300000</v>
          </cell>
          <cell r="N39">
            <v>300000</v>
          </cell>
          <cell r="O39">
            <v>300000</v>
          </cell>
          <cell r="P39">
            <v>170000</v>
          </cell>
          <cell r="Q39">
            <v>170000</v>
          </cell>
          <cell r="R39">
            <v>0.56666666666666665</v>
          </cell>
          <cell r="S39">
            <v>0.56666666666666665</v>
          </cell>
          <cell r="T39">
            <v>170000</v>
          </cell>
          <cell r="U39">
            <v>470000</v>
          </cell>
          <cell r="V39">
            <v>470000</v>
          </cell>
          <cell r="W39">
            <v>184099.5</v>
          </cell>
          <cell r="X39" t="str">
            <v>input</v>
          </cell>
          <cell r="Y39" t="str">
            <v>input</v>
          </cell>
          <cell r="Z39" t="str">
            <v>input</v>
          </cell>
          <cell r="AA39" t="str">
            <v>input</v>
          </cell>
          <cell r="AB39">
            <v>288449</v>
          </cell>
          <cell r="AC39">
            <v>0.61366500000000002</v>
          </cell>
          <cell r="AD39">
            <v>0.61366500000000002</v>
          </cell>
          <cell r="AE39">
            <v>184099.5</v>
          </cell>
          <cell r="AF39">
            <v>758449</v>
          </cell>
          <cell r="AG39">
            <v>654099.5</v>
          </cell>
          <cell r="AH39">
            <v>267103</v>
          </cell>
          <cell r="AI39">
            <v>0</v>
          </cell>
          <cell r="AJ39">
            <v>1025552</v>
          </cell>
          <cell r="AK39">
            <v>0</v>
          </cell>
          <cell r="AL39">
            <v>0</v>
          </cell>
          <cell r="AM39" t="str">
            <v>Stock option grants for 2012 were granted with exercise price equal to current price, didn't record as compensation since FV = 0.  Do we need to value these options and add iin an imputed value for LTIP?</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row>
        <row r="40">
          <cell r="A40" t="str">
            <v>tsx:NPR.UN__2013</v>
          </cell>
          <cell r="B40" t="str">
            <v>tsx:NPR.UN</v>
          </cell>
          <cell r="C40" t="str">
            <v>Northern Property Real Estate Investment Trust</v>
          </cell>
          <cell r="D40">
            <v>2013</v>
          </cell>
          <cell r="E40">
            <v>12</v>
          </cell>
          <cell r="F40" t="str">
            <v>CAD</v>
          </cell>
          <cell r="G40">
            <v>1</v>
          </cell>
          <cell r="H40" t="str">
            <v>James Britton</v>
          </cell>
          <cell r="I40" t="str">
            <v>CEO</v>
          </cell>
          <cell r="J40">
            <v>0</v>
          </cell>
          <cell r="K40">
            <v>921.92682000000002</v>
          </cell>
          <cell r="L40">
            <v>1603.02682</v>
          </cell>
          <cell r="M40">
            <v>771650</v>
          </cell>
          <cell r="N40">
            <v>771650</v>
          </cell>
          <cell r="O40">
            <v>771650</v>
          </cell>
          <cell r="P40">
            <v>231496</v>
          </cell>
          <cell r="Q40">
            <v>231496</v>
          </cell>
          <cell r="R40">
            <v>0.30000129592431801</v>
          </cell>
          <cell r="S40">
            <v>0.30000023926004665</v>
          </cell>
          <cell r="T40">
            <v>231495.18462501501</v>
          </cell>
          <cell r="U40">
            <v>1003146</v>
          </cell>
          <cell r="V40">
            <v>1003145.184625015</v>
          </cell>
          <cell r="W40">
            <v>0</v>
          </cell>
          <cell r="X40">
            <v>385826</v>
          </cell>
          <cell r="Y40">
            <v>0</v>
          </cell>
          <cell r="Z40">
            <v>0</v>
          </cell>
          <cell r="AA40">
            <v>0</v>
          </cell>
          <cell r="AB40">
            <v>385826</v>
          </cell>
          <cell r="AC40">
            <v>0.50000129592431797</v>
          </cell>
          <cell r="AD40">
            <v>0.50000043197477273</v>
          </cell>
          <cell r="AE40">
            <v>385826</v>
          </cell>
          <cell r="AF40">
            <v>1388972</v>
          </cell>
          <cell r="AG40">
            <v>0</v>
          </cell>
          <cell r="AH40">
            <v>0</v>
          </cell>
          <cell r="AI40">
            <v>0</v>
          </cell>
          <cell r="AJ40">
            <v>1388972</v>
          </cell>
          <cell r="AK40" t="str">
            <v>***</v>
          </cell>
          <cell r="AL40" t="str">
            <v>***</v>
          </cell>
          <cell r="AM40" t="str">
            <v xml:space="preserve"> Effective January 1, 2013, Britton’s (Northern Property REIT, tsx:NPR.UN) base salary was decreased to $385,825 as he transitions in his role from President and CEO to CEO on an "other than full time" basis. His salary and bonus have
effectively been halved from 2012 levels. As such, his salary and benefits have been doubled in our analysis. LTIP award represents a performance-based award of restricted units.</v>
          </cell>
          <cell r="AN40">
            <v>0</v>
          </cell>
          <cell r="AO40">
            <v>0</v>
          </cell>
          <cell r="AP40">
            <v>0</v>
          </cell>
          <cell r="AQ40">
            <v>0</v>
          </cell>
          <cell r="AR40">
            <v>0</v>
          </cell>
          <cell r="AS40">
            <v>0</v>
          </cell>
          <cell r="AT40">
            <v>0</v>
          </cell>
          <cell r="AU40">
            <v>41639</v>
          </cell>
          <cell r="AV40">
            <v>6951.8198198198197</v>
          </cell>
          <cell r="AW40">
            <v>27.75</v>
          </cell>
          <cell r="AX40">
            <v>0</v>
          </cell>
          <cell r="AY40">
            <v>0</v>
          </cell>
          <cell r="AZ40">
            <v>0</v>
          </cell>
          <cell r="BA40">
            <v>0</v>
          </cell>
          <cell r="BB40">
            <v>0</v>
          </cell>
          <cell r="BC40">
            <v>0</v>
          </cell>
          <cell r="BD40">
            <v>0</v>
          </cell>
          <cell r="BE40">
            <v>0</v>
          </cell>
          <cell r="BF40">
            <v>0</v>
          </cell>
          <cell r="BG40">
            <v>0</v>
          </cell>
          <cell r="BH40">
            <v>0</v>
          </cell>
          <cell r="BI40">
            <v>0</v>
          </cell>
          <cell r="BJ40">
            <v>0</v>
          </cell>
        </row>
        <row r="41">
          <cell r="A41" t="str">
            <v>tsx:NPR.UN__2012</v>
          </cell>
          <cell r="B41" t="str">
            <v>tsx:NPR.UN</v>
          </cell>
          <cell r="C41" t="str">
            <v>Northern Property Real Estate Investment Trust</v>
          </cell>
          <cell r="D41">
            <v>2012</v>
          </cell>
          <cell r="E41">
            <v>12</v>
          </cell>
          <cell r="F41" t="str">
            <v>CAD</v>
          </cell>
          <cell r="G41">
            <v>1</v>
          </cell>
          <cell r="H41" t="str">
            <v>James Britton</v>
          </cell>
          <cell r="I41" t="str">
            <v>CEO</v>
          </cell>
          <cell r="J41">
            <v>0</v>
          </cell>
          <cell r="K41">
            <v>921.92682000000002</v>
          </cell>
          <cell r="L41">
            <v>1603.02682</v>
          </cell>
          <cell r="M41">
            <v>717814</v>
          </cell>
          <cell r="N41">
            <v>717814</v>
          </cell>
          <cell r="O41">
            <v>0</v>
          </cell>
          <cell r="P41">
            <v>215344</v>
          </cell>
          <cell r="Q41">
            <v>215344</v>
          </cell>
          <cell r="R41">
            <v>0.29999972137628966</v>
          </cell>
          <cell r="S41">
            <v>0</v>
          </cell>
          <cell r="T41">
            <v>0</v>
          </cell>
          <cell r="U41">
            <v>0</v>
          </cell>
          <cell r="V41">
            <v>0</v>
          </cell>
          <cell r="W41">
            <v>0</v>
          </cell>
          <cell r="X41">
            <v>358907</v>
          </cell>
          <cell r="Y41">
            <v>0</v>
          </cell>
          <cell r="Z41">
            <v>0</v>
          </cell>
          <cell r="AA41">
            <v>0</v>
          </cell>
          <cell r="AB41">
            <v>358907</v>
          </cell>
          <cell r="AC41">
            <v>0.5</v>
          </cell>
          <cell r="AD41">
            <v>0</v>
          </cell>
          <cell r="AE41">
            <v>358907</v>
          </cell>
          <cell r="AF41">
            <v>1292065</v>
          </cell>
          <cell r="AG41">
            <v>0</v>
          </cell>
          <cell r="AH41">
            <v>0</v>
          </cell>
          <cell r="AI41">
            <v>0</v>
          </cell>
          <cell r="AJ41">
            <v>1292065</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row>
        <row r="42">
          <cell r="A42" t="str">
            <v>tsx:NPR.UN__2011</v>
          </cell>
          <cell r="B42" t="str">
            <v>tsx:NPR.UN</v>
          </cell>
          <cell r="C42" t="str">
            <v>Northern Property Real Estate Investment Trust</v>
          </cell>
          <cell r="D42">
            <v>2011</v>
          </cell>
          <cell r="E42">
            <v>12</v>
          </cell>
          <cell r="F42" t="str">
            <v>CAD</v>
          </cell>
          <cell r="G42">
            <v>1</v>
          </cell>
          <cell r="H42" t="str">
            <v>James Britton</v>
          </cell>
          <cell r="I42" t="str">
            <v>CEO</v>
          </cell>
          <cell r="J42">
            <v>0</v>
          </cell>
          <cell r="K42">
            <v>921.92682000000002</v>
          </cell>
          <cell r="L42">
            <v>1603.02682</v>
          </cell>
          <cell r="M42">
            <v>667734</v>
          </cell>
          <cell r="N42">
            <v>667734</v>
          </cell>
          <cell r="O42">
            <v>0</v>
          </cell>
          <cell r="P42">
            <v>200320</v>
          </cell>
          <cell r="Q42">
            <v>200320</v>
          </cell>
          <cell r="R42">
            <v>0.29999970047953228</v>
          </cell>
          <cell r="S42">
            <v>0</v>
          </cell>
          <cell r="T42">
            <v>0</v>
          </cell>
          <cell r="U42">
            <v>0</v>
          </cell>
          <cell r="V42">
            <v>0</v>
          </cell>
          <cell r="W42">
            <v>0</v>
          </cell>
          <cell r="X42">
            <v>333867</v>
          </cell>
          <cell r="Y42">
            <v>0</v>
          </cell>
          <cell r="Z42">
            <v>0</v>
          </cell>
          <cell r="AA42">
            <v>0</v>
          </cell>
          <cell r="AB42">
            <v>333867</v>
          </cell>
          <cell r="AC42">
            <v>0.5</v>
          </cell>
          <cell r="AD42">
            <v>0</v>
          </cell>
          <cell r="AE42">
            <v>333867</v>
          </cell>
          <cell r="AF42">
            <v>1201921</v>
          </cell>
          <cell r="AG42">
            <v>0</v>
          </cell>
          <cell r="AH42">
            <v>0</v>
          </cell>
          <cell r="AI42">
            <v>0</v>
          </cell>
          <cell r="AJ42">
            <v>1201921</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row>
        <row r="43">
          <cell r="A43" t="str">
            <v>tsx:NPR.UN_CEO_Target</v>
          </cell>
          <cell r="B43" t="str">
            <v>tsx:NPR.UN</v>
          </cell>
          <cell r="C43" t="str">
            <v>Northern Property Real Estate Investment Trust</v>
          </cell>
          <cell r="D43" t="str">
            <v>Target</v>
          </cell>
          <cell r="E43">
            <v>12</v>
          </cell>
          <cell r="F43" t="str">
            <v>CAD</v>
          </cell>
          <cell r="G43">
            <v>1</v>
          </cell>
          <cell r="H43" t="str">
            <v>James Britton</v>
          </cell>
          <cell r="I43" t="str">
            <v>CEO</v>
          </cell>
          <cell r="J43" t="str">
            <v>CEO</v>
          </cell>
          <cell r="K43">
            <v>921.92682000000002</v>
          </cell>
          <cell r="L43">
            <v>1603.02682</v>
          </cell>
          <cell r="M43">
            <v>771650</v>
          </cell>
          <cell r="N43">
            <v>771650</v>
          </cell>
          <cell r="O43">
            <v>771650</v>
          </cell>
          <cell r="P43">
            <v>231496</v>
          </cell>
          <cell r="Q43">
            <v>231496</v>
          </cell>
          <cell r="R43">
            <v>0.30000129592431801</v>
          </cell>
          <cell r="S43">
            <v>0.30000023926004665</v>
          </cell>
          <cell r="T43">
            <v>231495.18462501501</v>
          </cell>
          <cell r="U43">
            <v>1003146</v>
          </cell>
          <cell r="V43">
            <v>1003145.184625015</v>
          </cell>
          <cell r="W43" t="str">
            <v>input</v>
          </cell>
          <cell r="X43">
            <v>359533.33333333331</v>
          </cell>
          <cell r="Y43" t="str">
            <v>input</v>
          </cell>
          <cell r="Z43" t="str">
            <v>input</v>
          </cell>
          <cell r="AA43" t="str">
            <v>input</v>
          </cell>
          <cell r="AB43">
            <v>385826</v>
          </cell>
          <cell r="AC43">
            <v>0.50000043197477273</v>
          </cell>
          <cell r="AD43">
            <v>0.50000043197477273</v>
          </cell>
          <cell r="AE43">
            <v>385825.33333333337</v>
          </cell>
          <cell r="AF43">
            <v>1388972</v>
          </cell>
          <cell r="AG43">
            <v>1388970.5179583484</v>
          </cell>
          <cell r="AH43">
            <v>0</v>
          </cell>
          <cell r="AI43">
            <v>0</v>
          </cell>
          <cell r="AJ43">
            <v>1388972</v>
          </cell>
          <cell r="AK43" t="str">
            <v>***</v>
          </cell>
          <cell r="AL43" t="str">
            <v>***</v>
          </cell>
          <cell r="AM43" t="str">
            <v xml:space="preserve"> Effective January 1, 2013, Britton’s (Northern Property REIT, tsx:NPR.UN) base salary was decreased to $385,825 as he transitions in his role from President and CEO to CEO on an "other than full time" basis. His salary and bonus have
effectively been halved from 2012 levels. As such, his salary and benefits have been doubled in our analysis. LTIP award represents a performance-based award of restricted units.</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row>
        <row r="44">
          <cell r="A44" t="str">
            <v>tsx:NPR.UN_CEO_Target</v>
          </cell>
          <cell r="B44" t="str">
            <v>tsx:NPR.UN</v>
          </cell>
          <cell r="C44" t="str">
            <v>Northern Property Real Estate Investment Trust</v>
          </cell>
          <cell r="D44" t="str">
            <v>Target</v>
          </cell>
          <cell r="E44">
            <v>12</v>
          </cell>
          <cell r="F44" t="str">
            <v>CAD</v>
          </cell>
          <cell r="G44">
            <v>1</v>
          </cell>
          <cell r="H44" t="str">
            <v>James Britton</v>
          </cell>
          <cell r="I44" t="str">
            <v>CEO</v>
          </cell>
          <cell r="J44" t="str">
            <v>CEO</v>
          </cell>
          <cell r="K44">
            <v>921.92682000000002</v>
          </cell>
          <cell r="L44">
            <v>1603.02682</v>
          </cell>
          <cell r="M44">
            <v>771650</v>
          </cell>
          <cell r="N44">
            <v>771650</v>
          </cell>
          <cell r="O44">
            <v>771650</v>
          </cell>
          <cell r="P44">
            <v>231496</v>
          </cell>
          <cell r="Q44">
            <v>231496</v>
          </cell>
          <cell r="R44">
            <v>0.30000129592431801</v>
          </cell>
          <cell r="S44">
            <v>0.30000023926004665</v>
          </cell>
          <cell r="T44">
            <v>231495.18462501501</v>
          </cell>
          <cell r="U44">
            <v>1003146</v>
          </cell>
          <cell r="V44">
            <v>1003145.184625015</v>
          </cell>
          <cell r="W44" t="str">
            <v>input</v>
          </cell>
          <cell r="X44">
            <v>359533.33333333331</v>
          </cell>
          <cell r="Y44" t="str">
            <v>input</v>
          </cell>
          <cell r="Z44" t="str">
            <v>input</v>
          </cell>
          <cell r="AA44" t="str">
            <v>input</v>
          </cell>
          <cell r="AB44">
            <v>385826</v>
          </cell>
          <cell r="AC44">
            <v>0.50000043197477273</v>
          </cell>
          <cell r="AD44">
            <v>0.50000043197477273</v>
          </cell>
          <cell r="AE44">
            <v>385825.33333333337</v>
          </cell>
          <cell r="AF44">
            <v>1388972</v>
          </cell>
          <cell r="AG44">
            <v>1388970.5179583484</v>
          </cell>
          <cell r="AH44">
            <v>0</v>
          </cell>
          <cell r="AI44">
            <v>0</v>
          </cell>
          <cell r="AJ44">
            <v>1388972</v>
          </cell>
          <cell r="AK44">
            <v>0</v>
          </cell>
          <cell r="AL44">
            <v>0</v>
          </cell>
          <cell r="AM44" t="str">
            <v xml:space="preserve"> Effective January 1, 2013, Britton’s (Northern Property REIT, tsx:NPR.UN) base salary was decreased to $385,825 as he transitions in his role from President and CEO to CEO on an "other than full time" basis. His salary and bonus have
effectively been halved from 2012 levels. As such, his salary and benefits have been doubled in our analysis. LTIP award represents a performance-based award of restricted units.</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row>
        <row r="45">
          <cell r="A45" t="str">
            <v>tsx:NPR.UN__2013</v>
          </cell>
          <cell r="B45" t="str">
            <v>tsx:NPR.UN</v>
          </cell>
          <cell r="C45" t="str">
            <v>Northern Property Real Estate Investment Trust</v>
          </cell>
          <cell r="D45">
            <v>2013</v>
          </cell>
          <cell r="E45">
            <v>12</v>
          </cell>
          <cell r="F45" t="str">
            <v>CAD</v>
          </cell>
          <cell r="G45">
            <v>1</v>
          </cell>
          <cell r="H45" t="str">
            <v>Todd Cook</v>
          </cell>
          <cell r="I45" t="str">
            <v>COO</v>
          </cell>
          <cell r="J45">
            <v>0</v>
          </cell>
          <cell r="K45">
            <v>921.92682000000002</v>
          </cell>
          <cell r="L45">
            <v>1603.02682</v>
          </cell>
          <cell r="M45">
            <v>400000</v>
          </cell>
          <cell r="N45">
            <v>400000</v>
          </cell>
          <cell r="O45">
            <v>400000</v>
          </cell>
          <cell r="P45">
            <v>150000</v>
          </cell>
          <cell r="Q45">
            <v>150000</v>
          </cell>
          <cell r="R45">
            <v>0.375</v>
          </cell>
          <cell r="S45">
            <v>0.37095469255663427</v>
          </cell>
          <cell r="T45">
            <v>148381.8770226537</v>
          </cell>
          <cell r="U45">
            <v>550000</v>
          </cell>
          <cell r="V45">
            <v>548381.8770226537</v>
          </cell>
          <cell r="W45">
            <v>0</v>
          </cell>
          <cell r="X45">
            <v>280000</v>
          </cell>
          <cell r="Y45">
            <v>0</v>
          </cell>
          <cell r="Z45">
            <v>0</v>
          </cell>
          <cell r="AA45">
            <v>0</v>
          </cell>
          <cell r="AB45">
            <v>280000</v>
          </cell>
          <cell r="AC45">
            <v>0.7</v>
          </cell>
          <cell r="AD45">
            <v>0.5</v>
          </cell>
          <cell r="AE45">
            <v>280000</v>
          </cell>
          <cell r="AF45">
            <v>830000</v>
          </cell>
          <cell r="AG45">
            <v>0</v>
          </cell>
          <cell r="AH45">
            <v>0</v>
          </cell>
          <cell r="AI45">
            <v>0</v>
          </cell>
          <cell r="AJ45">
            <v>830000</v>
          </cell>
          <cell r="AK45" t="str">
            <v>***</v>
          </cell>
          <cell r="AL45" t="str">
            <v>***</v>
          </cell>
          <cell r="AM45" t="str">
            <v>LTIP award represents a performance-based award of restricted units.</v>
          </cell>
          <cell r="AO45">
            <v>0</v>
          </cell>
          <cell r="AP45">
            <v>0</v>
          </cell>
          <cell r="AR45">
            <v>0</v>
          </cell>
          <cell r="AS45">
            <v>0</v>
          </cell>
          <cell r="AT45">
            <v>3</v>
          </cell>
          <cell r="AU45">
            <v>41639</v>
          </cell>
          <cell r="AV45">
            <v>878.01801801801798</v>
          </cell>
          <cell r="AW45">
            <v>27.75</v>
          </cell>
          <cell r="AX45">
            <v>0</v>
          </cell>
          <cell r="AY45">
            <v>0</v>
          </cell>
          <cell r="AZ45">
            <v>0</v>
          </cell>
          <cell r="BA45">
            <v>0</v>
          </cell>
          <cell r="BB45">
            <v>0</v>
          </cell>
          <cell r="BC45">
            <v>0</v>
          </cell>
          <cell r="BD45">
            <v>0</v>
          </cell>
          <cell r="BE45">
            <v>0</v>
          </cell>
          <cell r="BF45">
            <v>0</v>
          </cell>
          <cell r="BG45">
            <v>0</v>
          </cell>
          <cell r="BH45">
            <v>0</v>
          </cell>
          <cell r="BI45">
            <v>0</v>
          </cell>
          <cell r="BJ45">
            <v>0</v>
          </cell>
        </row>
        <row r="46">
          <cell r="A46" t="str">
            <v>tsx:NPR.UN__2012</v>
          </cell>
          <cell r="B46" t="str">
            <v>tsx:NPR.UN</v>
          </cell>
          <cell r="C46" t="str">
            <v>Northern Property Real Estate Investment Trust</v>
          </cell>
          <cell r="D46">
            <v>2012</v>
          </cell>
          <cell r="E46">
            <v>12</v>
          </cell>
          <cell r="F46" t="str">
            <v>CAD</v>
          </cell>
          <cell r="G46">
            <v>1</v>
          </cell>
          <cell r="H46" t="str">
            <v>Todd Cook</v>
          </cell>
          <cell r="I46" t="str">
            <v>COO</v>
          </cell>
          <cell r="J46">
            <v>0</v>
          </cell>
          <cell r="K46">
            <v>921.92682000000002</v>
          </cell>
          <cell r="L46">
            <v>1603.02682</v>
          </cell>
          <cell r="M46">
            <v>309000</v>
          </cell>
          <cell r="N46">
            <v>309000</v>
          </cell>
          <cell r="O46">
            <v>0</v>
          </cell>
          <cell r="P46">
            <v>125000</v>
          </cell>
          <cell r="Q46">
            <v>125000</v>
          </cell>
          <cell r="R46">
            <v>0.4045307443365696</v>
          </cell>
          <cell r="S46">
            <v>0</v>
          </cell>
          <cell r="T46">
            <v>0</v>
          </cell>
          <cell r="U46">
            <v>0</v>
          </cell>
          <cell r="V46">
            <v>0</v>
          </cell>
          <cell r="W46">
            <v>0</v>
          </cell>
          <cell r="X46">
            <v>115875</v>
          </cell>
          <cell r="Y46">
            <v>0</v>
          </cell>
          <cell r="Z46">
            <v>0</v>
          </cell>
          <cell r="AA46">
            <v>0</v>
          </cell>
          <cell r="AB46">
            <v>115875</v>
          </cell>
          <cell r="AC46">
            <v>0.375</v>
          </cell>
          <cell r="AD46">
            <v>0</v>
          </cell>
          <cell r="AE46">
            <v>115875</v>
          </cell>
          <cell r="AF46">
            <v>549875</v>
          </cell>
          <cell r="AG46">
            <v>0</v>
          </cell>
          <cell r="AH46">
            <v>0</v>
          </cell>
          <cell r="AI46">
            <v>0</v>
          </cell>
          <cell r="AJ46">
            <v>549875</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row>
        <row r="47">
          <cell r="A47" t="str">
            <v>tsx:NPR.UN__2011</v>
          </cell>
          <cell r="B47" t="str">
            <v>tsx:NPR.UN</v>
          </cell>
          <cell r="C47" t="str">
            <v>Northern Property Real Estate Investment Trust</v>
          </cell>
          <cell r="D47">
            <v>2011</v>
          </cell>
          <cell r="E47">
            <v>12</v>
          </cell>
          <cell r="F47" t="str">
            <v>CAD</v>
          </cell>
          <cell r="G47">
            <v>1</v>
          </cell>
          <cell r="H47" t="str">
            <v>Todd Cook</v>
          </cell>
          <cell r="I47" t="str">
            <v>COO</v>
          </cell>
          <cell r="J47">
            <v>0</v>
          </cell>
          <cell r="K47">
            <v>921.92682000000002</v>
          </cell>
          <cell r="L47">
            <v>1603.02682</v>
          </cell>
          <cell r="M47">
            <v>300000</v>
          </cell>
          <cell r="N47">
            <v>300000</v>
          </cell>
          <cell r="O47">
            <v>0</v>
          </cell>
          <cell r="P47">
            <v>100000</v>
          </cell>
          <cell r="Q47">
            <v>100000</v>
          </cell>
          <cell r="R47">
            <v>0.33333333333333331</v>
          </cell>
          <cell r="S47">
            <v>0</v>
          </cell>
          <cell r="T47">
            <v>0</v>
          </cell>
          <cell r="U47">
            <v>0</v>
          </cell>
          <cell r="V47">
            <v>0</v>
          </cell>
          <cell r="W47">
            <v>0</v>
          </cell>
          <cell r="X47">
            <v>127500</v>
          </cell>
          <cell r="Y47">
            <v>0</v>
          </cell>
          <cell r="Z47">
            <v>0</v>
          </cell>
          <cell r="AA47">
            <v>0</v>
          </cell>
          <cell r="AB47">
            <v>127500</v>
          </cell>
          <cell r="AC47">
            <v>0.42499999999999999</v>
          </cell>
          <cell r="AD47">
            <v>0</v>
          </cell>
          <cell r="AE47">
            <v>127500</v>
          </cell>
          <cell r="AF47">
            <v>527500</v>
          </cell>
          <cell r="AG47">
            <v>0</v>
          </cell>
          <cell r="AH47">
            <v>0</v>
          </cell>
          <cell r="AI47">
            <v>0</v>
          </cell>
          <cell r="AJ47">
            <v>527500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row>
        <row r="48">
          <cell r="A48" t="str">
            <v>tsx:NPR.UN_COO_Target</v>
          </cell>
          <cell r="B48" t="str">
            <v>tsx:NPR.UN</v>
          </cell>
          <cell r="C48" t="str">
            <v>Northern Property Real Estate Investment Trust</v>
          </cell>
          <cell r="D48" t="str">
            <v>Target</v>
          </cell>
          <cell r="E48">
            <v>12</v>
          </cell>
          <cell r="F48" t="str">
            <v>CAD</v>
          </cell>
          <cell r="G48">
            <v>1</v>
          </cell>
          <cell r="H48" t="str">
            <v>Todd Cook</v>
          </cell>
          <cell r="I48" t="str">
            <v>COO</v>
          </cell>
          <cell r="J48" t="str">
            <v>COO</v>
          </cell>
          <cell r="K48">
            <v>921.92682000000002</v>
          </cell>
          <cell r="L48">
            <v>1603.02682</v>
          </cell>
          <cell r="M48">
            <v>400000</v>
          </cell>
          <cell r="N48">
            <v>400000</v>
          </cell>
          <cell r="O48">
            <v>400000</v>
          </cell>
          <cell r="P48">
            <v>150000</v>
          </cell>
          <cell r="Q48">
            <v>150000</v>
          </cell>
          <cell r="R48">
            <v>0.375</v>
          </cell>
          <cell r="S48">
            <v>0.37095469255663427</v>
          </cell>
          <cell r="T48">
            <v>148381.8770226537</v>
          </cell>
          <cell r="U48">
            <v>550000</v>
          </cell>
          <cell r="V48">
            <v>548381.8770226537</v>
          </cell>
          <cell r="W48" t="str">
            <v>input</v>
          </cell>
          <cell r="X48">
            <v>174458.33333333334</v>
          </cell>
          <cell r="Y48" t="str">
            <v>input</v>
          </cell>
          <cell r="Z48" t="str">
            <v>input</v>
          </cell>
          <cell r="AA48" t="str">
            <v>input</v>
          </cell>
          <cell r="AB48">
            <v>280000</v>
          </cell>
          <cell r="AC48">
            <v>0.5</v>
          </cell>
          <cell r="AD48">
            <v>0.5</v>
          </cell>
          <cell r="AE48">
            <v>200000</v>
          </cell>
          <cell r="AF48">
            <v>830000</v>
          </cell>
          <cell r="AG48">
            <v>748381.8770226537</v>
          </cell>
          <cell r="AH48">
            <v>0</v>
          </cell>
          <cell r="AI48">
            <v>0</v>
          </cell>
          <cell r="AJ48">
            <v>830000</v>
          </cell>
          <cell r="AK48" t="str">
            <v>***</v>
          </cell>
          <cell r="AL48" t="str">
            <v>***</v>
          </cell>
          <cell r="AM48" t="str">
            <v>LTIP award represents a performance-based award of restricted units.</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row>
        <row r="49">
          <cell r="A49" t="str">
            <v>tsx:NPR.UN_COO_Target</v>
          </cell>
          <cell r="B49" t="str">
            <v>tsx:NPR.UN</v>
          </cell>
          <cell r="C49" t="str">
            <v>Northern Property Real Estate Investment Trust</v>
          </cell>
          <cell r="D49" t="str">
            <v>Target</v>
          </cell>
          <cell r="E49">
            <v>12</v>
          </cell>
          <cell r="F49" t="str">
            <v>CAD</v>
          </cell>
          <cell r="G49">
            <v>1</v>
          </cell>
          <cell r="H49" t="str">
            <v>Todd Cook</v>
          </cell>
          <cell r="I49" t="str">
            <v>COO</v>
          </cell>
          <cell r="J49" t="str">
            <v>COO</v>
          </cell>
          <cell r="K49">
            <v>921.92682000000002</v>
          </cell>
          <cell r="L49">
            <v>1603.02682</v>
          </cell>
          <cell r="M49">
            <v>400000</v>
          </cell>
          <cell r="N49">
            <v>400000</v>
          </cell>
          <cell r="O49">
            <v>400000</v>
          </cell>
          <cell r="P49">
            <v>150000</v>
          </cell>
          <cell r="Q49">
            <v>150000</v>
          </cell>
          <cell r="R49">
            <v>0.375</v>
          </cell>
          <cell r="S49">
            <v>0.37095469255663427</v>
          </cell>
          <cell r="T49">
            <v>148381.8770226537</v>
          </cell>
          <cell r="U49">
            <v>550000</v>
          </cell>
          <cell r="V49">
            <v>548381.8770226537</v>
          </cell>
          <cell r="W49" t="str">
            <v>input</v>
          </cell>
          <cell r="X49">
            <v>174458.33333333334</v>
          </cell>
          <cell r="Y49" t="str">
            <v>input</v>
          </cell>
          <cell r="Z49" t="str">
            <v>input</v>
          </cell>
          <cell r="AA49" t="str">
            <v>input</v>
          </cell>
          <cell r="AB49">
            <v>280000</v>
          </cell>
          <cell r="AC49">
            <v>0.5</v>
          </cell>
          <cell r="AD49">
            <v>0.5</v>
          </cell>
          <cell r="AE49">
            <v>200000</v>
          </cell>
          <cell r="AF49">
            <v>830000</v>
          </cell>
          <cell r="AG49">
            <v>748381.8770226537</v>
          </cell>
          <cell r="AH49">
            <v>0</v>
          </cell>
          <cell r="AI49">
            <v>0</v>
          </cell>
          <cell r="AJ49">
            <v>830000</v>
          </cell>
          <cell r="AK49">
            <v>0</v>
          </cell>
          <cell r="AL49">
            <v>0</v>
          </cell>
          <cell r="AM49" t="str">
            <v>LTIP award represents a performance-based award of restricted units.</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row>
        <row r="50">
          <cell r="A50" t="str">
            <v>tsx:KMP__2013</v>
          </cell>
          <cell r="B50" t="str">
            <v>tsx:KMP</v>
          </cell>
          <cell r="C50" t="str">
            <v>Killam Properties Inc.</v>
          </cell>
          <cell r="D50">
            <v>2013</v>
          </cell>
          <cell r="E50">
            <v>12</v>
          </cell>
          <cell r="F50" t="str">
            <v>CAD</v>
          </cell>
          <cell r="G50">
            <v>1</v>
          </cell>
          <cell r="H50" t="str">
            <v>Philip Fraser</v>
          </cell>
          <cell r="I50" t="str">
            <v>President and CEO</v>
          </cell>
          <cell r="J50">
            <v>0</v>
          </cell>
          <cell r="K50">
            <v>571.10978</v>
          </cell>
          <cell r="L50">
            <v>1392.91878</v>
          </cell>
          <cell r="M50">
            <v>495000</v>
          </cell>
          <cell r="N50">
            <v>495000</v>
          </cell>
          <cell r="O50">
            <v>495000</v>
          </cell>
          <cell r="P50">
            <v>118182</v>
          </cell>
          <cell r="Q50">
            <v>118182</v>
          </cell>
          <cell r="R50">
            <v>0.23875151515151516</v>
          </cell>
          <cell r="S50">
            <v>0.4</v>
          </cell>
          <cell r="T50">
            <v>198000</v>
          </cell>
          <cell r="U50">
            <v>613182</v>
          </cell>
          <cell r="V50">
            <v>693000</v>
          </cell>
          <cell r="W50">
            <v>236363</v>
          </cell>
          <cell r="X50">
            <v>0</v>
          </cell>
          <cell r="Y50">
            <v>0</v>
          </cell>
          <cell r="Z50">
            <v>0</v>
          </cell>
          <cell r="AA50">
            <v>0</v>
          </cell>
          <cell r="AB50">
            <v>236363</v>
          </cell>
          <cell r="AC50">
            <v>0.47750101010101009</v>
          </cell>
          <cell r="AD50">
            <v>0.44111178451178451</v>
          </cell>
          <cell r="AE50">
            <v>236363</v>
          </cell>
          <cell r="AF50">
            <v>849545</v>
          </cell>
          <cell r="AG50">
            <v>0</v>
          </cell>
          <cell r="AH50">
            <v>0</v>
          </cell>
          <cell r="AI50">
            <v>2500</v>
          </cell>
          <cell r="AJ50">
            <v>852045</v>
          </cell>
          <cell r="AK50" t="str">
            <v>targets disclosed</v>
          </cell>
          <cell r="AL50" t="str">
            <v>***</v>
          </cell>
          <cell r="AM50" t="str">
            <v xml:space="preserve">Fraser (Killam Properties; tsx:KMP) is required to allocated 50% of his annual bonus to the RSU plan. All other compensation includes: corporation's match for employees' participation in share purchase plan, distributions on restricted units, and perquisites. </v>
          </cell>
          <cell r="AN50">
            <v>41639</v>
          </cell>
          <cell r="AO50">
            <v>22903.391472868218</v>
          </cell>
          <cell r="AP50">
            <v>10.32</v>
          </cell>
          <cell r="AR50">
            <v>0</v>
          </cell>
          <cell r="AS50">
            <v>0</v>
          </cell>
          <cell r="AT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row>
        <row r="51">
          <cell r="A51" t="str">
            <v>tsx:KMP__2012</v>
          </cell>
          <cell r="B51" t="str">
            <v>tsx:KMP</v>
          </cell>
          <cell r="C51" t="str">
            <v>Killam Properties Inc.</v>
          </cell>
          <cell r="D51">
            <v>2012</v>
          </cell>
          <cell r="E51">
            <v>12</v>
          </cell>
          <cell r="F51" t="str">
            <v>CAD</v>
          </cell>
          <cell r="G51">
            <v>1</v>
          </cell>
          <cell r="H51" t="str">
            <v>Philip Fraser</v>
          </cell>
          <cell r="I51" t="str">
            <v>President and CEO</v>
          </cell>
          <cell r="J51">
            <v>0</v>
          </cell>
          <cell r="K51">
            <v>571.10978</v>
          </cell>
          <cell r="L51">
            <v>1392.91878</v>
          </cell>
          <cell r="M51">
            <v>495000</v>
          </cell>
          <cell r="N51">
            <v>495000</v>
          </cell>
          <cell r="O51">
            <v>0</v>
          </cell>
          <cell r="P51">
            <v>257531</v>
          </cell>
          <cell r="Q51">
            <v>257531</v>
          </cell>
          <cell r="R51">
            <v>0.52026464646464643</v>
          </cell>
          <cell r="S51">
            <v>0</v>
          </cell>
          <cell r="T51">
            <v>0</v>
          </cell>
          <cell r="U51">
            <v>0</v>
          </cell>
          <cell r="V51">
            <v>0</v>
          </cell>
          <cell r="W51">
            <v>253688</v>
          </cell>
          <cell r="X51">
            <v>0</v>
          </cell>
          <cell r="Y51">
            <v>0</v>
          </cell>
          <cell r="Z51">
            <v>0</v>
          </cell>
          <cell r="AA51">
            <v>0</v>
          </cell>
          <cell r="AB51">
            <v>253688</v>
          </cell>
          <cell r="AC51">
            <v>0.51250101010101012</v>
          </cell>
          <cell r="AD51">
            <v>0</v>
          </cell>
          <cell r="AE51">
            <v>253688</v>
          </cell>
          <cell r="AF51">
            <v>1006219</v>
          </cell>
          <cell r="AG51">
            <v>0</v>
          </cell>
          <cell r="AH51">
            <v>0</v>
          </cell>
          <cell r="AI51">
            <v>2500</v>
          </cell>
          <cell r="AJ51">
            <v>1008719</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row>
        <row r="52">
          <cell r="A52" t="str">
            <v>tsx:KMP__2011</v>
          </cell>
          <cell r="B52" t="str">
            <v>tsx:KMP</v>
          </cell>
          <cell r="C52" t="str">
            <v>Killam Properties Inc.</v>
          </cell>
          <cell r="D52">
            <v>2011</v>
          </cell>
          <cell r="E52">
            <v>12</v>
          </cell>
          <cell r="F52" t="str">
            <v>CAD</v>
          </cell>
          <cell r="G52">
            <v>1</v>
          </cell>
          <cell r="H52" t="str">
            <v>Philip Fraser</v>
          </cell>
          <cell r="I52" t="str">
            <v>President and CEO</v>
          </cell>
          <cell r="J52">
            <v>0</v>
          </cell>
          <cell r="K52">
            <v>571.10978</v>
          </cell>
          <cell r="L52">
            <v>1392.91878</v>
          </cell>
          <cell r="M52">
            <v>495000</v>
          </cell>
          <cell r="N52">
            <v>495000</v>
          </cell>
          <cell r="O52">
            <v>0</v>
          </cell>
          <cell r="P52">
            <v>167500</v>
          </cell>
          <cell r="Q52">
            <v>167500</v>
          </cell>
          <cell r="R52">
            <v>0.3383838383838384</v>
          </cell>
          <cell r="S52">
            <v>0</v>
          </cell>
          <cell r="T52">
            <v>0</v>
          </cell>
          <cell r="U52">
            <v>0</v>
          </cell>
          <cell r="V52">
            <v>0</v>
          </cell>
          <cell r="W52">
            <v>165000</v>
          </cell>
          <cell r="X52">
            <v>0</v>
          </cell>
          <cell r="Y52">
            <v>0</v>
          </cell>
          <cell r="Z52">
            <v>0</v>
          </cell>
          <cell r="AA52">
            <v>0</v>
          </cell>
          <cell r="AB52">
            <v>165000</v>
          </cell>
          <cell r="AC52">
            <v>0.33333333333333331</v>
          </cell>
          <cell r="AD52">
            <v>0</v>
          </cell>
          <cell r="AE52">
            <v>165000</v>
          </cell>
          <cell r="AF52">
            <v>827500</v>
          </cell>
          <cell r="AG52">
            <v>0</v>
          </cell>
          <cell r="AH52">
            <v>0</v>
          </cell>
          <cell r="AI52">
            <v>6203</v>
          </cell>
          <cell r="AJ52">
            <v>833703</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row>
        <row r="53">
          <cell r="A53" t="str">
            <v>tsx:KMP_CEO_Target</v>
          </cell>
          <cell r="B53" t="str">
            <v>tsx:KMP</v>
          </cell>
          <cell r="C53" t="str">
            <v>Killam Properties Inc.</v>
          </cell>
          <cell r="D53" t="str">
            <v>Target</v>
          </cell>
          <cell r="E53">
            <v>12</v>
          </cell>
          <cell r="F53" t="str">
            <v>CAD</v>
          </cell>
          <cell r="G53">
            <v>1</v>
          </cell>
          <cell r="H53" t="str">
            <v>Philip Fraser</v>
          </cell>
          <cell r="I53" t="str">
            <v>President and CEO</v>
          </cell>
          <cell r="J53" t="str">
            <v>CEO</v>
          </cell>
          <cell r="K53">
            <v>571.10978</v>
          </cell>
          <cell r="L53">
            <v>1392.91878</v>
          </cell>
          <cell r="M53">
            <v>495000</v>
          </cell>
          <cell r="N53">
            <v>495000</v>
          </cell>
          <cell r="O53">
            <v>495000</v>
          </cell>
          <cell r="P53">
            <v>118182</v>
          </cell>
          <cell r="Q53">
            <v>118182</v>
          </cell>
          <cell r="R53">
            <v>0.23875151515151516</v>
          </cell>
          <cell r="S53">
            <v>0.4</v>
          </cell>
          <cell r="T53">
            <v>198000</v>
          </cell>
          <cell r="U53">
            <v>613182</v>
          </cell>
          <cell r="V53">
            <v>693000</v>
          </cell>
          <cell r="W53">
            <v>218350.33333333334</v>
          </cell>
          <cell r="X53" t="str">
            <v>input</v>
          </cell>
          <cell r="Y53" t="str">
            <v>input</v>
          </cell>
          <cell r="Z53" t="str">
            <v>input</v>
          </cell>
          <cell r="AA53" t="str">
            <v>input</v>
          </cell>
          <cell r="AB53">
            <v>236363</v>
          </cell>
          <cell r="AC53">
            <v>0.44111178451178451</v>
          </cell>
          <cell r="AD53">
            <v>0.44111178451178451</v>
          </cell>
          <cell r="AE53">
            <v>218350.33333333334</v>
          </cell>
          <cell r="AF53">
            <v>849545</v>
          </cell>
          <cell r="AG53">
            <v>911350.33333333337</v>
          </cell>
          <cell r="AH53">
            <v>0</v>
          </cell>
          <cell r="AI53">
            <v>0</v>
          </cell>
          <cell r="AJ53">
            <v>849545</v>
          </cell>
          <cell r="AK53" t="str">
            <v>targets disclosed</v>
          </cell>
          <cell r="AL53" t="str">
            <v>***</v>
          </cell>
          <cell r="AM53" t="str">
            <v xml:space="preserve">Fraser (Killam Properties; tsx:KMP) is required to allocated 50% of his annual bonus to the RSU plan. All other compensation includes: corporation's match for employees' participation in share purchase plan, distributions on restricted units, and perquisites. </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row>
        <row r="54">
          <cell r="A54" t="str">
            <v>tsx:KMP_CEO_Target</v>
          </cell>
          <cell r="B54" t="str">
            <v>tsx:KMP</v>
          </cell>
          <cell r="C54" t="str">
            <v>Killam Properties Inc.</v>
          </cell>
          <cell r="D54" t="str">
            <v>Target</v>
          </cell>
          <cell r="E54">
            <v>12</v>
          </cell>
          <cell r="F54" t="str">
            <v>CAD</v>
          </cell>
          <cell r="G54">
            <v>1</v>
          </cell>
          <cell r="H54" t="str">
            <v>Philip Fraser</v>
          </cell>
          <cell r="I54" t="str">
            <v>President and CEO</v>
          </cell>
          <cell r="J54" t="str">
            <v>CEO</v>
          </cell>
          <cell r="K54">
            <v>571.10978</v>
          </cell>
          <cell r="L54">
            <v>1392.91878</v>
          </cell>
          <cell r="M54">
            <v>495000</v>
          </cell>
          <cell r="N54">
            <v>495000</v>
          </cell>
          <cell r="O54">
            <v>495000</v>
          </cell>
          <cell r="P54">
            <v>118182</v>
          </cell>
          <cell r="Q54">
            <v>118182</v>
          </cell>
          <cell r="R54">
            <v>0.23875151515151516</v>
          </cell>
          <cell r="S54">
            <v>0.4</v>
          </cell>
          <cell r="T54">
            <v>198000</v>
          </cell>
          <cell r="U54">
            <v>613182</v>
          </cell>
          <cell r="V54">
            <v>693000</v>
          </cell>
          <cell r="W54">
            <v>218350.33333333334</v>
          </cell>
          <cell r="X54" t="str">
            <v>input</v>
          </cell>
          <cell r="Y54" t="str">
            <v>input</v>
          </cell>
          <cell r="Z54" t="str">
            <v>input</v>
          </cell>
          <cell r="AA54" t="str">
            <v>input</v>
          </cell>
          <cell r="AB54">
            <v>236363</v>
          </cell>
          <cell r="AC54">
            <v>0.44111178451178451</v>
          </cell>
          <cell r="AD54">
            <v>0.44111178451178451</v>
          </cell>
          <cell r="AE54">
            <v>218350.33333333334</v>
          </cell>
          <cell r="AF54">
            <v>849545</v>
          </cell>
          <cell r="AG54">
            <v>911350.33333333337</v>
          </cell>
          <cell r="AH54">
            <v>0</v>
          </cell>
          <cell r="AI54">
            <v>0</v>
          </cell>
          <cell r="AJ54">
            <v>849545</v>
          </cell>
          <cell r="AK54">
            <v>0</v>
          </cell>
          <cell r="AL54">
            <v>0</v>
          </cell>
          <cell r="AM54" t="str">
            <v xml:space="preserve">Fraser (Killam Properties; tsx:KMP) is required to allocated 50% of his annual bonus to the RSU plan. All other compensation includes: corporation's match for employees' participation in share purchase plan, distributions on restricted units, and perquisites. </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row>
        <row r="55">
          <cell r="A55" t="str">
            <v>tsx:KMP__2013</v>
          </cell>
          <cell r="B55" t="str">
            <v>tsx:KMP</v>
          </cell>
          <cell r="C55" t="str">
            <v>Killam Properties Inc.</v>
          </cell>
          <cell r="D55">
            <v>2013</v>
          </cell>
          <cell r="E55">
            <v>12</v>
          </cell>
          <cell r="F55" t="str">
            <v>CAD</v>
          </cell>
          <cell r="G55">
            <v>1</v>
          </cell>
          <cell r="H55" t="str">
            <v>Robert Richardson</v>
          </cell>
          <cell r="I55" t="str">
            <v>EVP and CFO</v>
          </cell>
          <cell r="J55">
            <v>0</v>
          </cell>
          <cell r="K55">
            <v>571.10978</v>
          </cell>
          <cell r="L55">
            <v>1392.91878</v>
          </cell>
          <cell r="M55">
            <v>412500</v>
          </cell>
          <cell r="N55">
            <v>412500</v>
          </cell>
          <cell r="O55">
            <v>412500</v>
          </cell>
          <cell r="P55">
            <v>96422</v>
          </cell>
          <cell r="Q55">
            <v>96422</v>
          </cell>
          <cell r="R55">
            <v>0.23375030303030303</v>
          </cell>
          <cell r="S55">
            <v>0.4</v>
          </cell>
          <cell r="T55">
            <v>165000</v>
          </cell>
          <cell r="U55">
            <v>508922</v>
          </cell>
          <cell r="V55">
            <v>577500</v>
          </cell>
          <cell r="W55">
            <v>192844</v>
          </cell>
          <cell r="X55">
            <v>0</v>
          </cell>
          <cell r="Y55">
            <v>0</v>
          </cell>
          <cell r="Z55">
            <v>0</v>
          </cell>
          <cell r="AA55">
            <v>0</v>
          </cell>
          <cell r="AB55">
            <v>192844</v>
          </cell>
          <cell r="AC55">
            <v>0.46750060606060606</v>
          </cell>
          <cell r="AD55">
            <v>0.43412040404040403</v>
          </cell>
          <cell r="AE55">
            <v>192844</v>
          </cell>
          <cell r="AF55">
            <v>701766</v>
          </cell>
          <cell r="AG55">
            <v>0</v>
          </cell>
          <cell r="AH55">
            <v>0</v>
          </cell>
          <cell r="AI55">
            <v>2500</v>
          </cell>
          <cell r="AJ55">
            <v>704266</v>
          </cell>
          <cell r="AK55" t="str">
            <v>targets disclosed</v>
          </cell>
          <cell r="AL55" t="str">
            <v>***</v>
          </cell>
          <cell r="AM55" t="str">
            <v xml:space="preserve">Richardson (Killam Properties; tsx:KMP) is required to allocated 50% of his annual bonus to the RSU plan. All other compensation includes: corporation's match for employees' participation in share purchase plan, distributions on restricted units, and perquisites. </v>
          </cell>
          <cell r="AN55">
            <v>41639</v>
          </cell>
          <cell r="AO55">
            <v>18686.43410852713</v>
          </cell>
          <cell r="AP55">
            <v>10.32</v>
          </cell>
          <cell r="AR55">
            <v>0</v>
          </cell>
          <cell r="AS55">
            <v>0</v>
          </cell>
          <cell r="AT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row>
        <row r="56">
          <cell r="A56" t="str">
            <v>tsx:KMP__2012</v>
          </cell>
          <cell r="B56" t="str">
            <v>tsx:KMP</v>
          </cell>
          <cell r="C56" t="str">
            <v>Killam Properties Inc.</v>
          </cell>
          <cell r="D56">
            <v>2012</v>
          </cell>
          <cell r="E56">
            <v>12</v>
          </cell>
          <cell r="F56" t="str">
            <v>CAD</v>
          </cell>
          <cell r="G56">
            <v>1</v>
          </cell>
          <cell r="H56" t="str">
            <v>Robert Richardson</v>
          </cell>
          <cell r="I56" t="str">
            <v>EVP and CFO</v>
          </cell>
          <cell r="J56">
            <v>0</v>
          </cell>
          <cell r="K56">
            <v>571.10978</v>
          </cell>
          <cell r="L56">
            <v>1392.91878</v>
          </cell>
          <cell r="M56">
            <v>412500</v>
          </cell>
          <cell r="N56">
            <v>412500</v>
          </cell>
          <cell r="O56">
            <v>0</v>
          </cell>
          <cell r="P56">
            <v>215598</v>
          </cell>
          <cell r="Q56">
            <v>215598</v>
          </cell>
          <cell r="R56">
            <v>0.52266181818181823</v>
          </cell>
          <cell r="S56">
            <v>0</v>
          </cell>
          <cell r="T56">
            <v>0</v>
          </cell>
          <cell r="U56">
            <v>0</v>
          </cell>
          <cell r="V56">
            <v>0</v>
          </cell>
          <cell r="W56">
            <v>212380</v>
          </cell>
          <cell r="X56">
            <v>0</v>
          </cell>
          <cell r="Y56">
            <v>0</v>
          </cell>
          <cell r="Z56">
            <v>0</v>
          </cell>
          <cell r="AA56">
            <v>0</v>
          </cell>
          <cell r="AB56">
            <v>212380</v>
          </cell>
          <cell r="AC56">
            <v>0.51486060606060602</v>
          </cell>
          <cell r="AD56">
            <v>0</v>
          </cell>
          <cell r="AE56">
            <v>212380</v>
          </cell>
          <cell r="AF56">
            <v>840478</v>
          </cell>
          <cell r="AG56">
            <v>0</v>
          </cell>
          <cell r="AH56">
            <v>0</v>
          </cell>
          <cell r="AI56">
            <v>2500</v>
          </cell>
          <cell r="AJ56">
            <v>842978</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row>
        <row r="57">
          <cell r="A57" t="str">
            <v>tsx:KMP__2011</v>
          </cell>
          <cell r="B57" t="str">
            <v>tsx:KMP</v>
          </cell>
          <cell r="C57" t="str">
            <v>Killam Properties Inc.</v>
          </cell>
          <cell r="D57">
            <v>2011</v>
          </cell>
          <cell r="E57">
            <v>12</v>
          </cell>
          <cell r="F57" t="str">
            <v>CAD</v>
          </cell>
          <cell r="G57">
            <v>1</v>
          </cell>
          <cell r="H57" t="str">
            <v>Robert Richardson</v>
          </cell>
          <cell r="I57" t="str">
            <v>EVP and CFO</v>
          </cell>
          <cell r="J57">
            <v>0</v>
          </cell>
          <cell r="K57">
            <v>571.10978</v>
          </cell>
          <cell r="L57">
            <v>1392.91878</v>
          </cell>
          <cell r="M57">
            <v>412500</v>
          </cell>
          <cell r="N57">
            <v>412500</v>
          </cell>
          <cell r="O57">
            <v>0</v>
          </cell>
          <cell r="P57">
            <v>134000</v>
          </cell>
          <cell r="Q57">
            <v>134000</v>
          </cell>
          <cell r="R57">
            <v>0.32484848484848483</v>
          </cell>
          <cell r="S57">
            <v>0</v>
          </cell>
          <cell r="T57">
            <v>0</v>
          </cell>
          <cell r="U57">
            <v>0</v>
          </cell>
          <cell r="V57">
            <v>0</v>
          </cell>
          <cell r="W57">
            <v>132000</v>
          </cell>
          <cell r="X57">
            <v>0</v>
          </cell>
          <cell r="Y57">
            <v>0</v>
          </cell>
          <cell r="Z57">
            <v>0</v>
          </cell>
          <cell r="AA57">
            <v>0</v>
          </cell>
          <cell r="AB57">
            <v>132000</v>
          </cell>
          <cell r="AC57">
            <v>0.32</v>
          </cell>
          <cell r="AD57">
            <v>0</v>
          </cell>
          <cell r="AE57">
            <v>132000</v>
          </cell>
          <cell r="AF57">
            <v>678500</v>
          </cell>
          <cell r="AG57">
            <v>0</v>
          </cell>
          <cell r="AH57">
            <v>0</v>
          </cell>
          <cell r="AI57">
            <v>5685</v>
          </cell>
          <cell r="AJ57">
            <v>684185</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row>
        <row r="58">
          <cell r="A58" t="str">
            <v>tsx:KMP_CFO_Target</v>
          </cell>
          <cell r="B58" t="str">
            <v>tsx:KMP</v>
          </cell>
          <cell r="C58" t="str">
            <v>Killam Properties Inc.</v>
          </cell>
          <cell r="D58" t="str">
            <v>Target</v>
          </cell>
          <cell r="E58">
            <v>12</v>
          </cell>
          <cell r="F58" t="str">
            <v>CAD</v>
          </cell>
          <cell r="G58">
            <v>1</v>
          </cell>
          <cell r="H58" t="str">
            <v>Robert Richardson</v>
          </cell>
          <cell r="I58" t="str">
            <v>EVP and CFO</v>
          </cell>
          <cell r="J58" t="str">
            <v>CFO</v>
          </cell>
          <cell r="K58">
            <v>571.10978</v>
          </cell>
          <cell r="L58">
            <v>1392.91878</v>
          </cell>
          <cell r="M58">
            <v>412500</v>
          </cell>
          <cell r="N58">
            <v>412500</v>
          </cell>
          <cell r="O58">
            <v>412500</v>
          </cell>
          <cell r="P58">
            <v>96422</v>
          </cell>
          <cell r="Q58">
            <v>96422</v>
          </cell>
          <cell r="R58">
            <v>0.23375030303030303</v>
          </cell>
          <cell r="S58">
            <v>0.4</v>
          </cell>
          <cell r="T58">
            <v>165000</v>
          </cell>
          <cell r="U58">
            <v>508922</v>
          </cell>
          <cell r="V58">
            <v>577500</v>
          </cell>
          <cell r="W58">
            <v>179074.66666666666</v>
          </cell>
          <cell r="X58" t="str">
            <v>input</v>
          </cell>
          <cell r="Y58" t="str">
            <v>input</v>
          </cell>
          <cell r="Z58" t="str">
            <v>input</v>
          </cell>
          <cell r="AA58" t="str">
            <v>input</v>
          </cell>
          <cell r="AB58">
            <v>192844</v>
          </cell>
          <cell r="AC58">
            <v>0.43412040404040403</v>
          </cell>
          <cell r="AD58">
            <v>0.43412040404040403</v>
          </cell>
          <cell r="AE58">
            <v>179074.66666666666</v>
          </cell>
          <cell r="AF58">
            <v>701766</v>
          </cell>
          <cell r="AG58">
            <v>756574.66666666663</v>
          </cell>
          <cell r="AH58">
            <v>0</v>
          </cell>
          <cell r="AI58">
            <v>0</v>
          </cell>
          <cell r="AJ58">
            <v>701766</v>
          </cell>
          <cell r="AK58" t="str">
            <v>targets disclosed</v>
          </cell>
          <cell r="AL58" t="str">
            <v>***</v>
          </cell>
          <cell r="AM58" t="str">
            <v xml:space="preserve">Richardson (Killam Properties; tsx:KMP) is required to allocated 50% of his annual bonus to the RSU plan. All other compensation includes: corporation's match for employees' participation in share purchase plan, distributions on restricted units, and perquisites. </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row>
        <row r="59">
          <cell r="A59" t="str">
            <v>tsx:KMP_CFO_Target</v>
          </cell>
          <cell r="B59" t="str">
            <v>tsx:KMP</v>
          </cell>
          <cell r="C59" t="str">
            <v>Killam Properties Inc.</v>
          </cell>
          <cell r="D59" t="str">
            <v>Target</v>
          </cell>
          <cell r="E59">
            <v>12</v>
          </cell>
          <cell r="F59" t="str">
            <v>CAD</v>
          </cell>
          <cell r="G59">
            <v>1</v>
          </cell>
          <cell r="H59" t="str">
            <v>Robert Richardson</v>
          </cell>
          <cell r="I59" t="str">
            <v>EVP and CFO</v>
          </cell>
          <cell r="J59" t="str">
            <v>CFO</v>
          </cell>
          <cell r="K59">
            <v>571.10978</v>
          </cell>
          <cell r="L59">
            <v>1392.91878</v>
          </cell>
          <cell r="M59">
            <v>412500</v>
          </cell>
          <cell r="N59">
            <v>412500</v>
          </cell>
          <cell r="O59">
            <v>412500</v>
          </cell>
          <cell r="P59">
            <v>96422</v>
          </cell>
          <cell r="Q59">
            <v>96422</v>
          </cell>
          <cell r="R59">
            <v>0.23375030303030303</v>
          </cell>
          <cell r="S59">
            <v>0.4</v>
          </cell>
          <cell r="T59">
            <v>165000</v>
          </cell>
          <cell r="U59">
            <v>508922</v>
          </cell>
          <cell r="V59">
            <v>577500</v>
          </cell>
          <cell r="W59">
            <v>179074.66666666666</v>
          </cell>
          <cell r="X59" t="str">
            <v>input</v>
          </cell>
          <cell r="Y59" t="str">
            <v>input</v>
          </cell>
          <cell r="Z59" t="str">
            <v>input</v>
          </cell>
          <cell r="AA59" t="str">
            <v>input</v>
          </cell>
          <cell r="AB59">
            <v>192844</v>
          </cell>
          <cell r="AC59">
            <v>0.43412040404040403</v>
          </cell>
          <cell r="AD59">
            <v>0.43412040404040403</v>
          </cell>
          <cell r="AE59">
            <v>179074.66666666666</v>
          </cell>
          <cell r="AF59">
            <v>701766</v>
          </cell>
          <cell r="AG59">
            <v>756574.66666666663</v>
          </cell>
          <cell r="AH59">
            <v>0</v>
          </cell>
          <cell r="AI59">
            <v>0</v>
          </cell>
          <cell r="AJ59">
            <v>701766</v>
          </cell>
          <cell r="AK59">
            <v>0</v>
          </cell>
          <cell r="AL59">
            <v>0</v>
          </cell>
          <cell r="AM59" t="str">
            <v xml:space="preserve">Richardson (Killam Properties; tsx:KMP) is required to allocated 50% of his annual bonus to the RSU plan. All other compensation includes: corporation's match for employees' participation in share purchase plan, distributions on restricted units, and perquisites. </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row>
        <row r="60">
          <cell r="A60" t="str">
            <v>tsx:MRD__2013</v>
          </cell>
          <cell r="B60" t="str">
            <v>tsx:MRD</v>
          </cell>
          <cell r="C60" t="str">
            <v>Melcor Developments Ltd.</v>
          </cell>
          <cell r="D60">
            <v>2013</v>
          </cell>
          <cell r="E60">
            <v>6</v>
          </cell>
          <cell r="F60" t="str">
            <v>CAD</v>
          </cell>
          <cell r="G60">
            <v>1</v>
          </cell>
          <cell r="H60" t="str">
            <v>Brian Baker</v>
          </cell>
          <cell r="I60" t="str">
            <v>President and CEO</v>
          </cell>
          <cell r="J60">
            <v>0</v>
          </cell>
          <cell r="K60">
            <v>818.21866999999997</v>
          </cell>
          <cell r="L60">
            <v>1368.2986699999999</v>
          </cell>
          <cell r="M60">
            <v>300000</v>
          </cell>
          <cell r="N60">
            <v>600000</v>
          </cell>
          <cell r="O60">
            <v>600000</v>
          </cell>
          <cell r="P60">
            <v>832239</v>
          </cell>
          <cell r="Q60">
            <v>1664478</v>
          </cell>
          <cell r="R60">
            <v>2.77413</v>
          </cell>
          <cell r="S60">
            <v>2.77413</v>
          </cell>
          <cell r="T60">
            <v>1664478</v>
          </cell>
          <cell r="U60">
            <v>2264478</v>
          </cell>
          <cell r="V60">
            <v>2264478</v>
          </cell>
          <cell r="W60">
            <v>0</v>
          </cell>
          <cell r="X60">
            <v>0</v>
          </cell>
          <cell r="Y60">
            <v>38100</v>
          </cell>
          <cell r="Z60">
            <v>0</v>
          </cell>
          <cell r="AA60">
            <v>0</v>
          </cell>
          <cell r="AB60">
            <v>38100</v>
          </cell>
          <cell r="AC60">
            <v>6.3500000000000001E-2</v>
          </cell>
          <cell r="AD60">
            <v>6.3500000000000001E-2</v>
          </cell>
          <cell r="AE60">
            <v>38100</v>
          </cell>
          <cell r="AF60">
            <v>2302578</v>
          </cell>
          <cell r="AG60">
            <v>0</v>
          </cell>
          <cell r="AH60">
            <v>0</v>
          </cell>
          <cell r="AI60">
            <v>15578</v>
          </cell>
          <cell r="AJ60">
            <v>2318156</v>
          </cell>
          <cell r="AK60" t="str">
            <v>*</v>
          </cell>
          <cell r="AL60" t="str">
            <v>*</v>
          </cell>
          <cell r="AM60" t="str">
            <v xml:space="preserve">One-time award to Baker (Melcor Developments; tsx:MRD) for the sale of assets to Melcor (paid over 3 years) has been excluded from this analysis ($762,485). Mr. Barker commenced as President and CEO July 2013, and as such, his salary and bonus has been annualized. Part of Baker's time is spent at Melcor REIT, but he is compensated only by Melcor Developments. </v>
          </cell>
          <cell r="AO60">
            <v>0</v>
          </cell>
          <cell r="AP60">
            <v>0</v>
          </cell>
          <cell r="AR60">
            <v>0</v>
          </cell>
          <cell r="AS60">
            <v>0</v>
          </cell>
          <cell r="AT60">
            <v>5</v>
          </cell>
          <cell r="AU60">
            <v>41639</v>
          </cell>
          <cell r="AV60">
            <v>15000</v>
          </cell>
          <cell r="AW60">
            <v>19.260000000000002</v>
          </cell>
          <cell r="AX60">
            <v>0</v>
          </cell>
          <cell r="AY60">
            <v>0</v>
          </cell>
          <cell r="AZ60">
            <v>0</v>
          </cell>
          <cell r="BA60">
            <v>0</v>
          </cell>
          <cell r="BB60">
            <v>0</v>
          </cell>
          <cell r="BC60">
            <v>0</v>
          </cell>
          <cell r="BD60">
            <v>0</v>
          </cell>
          <cell r="BE60">
            <v>0</v>
          </cell>
          <cell r="BF60">
            <v>0</v>
          </cell>
          <cell r="BG60">
            <v>0</v>
          </cell>
          <cell r="BH60">
            <v>0</v>
          </cell>
          <cell r="BI60">
            <v>0</v>
          </cell>
          <cell r="BJ60">
            <v>0</v>
          </cell>
        </row>
        <row r="61">
          <cell r="A61" t="str">
            <v>tsx:MRD__2012</v>
          </cell>
          <cell r="B61" t="str">
            <v>tsx:MRD</v>
          </cell>
          <cell r="C61" t="str">
            <v>Melcor Developments Ltd.</v>
          </cell>
          <cell r="D61">
            <v>2012</v>
          </cell>
          <cell r="E61">
            <v>12</v>
          </cell>
          <cell r="F61" t="str">
            <v>CAD</v>
          </cell>
          <cell r="G61">
            <v>1</v>
          </cell>
          <cell r="H61">
            <v>0</v>
          </cell>
          <cell r="I61">
            <v>0</v>
          </cell>
          <cell r="J61">
            <v>0</v>
          </cell>
          <cell r="K61">
            <v>818.21866999999997</v>
          </cell>
          <cell r="L61">
            <v>1368.2986699999999</v>
          </cell>
          <cell r="M61">
            <v>0</v>
          </cell>
          <cell r="N61">
            <v>0</v>
          </cell>
          <cell r="O61">
            <v>0</v>
          </cell>
          <cell r="P61">
            <v>0</v>
          </cell>
          <cell r="Q61">
            <v>0</v>
          </cell>
          <cell r="R61" t="str">
            <v>input</v>
          </cell>
          <cell r="S61">
            <v>0</v>
          </cell>
          <cell r="T61">
            <v>0</v>
          </cell>
          <cell r="U61">
            <v>0</v>
          </cell>
          <cell r="V61">
            <v>0</v>
          </cell>
          <cell r="W61">
            <v>0</v>
          </cell>
          <cell r="X61">
            <v>0</v>
          </cell>
          <cell r="Y61">
            <v>0</v>
          </cell>
          <cell r="Z61">
            <v>0</v>
          </cell>
          <cell r="AA61">
            <v>0</v>
          </cell>
          <cell r="AB61">
            <v>0</v>
          </cell>
          <cell r="AC61" t="str">
            <v>input</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row>
        <row r="62">
          <cell r="A62" t="str">
            <v>tsx:MRD__2011</v>
          </cell>
          <cell r="B62" t="str">
            <v>tsx:MRD</v>
          </cell>
          <cell r="C62" t="str">
            <v>Melcor Developments Ltd.</v>
          </cell>
          <cell r="D62">
            <v>2011</v>
          </cell>
          <cell r="E62">
            <v>12</v>
          </cell>
          <cell r="F62" t="str">
            <v>CAD</v>
          </cell>
          <cell r="G62">
            <v>1</v>
          </cell>
          <cell r="H62">
            <v>0</v>
          </cell>
          <cell r="I62">
            <v>0</v>
          </cell>
          <cell r="J62">
            <v>0</v>
          </cell>
          <cell r="K62">
            <v>818.21866999999997</v>
          </cell>
          <cell r="L62">
            <v>1368.2986699999999</v>
          </cell>
          <cell r="M62">
            <v>0</v>
          </cell>
          <cell r="N62">
            <v>0</v>
          </cell>
          <cell r="O62">
            <v>0</v>
          </cell>
          <cell r="P62">
            <v>0</v>
          </cell>
          <cell r="Q62">
            <v>0</v>
          </cell>
          <cell r="R62" t="str">
            <v>input</v>
          </cell>
          <cell r="S62">
            <v>0</v>
          </cell>
          <cell r="T62">
            <v>0</v>
          </cell>
          <cell r="U62">
            <v>0</v>
          </cell>
          <cell r="V62">
            <v>0</v>
          </cell>
          <cell r="W62">
            <v>0</v>
          </cell>
          <cell r="X62">
            <v>0</v>
          </cell>
          <cell r="Y62">
            <v>0</v>
          </cell>
          <cell r="Z62">
            <v>0</v>
          </cell>
          <cell r="AA62">
            <v>0</v>
          </cell>
          <cell r="AB62">
            <v>0</v>
          </cell>
          <cell r="AC62" t="str">
            <v>input</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row>
        <row r="63">
          <cell r="A63" t="str">
            <v>tsx:MRD_CEO_Target</v>
          </cell>
          <cell r="B63" t="str">
            <v>tsx:MRD</v>
          </cell>
          <cell r="C63" t="str">
            <v>Melcor Developments Ltd.</v>
          </cell>
          <cell r="D63" t="str">
            <v>Target</v>
          </cell>
          <cell r="E63">
            <v>6</v>
          </cell>
          <cell r="F63" t="str">
            <v>CAD</v>
          </cell>
          <cell r="G63">
            <v>1</v>
          </cell>
          <cell r="H63" t="str">
            <v>Brian Baker</v>
          </cell>
          <cell r="I63" t="str">
            <v>President and CEO</v>
          </cell>
          <cell r="J63" t="str">
            <v>CEO</v>
          </cell>
          <cell r="K63">
            <v>818.21866999999997</v>
          </cell>
          <cell r="L63">
            <v>1368.2986699999999</v>
          </cell>
          <cell r="M63">
            <v>300000</v>
          </cell>
          <cell r="N63">
            <v>600000</v>
          </cell>
          <cell r="O63">
            <v>600000</v>
          </cell>
          <cell r="P63">
            <v>832239</v>
          </cell>
          <cell r="Q63">
            <v>1664478</v>
          </cell>
          <cell r="R63">
            <v>2.77413</v>
          </cell>
          <cell r="S63">
            <v>2.77413</v>
          </cell>
          <cell r="T63">
            <v>1664478</v>
          </cell>
          <cell r="U63">
            <v>2264478</v>
          </cell>
          <cell r="V63">
            <v>2264478</v>
          </cell>
          <cell r="W63" t="str">
            <v>input</v>
          </cell>
          <cell r="X63" t="str">
            <v>input</v>
          </cell>
          <cell r="Y63">
            <v>38100</v>
          </cell>
          <cell r="Z63" t="str">
            <v>input</v>
          </cell>
          <cell r="AA63" t="str">
            <v>input</v>
          </cell>
          <cell r="AB63">
            <v>38100</v>
          </cell>
          <cell r="AC63">
            <v>6.3500000000000001E-2</v>
          </cell>
          <cell r="AD63">
            <v>6.3500000000000001E-2</v>
          </cell>
          <cell r="AE63">
            <v>38100</v>
          </cell>
          <cell r="AF63">
            <v>2302578</v>
          </cell>
          <cell r="AG63">
            <v>2302578</v>
          </cell>
          <cell r="AH63">
            <v>0</v>
          </cell>
          <cell r="AI63">
            <v>0</v>
          </cell>
          <cell r="AJ63">
            <v>2302578</v>
          </cell>
          <cell r="AK63" t="str">
            <v>*</v>
          </cell>
          <cell r="AL63" t="str">
            <v>*</v>
          </cell>
          <cell r="AM63" t="str">
            <v xml:space="preserve">One-time award to Baker (Melcor Developments; tsx:MRD) for the sale of assets to Melcor (paid over 3 years) has been excluded from this analysis ($762,485). Mr. Barker commenced as President and CEO July 2013, and as such, his salary and bonus has been annualized. Part of Baker's time is spent at Melcor REIT, but he is compensated only by Melcor Developments. </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row>
        <row r="64">
          <cell r="A64" t="str">
            <v>tsx:MRD_CEO_Target</v>
          </cell>
          <cell r="B64" t="str">
            <v>tsx:MRD</v>
          </cell>
          <cell r="C64" t="str">
            <v>Melcor Developments Ltd.</v>
          </cell>
          <cell r="D64" t="str">
            <v>Target</v>
          </cell>
          <cell r="E64">
            <v>6</v>
          </cell>
          <cell r="F64" t="str">
            <v>CAD</v>
          </cell>
          <cell r="G64">
            <v>1</v>
          </cell>
          <cell r="H64" t="str">
            <v>Brian Baker</v>
          </cell>
          <cell r="I64" t="str">
            <v>President and CEO</v>
          </cell>
          <cell r="J64" t="str">
            <v>CEO</v>
          </cell>
          <cell r="K64">
            <v>818.21866999999997</v>
          </cell>
          <cell r="L64">
            <v>1368.2986699999999</v>
          </cell>
          <cell r="M64">
            <v>300000</v>
          </cell>
          <cell r="N64">
            <v>600000</v>
          </cell>
          <cell r="O64">
            <v>600000</v>
          </cell>
          <cell r="P64">
            <v>832239</v>
          </cell>
          <cell r="Q64">
            <v>1664478</v>
          </cell>
          <cell r="R64">
            <v>2.77413</v>
          </cell>
          <cell r="S64">
            <v>2.77413</v>
          </cell>
          <cell r="T64">
            <v>1664478</v>
          </cell>
          <cell r="U64">
            <v>2264478</v>
          </cell>
          <cell r="V64">
            <v>2264478</v>
          </cell>
          <cell r="W64" t="str">
            <v>input</v>
          </cell>
          <cell r="X64" t="str">
            <v>input</v>
          </cell>
          <cell r="Y64">
            <v>38100</v>
          </cell>
          <cell r="Z64" t="str">
            <v>input</v>
          </cell>
          <cell r="AA64" t="str">
            <v>input</v>
          </cell>
          <cell r="AB64">
            <v>38100</v>
          </cell>
          <cell r="AC64">
            <v>6.3500000000000001E-2</v>
          </cell>
          <cell r="AD64">
            <v>6.3500000000000001E-2</v>
          </cell>
          <cell r="AE64">
            <v>38100</v>
          </cell>
          <cell r="AF64">
            <v>2302578</v>
          </cell>
          <cell r="AG64">
            <v>2302578</v>
          </cell>
          <cell r="AH64">
            <v>0</v>
          </cell>
          <cell r="AI64">
            <v>0</v>
          </cell>
          <cell r="AJ64">
            <v>2302578</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row>
        <row r="65">
          <cell r="A65" t="str">
            <v>tsx:MRD__2013</v>
          </cell>
          <cell r="B65" t="str">
            <v>tsx:MRD</v>
          </cell>
          <cell r="C65" t="str">
            <v>Melcor Developments Ltd.</v>
          </cell>
          <cell r="D65">
            <v>2013</v>
          </cell>
          <cell r="E65">
            <v>12</v>
          </cell>
          <cell r="F65" t="str">
            <v>CAD</v>
          </cell>
          <cell r="G65">
            <v>1</v>
          </cell>
          <cell r="H65" t="str">
            <v>Jonathan Chia</v>
          </cell>
          <cell r="I65" t="str">
            <v>CFO</v>
          </cell>
          <cell r="J65">
            <v>0</v>
          </cell>
          <cell r="K65">
            <v>818.21866999999997</v>
          </cell>
          <cell r="L65">
            <v>1368.2986699999999</v>
          </cell>
          <cell r="M65">
            <v>200000</v>
          </cell>
          <cell r="N65">
            <v>200000</v>
          </cell>
          <cell r="O65">
            <v>200000</v>
          </cell>
          <cell r="P65">
            <v>233027</v>
          </cell>
          <cell r="Q65">
            <v>233027</v>
          </cell>
          <cell r="R65">
            <v>1.165135</v>
          </cell>
          <cell r="S65">
            <v>0.916705021329555</v>
          </cell>
          <cell r="T65">
            <v>183341.004265911</v>
          </cell>
          <cell r="U65">
            <v>433027</v>
          </cell>
          <cell r="V65">
            <v>383341.004265911</v>
          </cell>
          <cell r="W65">
            <v>0</v>
          </cell>
          <cell r="X65">
            <v>0</v>
          </cell>
          <cell r="Y65">
            <v>30480</v>
          </cell>
          <cell r="Z65">
            <v>0</v>
          </cell>
          <cell r="AA65">
            <v>0</v>
          </cell>
          <cell r="AB65">
            <v>30480</v>
          </cell>
          <cell r="AC65">
            <v>0.15240000000000001</v>
          </cell>
          <cell r="AD65">
            <v>0.15240000000000001</v>
          </cell>
          <cell r="AE65">
            <v>30480</v>
          </cell>
          <cell r="AF65">
            <v>463507</v>
          </cell>
          <cell r="AG65">
            <v>0</v>
          </cell>
          <cell r="AH65">
            <v>0</v>
          </cell>
          <cell r="AI65">
            <v>14806</v>
          </cell>
          <cell r="AJ65">
            <v>478313</v>
          </cell>
          <cell r="AK65" t="str">
            <v>***</v>
          </cell>
          <cell r="AL65" t="str">
            <v>***</v>
          </cell>
          <cell r="AM65" t="str">
            <v xml:space="preserve">One-time award to Chia (Melcor Developments; tsx:MRD) for the sale of assets to Melcor (paid over 3 years) has been excluded from this analysis ($275,000). Chia commenced end of January 2011, and as such, his salary and bonus in calculating incentive targets have been annualized. Excluded second-highest-paid Eva of Investment Properties, he is also CEO of Melcor REIT. We note that Darin Rayburn, EVP Investment Properties, was recorded as the second-highest paid (after exclusion of the Co-Executive Chairman), however, he has been excluded given his CEO position at Melcor REIT. </v>
          </cell>
          <cell r="AO65">
            <v>0</v>
          </cell>
          <cell r="AP65">
            <v>0</v>
          </cell>
          <cell r="AR65">
            <v>0</v>
          </cell>
          <cell r="AS65">
            <v>0</v>
          </cell>
          <cell r="AT65">
            <v>5</v>
          </cell>
          <cell r="AU65">
            <v>41639</v>
          </cell>
          <cell r="AV65">
            <v>12000</v>
          </cell>
          <cell r="AW65">
            <v>19.260000000000002</v>
          </cell>
          <cell r="AX65">
            <v>0</v>
          </cell>
          <cell r="AY65">
            <v>0</v>
          </cell>
          <cell r="AZ65">
            <v>0</v>
          </cell>
          <cell r="BA65">
            <v>0</v>
          </cell>
          <cell r="BB65">
            <v>0</v>
          </cell>
          <cell r="BC65">
            <v>0</v>
          </cell>
          <cell r="BD65">
            <v>0</v>
          </cell>
          <cell r="BE65">
            <v>0</v>
          </cell>
          <cell r="BF65">
            <v>0</v>
          </cell>
          <cell r="BG65">
            <v>0</v>
          </cell>
          <cell r="BH65">
            <v>0</v>
          </cell>
          <cell r="BI65">
            <v>0</v>
          </cell>
          <cell r="BJ65">
            <v>0</v>
          </cell>
        </row>
        <row r="66">
          <cell r="A66" t="str">
            <v>tsx:MRD__2012</v>
          </cell>
          <cell r="B66" t="str">
            <v>tsx:MRD</v>
          </cell>
          <cell r="C66" t="str">
            <v>Melcor Developments Ltd.</v>
          </cell>
          <cell r="D66">
            <v>2012</v>
          </cell>
          <cell r="E66">
            <v>12</v>
          </cell>
          <cell r="F66" t="str">
            <v>CAD</v>
          </cell>
          <cell r="G66">
            <v>1</v>
          </cell>
          <cell r="H66" t="str">
            <v>Jonathan Chia</v>
          </cell>
          <cell r="I66" t="str">
            <v>CFO</v>
          </cell>
          <cell r="J66">
            <v>0</v>
          </cell>
          <cell r="K66">
            <v>818.21866999999997</v>
          </cell>
          <cell r="L66">
            <v>1368.2986699999999</v>
          </cell>
          <cell r="M66">
            <v>170000</v>
          </cell>
          <cell r="N66">
            <v>170000</v>
          </cell>
          <cell r="O66">
            <v>0</v>
          </cell>
          <cell r="P66">
            <v>150000</v>
          </cell>
          <cell r="Q66">
            <v>150000</v>
          </cell>
          <cell r="R66">
            <v>0.88235294117647056</v>
          </cell>
          <cell r="S66">
            <v>0</v>
          </cell>
          <cell r="T66">
            <v>0</v>
          </cell>
          <cell r="U66">
            <v>0</v>
          </cell>
          <cell r="V66">
            <v>0</v>
          </cell>
          <cell r="W66">
            <v>0</v>
          </cell>
          <cell r="X66">
            <v>0</v>
          </cell>
          <cell r="Y66">
            <v>0</v>
          </cell>
          <cell r="Z66">
            <v>0</v>
          </cell>
          <cell r="AA66">
            <v>0</v>
          </cell>
          <cell r="AB66">
            <v>0</v>
          </cell>
          <cell r="AC66">
            <v>0</v>
          </cell>
          <cell r="AD66">
            <v>0</v>
          </cell>
          <cell r="AE66">
            <v>0</v>
          </cell>
          <cell r="AF66">
            <v>320000</v>
          </cell>
          <cell r="AG66">
            <v>0</v>
          </cell>
          <cell r="AH66">
            <v>0</v>
          </cell>
          <cell r="AI66">
            <v>13201</v>
          </cell>
          <cell r="AJ66">
            <v>333201</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row>
        <row r="67">
          <cell r="A67" t="str">
            <v>tsx:MRD__2011</v>
          </cell>
          <cell r="B67" t="str">
            <v>tsx:MRD</v>
          </cell>
          <cell r="C67" t="str">
            <v>Melcor Developments Ltd.</v>
          </cell>
          <cell r="D67">
            <v>2011</v>
          </cell>
          <cell r="E67">
            <v>11</v>
          </cell>
          <cell r="F67" t="str">
            <v>CAD</v>
          </cell>
          <cell r="G67">
            <v>1</v>
          </cell>
          <cell r="H67" t="str">
            <v>Jonathan Chia</v>
          </cell>
          <cell r="I67" t="str">
            <v>CFO</v>
          </cell>
          <cell r="J67">
            <v>0</v>
          </cell>
          <cell r="K67">
            <v>818.21866999999997</v>
          </cell>
          <cell r="L67">
            <v>1368.2986699999999</v>
          </cell>
          <cell r="M67">
            <v>142323</v>
          </cell>
          <cell r="N67">
            <v>155261.45454545453</v>
          </cell>
          <cell r="O67">
            <v>0</v>
          </cell>
          <cell r="P67">
            <v>100000</v>
          </cell>
          <cell r="Q67">
            <v>109090.90909090909</v>
          </cell>
          <cell r="R67">
            <v>0.70262712281219486</v>
          </cell>
          <cell r="S67">
            <v>0</v>
          </cell>
          <cell r="T67">
            <v>0</v>
          </cell>
          <cell r="U67">
            <v>0</v>
          </cell>
          <cell r="V67">
            <v>0</v>
          </cell>
          <cell r="W67">
            <v>0</v>
          </cell>
          <cell r="X67">
            <v>0</v>
          </cell>
          <cell r="Y67">
            <v>197100</v>
          </cell>
          <cell r="Z67">
            <v>0</v>
          </cell>
          <cell r="AA67">
            <v>0</v>
          </cell>
          <cell r="AB67">
            <v>197100</v>
          </cell>
          <cell r="AC67">
            <v>1.2694715541409332</v>
          </cell>
          <cell r="AD67">
            <v>0</v>
          </cell>
          <cell r="AE67">
            <v>197100</v>
          </cell>
          <cell r="AF67">
            <v>461452.36363636365</v>
          </cell>
          <cell r="AG67">
            <v>0</v>
          </cell>
          <cell r="AH67">
            <v>0</v>
          </cell>
          <cell r="AI67">
            <v>8458</v>
          </cell>
          <cell r="AJ67">
            <v>469910.36363636365</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row>
        <row r="68">
          <cell r="A68" t="str">
            <v>tsx:MRD_CFO_Target</v>
          </cell>
          <cell r="B68" t="str">
            <v>tsx:MRD</v>
          </cell>
          <cell r="C68" t="str">
            <v>Melcor Developments Ltd.</v>
          </cell>
          <cell r="D68" t="str">
            <v>Target</v>
          </cell>
          <cell r="E68">
            <v>12</v>
          </cell>
          <cell r="F68" t="str">
            <v>CAD</v>
          </cell>
          <cell r="G68">
            <v>1</v>
          </cell>
          <cell r="H68" t="str">
            <v>Jonathan Chia</v>
          </cell>
          <cell r="I68" t="str">
            <v>CFO</v>
          </cell>
          <cell r="J68" t="str">
            <v>CFO</v>
          </cell>
          <cell r="K68">
            <v>818.21866999999997</v>
          </cell>
          <cell r="L68">
            <v>1368.2986699999999</v>
          </cell>
          <cell r="M68">
            <v>200000</v>
          </cell>
          <cell r="N68">
            <v>200000</v>
          </cell>
          <cell r="O68">
            <v>200000</v>
          </cell>
          <cell r="P68">
            <v>233027</v>
          </cell>
          <cell r="Q68">
            <v>233027</v>
          </cell>
          <cell r="R68">
            <v>1.165135</v>
          </cell>
          <cell r="S68">
            <v>0.916705021329555</v>
          </cell>
          <cell r="T68">
            <v>183341.004265911</v>
          </cell>
          <cell r="U68">
            <v>433027</v>
          </cell>
          <cell r="V68">
            <v>383341.004265911</v>
          </cell>
          <cell r="W68" t="str">
            <v>input</v>
          </cell>
          <cell r="X68" t="str">
            <v>input</v>
          </cell>
          <cell r="Y68">
            <v>75860</v>
          </cell>
          <cell r="Z68" t="str">
            <v>input</v>
          </cell>
          <cell r="AA68" t="str">
            <v>input</v>
          </cell>
          <cell r="AB68">
            <v>30480</v>
          </cell>
          <cell r="AC68">
            <v>0.4739571847136444</v>
          </cell>
          <cell r="AD68">
            <v>0.15240000000000001</v>
          </cell>
          <cell r="AE68">
            <v>94791.436942728877</v>
          </cell>
          <cell r="AF68">
            <v>463507</v>
          </cell>
          <cell r="AG68">
            <v>478132.44120863988</v>
          </cell>
          <cell r="AH68">
            <v>0</v>
          </cell>
          <cell r="AI68">
            <v>0</v>
          </cell>
          <cell r="AJ68">
            <v>463507</v>
          </cell>
          <cell r="AK68" t="str">
            <v>***</v>
          </cell>
          <cell r="AL68" t="str">
            <v>***</v>
          </cell>
          <cell r="AM68" t="str">
            <v xml:space="preserve">One-time award to Chia (Melcor Developments; tsx:MRD) for the sale of assets to Melcor (paid over 3 years) has been excluded from this analysis ($275,000). Chia commenced end of January 2011, and as such, his salary and bonus in calculating incentive targets have been annualized. Excluded second-highest-paid Eva of Investment Properties, he is also CEO of Melcor REIT. We note that Darin Rayburn, EVP Investment Properties, was recorded as the second-highest paid (after exclusion of the Co-Executive Chairman), however, he has been excluded given his CEO position at Melcor REIT. </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row>
        <row r="69">
          <cell r="A69" t="str">
            <v>tsx:MRD_CFO_Target</v>
          </cell>
          <cell r="B69" t="str">
            <v>tsx:MRD</v>
          </cell>
          <cell r="C69" t="str">
            <v>Melcor Developments Ltd.</v>
          </cell>
          <cell r="D69" t="str">
            <v>Target</v>
          </cell>
          <cell r="E69">
            <v>12</v>
          </cell>
          <cell r="F69" t="str">
            <v>CAD</v>
          </cell>
          <cell r="G69">
            <v>1</v>
          </cell>
          <cell r="H69" t="str">
            <v>Jonathan Chia</v>
          </cell>
          <cell r="I69" t="str">
            <v>CFO</v>
          </cell>
          <cell r="J69" t="str">
            <v>CFO</v>
          </cell>
          <cell r="K69">
            <v>818.21866999999997</v>
          </cell>
          <cell r="L69">
            <v>1368.2986699999999</v>
          </cell>
          <cell r="M69">
            <v>200000</v>
          </cell>
          <cell r="N69">
            <v>200000</v>
          </cell>
          <cell r="O69">
            <v>200000</v>
          </cell>
          <cell r="P69">
            <v>233027</v>
          </cell>
          <cell r="Q69">
            <v>233027</v>
          </cell>
          <cell r="R69">
            <v>1.165135</v>
          </cell>
          <cell r="S69">
            <v>0.916705021329555</v>
          </cell>
          <cell r="T69">
            <v>183341.004265911</v>
          </cell>
          <cell r="U69">
            <v>433027</v>
          </cell>
          <cell r="V69">
            <v>383341.004265911</v>
          </cell>
          <cell r="W69" t="str">
            <v>input</v>
          </cell>
          <cell r="X69" t="str">
            <v>input</v>
          </cell>
          <cell r="Y69">
            <v>75860</v>
          </cell>
          <cell r="Z69" t="str">
            <v>input</v>
          </cell>
          <cell r="AA69" t="str">
            <v>input</v>
          </cell>
          <cell r="AB69">
            <v>30480</v>
          </cell>
          <cell r="AC69">
            <v>0.4739571847136444</v>
          </cell>
          <cell r="AD69">
            <v>0.15240000000000001</v>
          </cell>
          <cell r="AE69">
            <v>94791.436942728877</v>
          </cell>
          <cell r="AF69">
            <v>463507</v>
          </cell>
          <cell r="AG69">
            <v>478132.44120863988</v>
          </cell>
          <cell r="AH69">
            <v>0</v>
          </cell>
          <cell r="AI69">
            <v>0</v>
          </cell>
          <cell r="AJ69">
            <v>463507</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row>
        <row r="70">
          <cell r="A70" t="str">
            <v>tsx:MEQ__2013</v>
          </cell>
          <cell r="B70" t="str">
            <v>tsx:MEQ</v>
          </cell>
          <cell r="C70" t="str">
            <v>Mainstreet Equity Corp.</v>
          </cell>
          <cell r="D70">
            <v>2013</v>
          </cell>
          <cell r="E70">
            <v>12</v>
          </cell>
          <cell r="F70" t="str">
            <v>CAD</v>
          </cell>
          <cell r="G70">
            <v>1</v>
          </cell>
          <cell r="H70" t="str">
            <v>Navjeet Dhillon</v>
          </cell>
          <cell r="I70" t="str">
            <v>President and CEO</v>
          </cell>
          <cell r="J70">
            <v>0</v>
          </cell>
          <cell r="K70">
            <v>421.16786999999999</v>
          </cell>
          <cell r="L70">
            <v>1020.15487</v>
          </cell>
          <cell r="M70">
            <v>1400000</v>
          </cell>
          <cell r="N70">
            <v>1400000</v>
          </cell>
          <cell r="O70">
            <v>1400000</v>
          </cell>
          <cell r="P70">
            <v>0</v>
          </cell>
          <cell r="Q70">
            <v>0</v>
          </cell>
          <cell r="R70">
            <v>0</v>
          </cell>
          <cell r="S70">
            <v>0</v>
          </cell>
          <cell r="T70">
            <v>0</v>
          </cell>
          <cell r="U70">
            <v>1400000</v>
          </cell>
          <cell r="V70">
            <v>1400000</v>
          </cell>
          <cell r="W70">
            <v>0</v>
          </cell>
          <cell r="X70">
            <v>0</v>
          </cell>
          <cell r="Y70">
            <v>0</v>
          </cell>
          <cell r="Z70">
            <v>0</v>
          </cell>
          <cell r="AA70">
            <v>0</v>
          </cell>
          <cell r="AB70">
            <v>0</v>
          </cell>
          <cell r="AC70">
            <v>0</v>
          </cell>
          <cell r="AD70">
            <v>0</v>
          </cell>
          <cell r="AE70">
            <v>0</v>
          </cell>
          <cell r="AF70">
            <v>1400000</v>
          </cell>
          <cell r="AG70">
            <v>0</v>
          </cell>
          <cell r="AH70">
            <v>0</v>
          </cell>
          <cell r="AI70">
            <v>1125</v>
          </cell>
          <cell r="AJ70">
            <v>1401125</v>
          </cell>
          <cell r="AK70" t="str">
            <v>targets disclosed</v>
          </cell>
          <cell r="AL70" t="str">
            <v>targets disclosed</v>
          </cell>
          <cell r="AM70" t="str">
            <v xml:space="preserve">Dhillon (Mainstreet Equity Corp., tsx:MEQ) also received $214,000 in commissions, but these are not incurred or paid by the Corporation (selling party to the transaction pays). </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row>
        <row r="71">
          <cell r="A71" t="str">
            <v>tsx:MEQ__2012</v>
          </cell>
          <cell r="B71" t="str">
            <v>tsx:MEQ</v>
          </cell>
          <cell r="C71" t="str">
            <v>Mainstreet Equity Corp.</v>
          </cell>
          <cell r="D71">
            <v>2012</v>
          </cell>
          <cell r="E71">
            <v>12</v>
          </cell>
          <cell r="F71" t="str">
            <v>CAD</v>
          </cell>
          <cell r="G71">
            <v>1</v>
          </cell>
          <cell r="H71" t="str">
            <v>Navjeet Dhillon</v>
          </cell>
          <cell r="I71" t="str">
            <v>President and CEO</v>
          </cell>
          <cell r="J71">
            <v>0</v>
          </cell>
          <cell r="K71">
            <v>421.16786999999999</v>
          </cell>
          <cell r="L71">
            <v>1020.15487</v>
          </cell>
          <cell r="M71">
            <v>1338698</v>
          </cell>
          <cell r="N71">
            <v>1338698</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1338698</v>
          </cell>
          <cell r="AG71">
            <v>0</v>
          </cell>
          <cell r="AH71">
            <v>0</v>
          </cell>
          <cell r="AI71">
            <v>2150</v>
          </cell>
          <cell r="AJ71">
            <v>1340848</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row>
        <row r="72">
          <cell r="A72" t="str">
            <v>tsx:MEQ__2011</v>
          </cell>
          <cell r="B72" t="str">
            <v>tsx:MEQ</v>
          </cell>
          <cell r="C72" t="str">
            <v>Mainstreet Equity Corp.</v>
          </cell>
          <cell r="D72">
            <v>2011</v>
          </cell>
          <cell r="E72">
            <v>12</v>
          </cell>
          <cell r="F72" t="str">
            <v>CAD</v>
          </cell>
          <cell r="G72">
            <v>1</v>
          </cell>
          <cell r="H72" t="str">
            <v>Navjeet Dhillon</v>
          </cell>
          <cell r="I72" t="str">
            <v>President and CEO</v>
          </cell>
          <cell r="J72">
            <v>0</v>
          </cell>
          <cell r="K72">
            <v>421.16786999999999</v>
          </cell>
          <cell r="L72">
            <v>1020.15487</v>
          </cell>
          <cell r="M72">
            <v>1406800</v>
          </cell>
          <cell r="N72">
            <v>1406800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1406800</v>
          </cell>
          <cell r="AG72">
            <v>0</v>
          </cell>
          <cell r="AH72">
            <v>0</v>
          </cell>
          <cell r="AI72">
            <v>2698</v>
          </cell>
          <cell r="AJ72">
            <v>1409498</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row>
        <row r="73">
          <cell r="A73" t="str">
            <v>tsx:MEQ_CEO_Target</v>
          </cell>
          <cell r="B73" t="str">
            <v>tsx:MEQ</v>
          </cell>
          <cell r="C73" t="str">
            <v>Mainstreet Equity Corp.</v>
          </cell>
          <cell r="D73" t="str">
            <v>Target</v>
          </cell>
          <cell r="E73">
            <v>12</v>
          </cell>
          <cell r="F73" t="str">
            <v>CAD</v>
          </cell>
          <cell r="G73">
            <v>1</v>
          </cell>
          <cell r="H73" t="str">
            <v>Navjeet Dhillon</v>
          </cell>
          <cell r="I73" t="str">
            <v>President and CEO</v>
          </cell>
          <cell r="J73" t="str">
            <v>CEO</v>
          </cell>
          <cell r="K73">
            <v>421.16786999999999</v>
          </cell>
          <cell r="L73">
            <v>1020.15487</v>
          </cell>
          <cell r="M73">
            <v>1400000</v>
          </cell>
          <cell r="N73">
            <v>1400000</v>
          </cell>
          <cell r="O73">
            <v>1400000</v>
          </cell>
          <cell r="P73">
            <v>0</v>
          </cell>
          <cell r="Q73">
            <v>0</v>
          </cell>
          <cell r="R73">
            <v>0</v>
          </cell>
          <cell r="S73">
            <v>0</v>
          </cell>
          <cell r="T73">
            <v>0</v>
          </cell>
          <cell r="U73">
            <v>1400000</v>
          </cell>
          <cell r="V73">
            <v>1400000</v>
          </cell>
          <cell r="W73" t="str">
            <v>input</v>
          </cell>
          <cell r="X73" t="str">
            <v>input</v>
          </cell>
          <cell r="Y73" t="str">
            <v>input</v>
          </cell>
          <cell r="Z73" t="str">
            <v>input</v>
          </cell>
          <cell r="AA73" t="str">
            <v>input</v>
          </cell>
          <cell r="AB73">
            <v>0</v>
          </cell>
          <cell r="AC73">
            <v>0</v>
          </cell>
          <cell r="AD73">
            <v>0</v>
          </cell>
          <cell r="AE73">
            <v>0</v>
          </cell>
          <cell r="AF73">
            <v>1400000</v>
          </cell>
          <cell r="AG73">
            <v>1400000</v>
          </cell>
          <cell r="AH73">
            <v>0</v>
          </cell>
          <cell r="AI73">
            <v>0</v>
          </cell>
          <cell r="AJ73">
            <v>1400000</v>
          </cell>
          <cell r="AK73" t="str">
            <v>targets disclosed</v>
          </cell>
          <cell r="AL73" t="str">
            <v>targets disclosed</v>
          </cell>
          <cell r="AM73" t="str">
            <v xml:space="preserve">Dhillon (Mainstreet Equity Corp., tsx:MEQ) also received $214,000 in commissions, but these are not incurred or paid by the Corporation (selling party to the transaction pays). </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row>
        <row r="74">
          <cell r="A74" t="str">
            <v>tsx:MEQ_CEO_Target</v>
          </cell>
          <cell r="B74" t="str">
            <v>tsx:MEQ</v>
          </cell>
          <cell r="C74" t="str">
            <v>Mainstreet Equity Corp.</v>
          </cell>
          <cell r="D74" t="str">
            <v>Target</v>
          </cell>
          <cell r="E74">
            <v>12</v>
          </cell>
          <cell r="F74" t="str">
            <v>CAD</v>
          </cell>
          <cell r="G74">
            <v>1</v>
          </cell>
          <cell r="H74" t="str">
            <v>Navjeet Dhillon</v>
          </cell>
          <cell r="I74" t="str">
            <v>President and CEO</v>
          </cell>
          <cell r="J74" t="str">
            <v>CEO</v>
          </cell>
          <cell r="K74">
            <v>421.16786999999999</v>
          </cell>
          <cell r="L74">
            <v>1020.15487</v>
          </cell>
          <cell r="M74">
            <v>1400000</v>
          </cell>
          <cell r="N74">
            <v>1400000</v>
          </cell>
          <cell r="O74">
            <v>1400000</v>
          </cell>
          <cell r="P74">
            <v>0</v>
          </cell>
          <cell r="Q74">
            <v>0</v>
          </cell>
          <cell r="R74">
            <v>0</v>
          </cell>
          <cell r="S74">
            <v>0</v>
          </cell>
          <cell r="T74">
            <v>0</v>
          </cell>
          <cell r="U74">
            <v>1400000</v>
          </cell>
          <cell r="V74">
            <v>1400000</v>
          </cell>
          <cell r="W74" t="str">
            <v>input</v>
          </cell>
          <cell r="X74" t="str">
            <v>input</v>
          </cell>
          <cell r="Y74" t="str">
            <v>input</v>
          </cell>
          <cell r="Z74" t="str">
            <v>input</v>
          </cell>
          <cell r="AA74" t="str">
            <v>input</v>
          </cell>
          <cell r="AB74">
            <v>0</v>
          </cell>
          <cell r="AC74">
            <v>0</v>
          </cell>
          <cell r="AD74">
            <v>0</v>
          </cell>
          <cell r="AE74">
            <v>0</v>
          </cell>
          <cell r="AF74">
            <v>1400000</v>
          </cell>
          <cell r="AG74">
            <v>1400000</v>
          </cell>
          <cell r="AH74">
            <v>0</v>
          </cell>
          <cell r="AI74">
            <v>0</v>
          </cell>
          <cell r="AJ74">
            <v>1400000</v>
          </cell>
          <cell r="AK74">
            <v>0</v>
          </cell>
          <cell r="AL74">
            <v>0</v>
          </cell>
          <cell r="AM74" t="str">
            <v xml:space="preserve">Dhillon (Mainstreet Equity Corp., tsx:MEQ) also received $214,000 in commissions, but these are not incurred or paid by the Corporation (selling party to the transaction pays). </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row>
        <row r="75">
          <cell r="A75" t="str">
            <v>tsx:MEQ__2013</v>
          </cell>
          <cell r="B75" t="str">
            <v>tsx:MEQ</v>
          </cell>
          <cell r="C75" t="str">
            <v>Mainstreet Equity Corp.</v>
          </cell>
          <cell r="D75">
            <v>2013</v>
          </cell>
          <cell r="E75">
            <v>12</v>
          </cell>
          <cell r="F75" t="str">
            <v>CAD</v>
          </cell>
          <cell r="G75">
            <v>1</v>
          </cell>
          <cell r="H75" t="str">
            <v>Johnny Lam</v>
          </cell>
          <cell r="I75" t="str">
            <v>CFO and COO</v>
          </cell>
          <cell r="J75">
            <v>0</v>
          </cell>
          <cell r="K75">
            <v>421.16786999999999</v>
          </cell>
          <cell r="L75">
            <v>1020.15487</v>
          </cell>
          <cell r="M75">
            <v>357480</v>
          </cell>
          <cell r="N75">
            <v>357480</v>
          </cell>
          <cell r="O75">
            <v>357480</v>
          </cell>
          <cell r="P75">
            <v>0</v>
          </cell>
          <cell r="Q75">
            <v>0</v>
          </cell>
          <cell r="R75">
            <v>0</v>
          </cell>
          <cell r="S75">
            <v>0</v>
          </cell>
          <cell r="T75">
            <v>0</v>
          </cell>
          <cell r="U75">
            <v>357480</v>
          </cell>
          <cell r="V75">
            <v>357480</v>
          </cell>
          <cell r="W75">
            <v>0</v>
          </cell>
          <cell r="X75">
            <v>0</v>
          </cell>
          <cell r="Y75">
            <v>0</v>
          </cell>
          <cell r="Z75">
            <v>0</v>
          </cell>
          <cell r="AA75">
            <v>0</v>
          </cell>
          <cell r="AB75">
            <v>0</v>
          </cell>
          <cell r="AC75">
            <v>0</v>
          </cell>
          <cell r="AD75">
            <v>0</v>
          </cell>
          <cell r="AE75">
            <v>0</v>
          </cell>
          <cell r="AF75">
            <v>357480</v>
          </cell>
          <cell r="AG75">
            <v>0</v>
          </cell>
          <cell r="AH75">
            <v>0</v>
          </cell>
          <cell r="AI75">
            <v>0</v>
          </cell>
          <cell r="AJ75">
            <v>357480</v>
          </cell>
          <cell r="AK75" t="str">
            <v>targets disclosed</v>
          </cell>
          <cell r="AL75" t="str">
            <v>targets disclosed</v>
          </cell>
          <cell r="AM75">
            <v>0</v>
          </cell>
          <cell r="AO75">
            <v>0</v>
          </cell>
          <cell r="AP75">
            <v>0</v>
          </cell>
          <cell r="AR75">
            <v>0</v>
          </cell>
          <cell r="AS75">
            <v>0</v>
          </cell>
          <cell r="AT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row>
        <row r="76">
          <cell r="A76" t="str">
            <v>tsx:MEQ__2012</v>
          </cell>
          <cell r="B76" t="str">
            <v>tsx:MEQ</v>
          </cell>
          <cell r="C76" t="str">
            <v>Mainstreet Equity Corp.</v>
          </cell>
          <cell r="D76">
            <v>2012</v>
          </cell>
          <cell r="E76">
            <v>12</v>
          </cell>
          <cell r="F76" t="str">
            <v>CAD</v>
          </cell>
          <cell r="G76">
            <v>1</v>
          </cell>
          <cell r="H76" t="str">
            <v>Johnny Lam</v>
          </cell>
          <cell r="I76" t="str">
            <v>CFO and COO</v>
          </cell>
          <cell r="J76">
            <v>0</v>
          </cell>
          <cell r="K76">
            <v>421.16786999999999</v>
          </cell>
          <cell r="L76">
            <v>1020.15487</v>
          </cell>
          <cell r="M76">
            <v>297220</v>
          </cell>
          <cell r="N76">
            <v>297220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297220</v>
          </cell>
          <cell r="AG76">
            <v>0</v>
          </cell>
          <cell r="AH76">
            <v>0</v>
          </cell>
          <cell r="AI76">
            <v>0</v>
          </cell>
          <cell r="AJ76">
            <v>297220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row>
        <row r="77">
          <cell r="A77" t="str">
            <v>tsx:MEQ__2011</v>
          </cell>
          <cell r="B77" t="str">
            <v>tsx:MEQ</v>
          </cell>
          <cell r="C77" t="str">
            <v>Mainstreet Equity Corp.</v>
          </cell>
          <cell r="D77">
            <v>2011</v>
          </cell>
          <cell r="E77">
            <v>12</v>
          </cell>
          <cell r="F77" t="str">
            <v>CAD</v>
          </cell>
          <cell r="G77">
            <v>1</v>
          </cell>
          <cell r="H77" t="str">
            <v>Johnny Lam</v>
          </cell>
          <cell r="I77" t="str">
            <v>CFO and COO</v>
          </cell>
          <cell r="J77">
            <v>0</v>
          </cell>
          <cell r="K77">
            <v>421.16786999999999</v>
          </cell>
          <cell r="L77">
            <v>1020.15487</v>
          </cell>
          <cell r="M77">
            <v>277720</v>
          </cell>
          <cell r="N77">
            <v>277720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277720</v>
          </cell>
          <cell r="AG77">
            <v>0</v>
          </cell>
          <cell r="AH77">
            <v>0</v>
          </cell>
          <cell r="AI77">
            <v>0</v>
          </cell>
          <cell r="AJ77">
            <v>277720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row>
        <row r="78">
          <cell r="A78" t="str">
            <v>tsx:MEQ_CFO_Target</v>
          </cell>
          <cell r="B78" t="str">
            <v>tsx:MEQ</v>
          </cell>
          <cell r="C78" t="str">
            <v>Mainstreet Equity Corp.</v>
          </cell>
          <cell r="D78" t="str">
            <v>Target</v>
          </cell>
          <cell r="E78">
            <v>12</v>
          </cell>
          <cell r="F78" t="str">
            <v>CAD</v>
          </cell>
          <cell r="G78">
            <v>1</v>
          </cell>
          <cell r="H78" t="str">
            <v>Johnny Lam</v>
          </cell>
          <cell r="I78" t="str">
            <v>CFO and COO</v>
          </cell>
          <cell r="J78" t="str">
            <v>CFO</v>
          </cell>
          <cell r="K78">
            <v>421.16786999999999</v>
          </cell>
          <cell r="L78">
            <v>1020.15487</v>
          </cell>
          <cell r="M78">
            <v>357480</v>
          </cell>
          <cell r="N78">
            <v>357480</v>
          </cell>
          <cell r="O78">
            <v>357480</v>
          </cell>
          <cell r="P78">
            <v>0</v>
          </cell>
          <cell r="Q78">
            <v>0</v>
          </cell>
          <cell r="R78">
            <v>0</v>
          </cell>
          <cell r="S78">
            <v>0</v>
          </cell>
          <cell r="T78">
            <v>0</v>
          </cell>
          <cell r="U78">
            <v>357480</v>
          </cell>
          <cell r="V78">
            <v>357480</v>
          </cell>
          <cell r="W78" t="str">
            <v>input</v>
          </cell>
          <cell r="X78" t="str">
            <v>input</v>
          </cell>
          <cell r="Y78" t="str">
            <v>input</v>
          </cell>
          <cell r="Z78" t="str">
            <v>input</v>
          </cell>
          <cell r="AA78" t="str">
            <v>input</v>
          </cell>
          <cell r="AB78">
            <v>0</v>
          </cell>
          <cell r="AC78">
            <v>0</v>
          </cell>
          <cell r="AD78">
            <v>0</v>
          </cell>
          <cell r="AE78">
            <v>0</v>
          </cell>
          <cell r="AF78">
            <v>357480</v>
          </cell>
          <cell r="AG78">
            <v>357480</v>
          </cell>
          <cell r="AH78">
            <v>0</v>
          </cell>
          <cell r="AI78">
            <v>0</v>
          </cell>
          <cell r="AJ78">
            <v>357480</v>
          </cell>
          <cell r="AK78" t="str">
            <v>targets disclosed</v>
          </cell>
          <cell r="AL78" t="str">
            <v>targets disclosed</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row>
        <row r="79">
          <cell r="A79" t="str">
            <v>tsx:MEQ_CFO_Target</v>
          </cell>
          <cell r="B79" t="str">
            <v>tsx:MEQ</v>
          </cell>
          <cell r="C79" t="str">
            <v>Mainstreet Equity Corp.</v>
          </cell>
          <cell r="D79" t="str">
            <v>Target</v>
          </cell>
          <cell r="E79">
            <v>12</v>
          </cell>
          <cell r="F79" t="str">
            <v>CAD</v>
          </cell>
          <cell r="G79">
            <v>1</v>
          </cell>
          <cell r="H79" t="str">
            <v>Johnny Lam</v>
          </cell>
          <cell r="I79" t="str">
            <v>CFO and COO</v>
          </cell>
          <cell r="J79" t="str">
            <v>CFO</v>
          </cell>
          <cell r="K79">
            <v>421.16786999999999</v>
          </cell>
          <cell r="L79">
            <v>1020.15487</v>
          </cell>
          <cell r="M79">
            <v>357480</v>
          </cell>
          <cell r="N79">
            <v>357480</v>
          </cell>
          <cell r="O79">
            <v>357480</v>
          </cell>
          <cell r="P79">
            <v>0</v>
          </cell>
          <cell r="Q79">
            <v>0</v>
          </cell>
          <cell r="R79">
            <v>0</v>
          </cell>
          <cell r="S79">
            <v>0</v>
          </cell>
          <cell r="T79">
            <v>0</v>
          </cell>
          <cell r="U79">
            <v>357480</v>
          </cell>
          <cell r="V79">
            <v>357480</v>
          </cell>
          <cell r="W79" t="str">
            <v>input</v>
          </cell>
          <cell r="X79" t="str">
            <v>input</v>
          </cell>
          <cell r="Y79" t="str">
            <v>input</v>
          </cell>
          <cell r="Z79" t="str">
            <v>input</v>
          </cell>
          <cell r="AA79" t="str">
            <v>input</v>
          </cell>
          <cell r="AB79">
            <v>0</v>
          </cell>
          <cell r="AC79">
            <v>0</v>
          </cell>
          <cell r="AD79">
            <v>0</v>
          </cell>
          <cell r="AE79">
            <v>0</v>
          </cell>
          <cell r="AF79">
            <v>357480</v>
          </cell>
          <cell r="AG79">
            <v>357480</v>
          </cell>
          <cell r="AH79">
            <v>0</v>
          </cell>
          <cell r="AI79">
            <v>0</v>
          </cell>
          <cell r="AJ79">
            <v>357480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row>
        <row r="80">
          <cell r="A80" t="str">
            <v>tsx:RMM.UN__2013</v>
          </cell>
          <cell r="B80" t="str">
            <v>tsx:RMM.UN</v>
          </cell>
          <cell r="C80" t="str">
            <v>Retrocom Real Estate Investment Trust</v>
          </cell>
          <cell r="D80">
            <v>2013</v>
          </cell>
          <cell r="E80">
            <v>12</v>
          </cell>
          <cell r="F80" t="str">
            <v>CAD</v>
          </cell>
          <cell r="G80">
            <v>1</v>
          </cell>
          <cell r="H80" t="str">
            <v>Richard Michaeloff</v>
          </cell>
          <cell r="I80" t="str">
            <v>CEO</v>
          </cell>
          <cell r="J80">
            <v>0</v>
          </cell>
          <cell r="K80">
            <v>316.05324000000002</v>
          </cell>
          <cell r="L80">
            <v>910.09023999999999</v>
          </cell>
          <cell r="M80">
            <v>395000</v>
          </cell>
          <cell r="N80">
            <v>395000</v>
          </cell>
          <cell r="O80">
            <v>395000</v>
          </cell>
          <cell r="P80">
            <v>185650</v>
          </cell>
          <cell r="Q80">
            <v>185650</v>
          </cell>
          <cell r="R80">
            <v>0.47</v>
          </cell>
          <cell r="S80">
            <v>0.48233415475284636</v>
          </cell>
          <cell r="T80">
            <v>190521.99112737432</v>
          </cell>
          <cell r="U80">
            <v>580650</v>
          </cell>
          <cell r="V80">
            <v>585521.99112737435</v>
          </cell>
          <cell r="W80">
            <v>0</v>
          </cell>
          <cell r="X80">
            <v>0</v>
          </cell>
          <cell r="Y80">
            <v>0</v>
          </cell>
          <cell r="Z80">
            <v>0</v>
          </cell>
          <cell r="AA80">
            <v>0</v>
          </cell>
          <cell r="AB80">
            <v>0</v>
          </cell>
          <cell r="AC80">
            <v>0</v>
          </cell>
          <cell r="AD80">
            <v>0</v>
          </cell>
          <cell r="AE80">
            <v>0</v>
          </cell>
          <cell r="AF80">
            <v>580650</v>
          </cell>
          <cell r="AG80">
            <v>0</v>
          </cell>
          <cell r="AH80">
            <v>0</v>
          </cell>
          <cell r="AI80">
            <v>12000</v>
          </cell>
          <cell r="AJ80">
            <v>592650</v>
          </cell>
          <cell r="AK80" t="str">
            <v>***</v>
          </cell>
          <cell r="AL80" t="str">
            <v>targets disclosed</v>
          </cell>
          <cell r="AM80" t="str">
            <v xml:space="preserve">No LTIP awards have been granted to Michaeloff (Retrocom REIT, tsx:RMM.UN) in the past 5 fiscal years, although the Board adopted a Deferred Unit Plan in 2013, whereby Officers can elect to defer up to 100% of their bonus, 90% of which is converted to Deferred Units and matched by the REIT (the remainder is forfeited). </v>
          </cell>
          <cell r="AO80">
            <v>0</v>
          </cell>
          <cell r="AP80">
            <v>0</v>
          </cell>
          <cell r="AR80">
            <v>0</v>
          </cell>
          <cell r="AS80">
            <v>0</v>
          </cell>
          <cell r="AT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row>
        <row r="81">
          <cell r="A81" t="str">
            <v>tsx:RMM.UN__2012</v>
          </cell>
          <cell r="B81" t="str">
            <v>tsx:RMM.UN</v>
          </cell>
          <cell r="C81" t="str">
            <v>Retrocom Real Estate Investment Trust</v>
          </cell>
          <cell r="D81">
            <v>2012</v>
          </cell>
          <cell r="E81">
            <v>12</v>
          </cell>
          <cell r="F81" t="str">
            <v>CAD</v>
          </cell>
          <cell r="G81">
            <v>1</v>
          </cell>
          <cell r="H81" t="str">
            <v>Richard Michaeloff</v>
          </cell>
          <cell r="I81" t="str">
            <v>CEO</v>
          </cell>
          <cell r="J81">
            <v>0</v>
          </cell>
          <cell r="K81">
            <v>316.05324000000002</v>
          </cell>
          <cell r="L81">
            <v>910.09023999999999</v>
          </cell>
          <cell r="M81">
            <v>371300</v>
          </cell>
          <cell r="N81">
            <v>371300</v>
          </cell>
          <cell r="O81">
            <v>0</v>
          </cell>
          <cell r="P81">
            <v>175254</v>
          </cell>
          <cell r="Q81">
            <v>175254</v>
          </cell>
          <cell r="R81">
            <v>0.47200107729598706</v>
          </cell>
          <cell r="S81">
            <v>0</v>
          </cell>
          <cell r="T81">
            <v>0</v>
          </cell>
          <cell r="U81">
            <v>0</v>
          </cell>
          <cell r="V81">
            <v>0</v>
          </cell>
          <cell r="W81">
            <v>0</v>
          </cell>
          <cell r="X81">
            <v>0</v>
          </cell>
          <cell r="Y81">
            <v>0</v>
          </cell>
          <cell r="Z81">
            <v>0</v>
          </cell>
          <cell r="AA81">
            <v>0</v>
          </cell>
          <cell r="AB81">
            <v>0</v>
          </cell>
          <cell r="AC81">
            <v>0</v>
          </cell>
          <cell r="AD81">
            <v>0</v>
          </cell>
          <cell r="AE81">
            <v>0</v>
          </cell>
          <cell r="AF81">
            <v>546554</v>
          </cell>
          <cell r="AG81">
            <v>0</v>
          </cell>
          <cell r="AH81">
            <v>0</v>
          </cell>
          <cell r="AI81">
            <v>12000</v>
          </cell>
          <cell r="AJ81">
            <v>558554</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row>
        <row r="82">
          <cell r="A82" t="str">
            <v>tsx:RMM.UN__2011</v>
          </cell>
          <cell r="B82" t="str">
            <v>tsx:RMM.UN</v>
          </cell>
          <cell r="C82" t="str">
            <v>Retrocom Real Estate Investment Trust</v>
          </cell>
          <cell r="D82">
            <v>2011</v>
          </cell>
          <cell r="E82">
            <v>12</v>
          </cell>
          <cell r="F82" t="str">
            <v>CAD</v>
          </cell>
          <cell r="G82">
            <v>1</v>
          </cell>
          <cell r="H82" t="str">
            <v>Richard Michaeloff</v>
          </cell>
          <cell r="I82" t="str">
            <v>CEO</v>
          </cell>
          <cell r="J82">
            <v>0</v>
          </cell>
          <cell r="K82">
            <v>316.05324000000002</v>
          </cell>
          <cell r="L82">
            <v>910.09023999999999</v>
          </cell>
          <cell r="M82">
            <v>360500</v>
          </cell>
          <cell r="N82">
            <v>360500</v>
          </cell>
          <cell r="O82">
            <v>0</v>
          </cell>
          <cell r="P82">
            <v>182053</v>
          </cell>
          <cell r="Q82">
            <v>182053</v>
          </cell>
          <cell r="R82">
            <v>0.50500138696255203</v>
          </cell>
          <cell r="S82">
            <v>0</v>
          </cell>
          <cell r="T82">
            <v>0</v>
          </cell>
          <cell r="U82">
            <v>0</v>
          </cell>
          <cell r="V82">
            <v>0</v>
          </cell>
          <cell r="W82">
            <v>0</v>
          </cell>
          <cell r="X82">
            <v>0</v>
          </cell>
          <cell r="Y82">
            <v>0</v>
          </cell>
          <cell r="Z82">
            <v>0</v>
          </cell>
          <cell r="AA82">
            <v>0</v>
          </cell>
          <cell r="AB82">
            <v>0</v>
          </cell>
          <cell r="AC82">
            <v>0</v>
          </cell>
          <cell r="AD82">
            <v>0</v>
          </cell>
          <cell r="AE82">
            <v>0</v>
          </cell>
          <cell r="AF82">
            <v>542553</v>
          </cell>
          <cell r="AG82">
            <v>0</v>
          </cell>
          <cell r="AH82">
            <v>0</v>
          </cell>
          <cell r="AI82">
            <v>12000</v>
          </cell>
          <cell r="AJ82">
            <v>554553</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row>
        <row r="83">
          <cell r="A83" t="str">
            <v>tsx:RMM.UN_CEO_Target</v>
          </cell>
          <cell r="B83" t="str">
            <v>tsx:RMM.UN</v>
          </cell>
          <cell r="C83" t="str">
            <v>Retrocom Real Estate Investment Trust</v>
          </cell>
          <cell r="D83" t="str">
            <v>Target</v>
          </cell>
          <cell r="E83">
            <v>12</v>
          </cell>
          <cell r="F83" t="str">
            <v>CAD</v>
          </cell>
          <cell r="G83">
            <v>1</v>
          </cell>
          <cell r="H83" t="str">
            <v>Richard Michaeloff</v>
          </cell>
          <cell r="I83" t="str">
            <v>CEO</v>
          </cell>
          <cell r="J83" t="str">
            <v>CEO</v>
          </cell>
          <cell r="K83">
            <v>316.05324000000002</v>
          </cell>
          <cell r="L83">
            <v>910.09023999999999</v>
          </cell>
          <cell r="M83">
            <v>395000</v>
          </cell>
          <cell r="N83">
            <v>395000</v>
          </cell>
          <cell r="O83">
            <v>395000</v>
          </cell>
          <cell r="P83">
            <v>185650</v>
          </cell>
          <cell r="Q83">
            <v>185650</v>
          </cell>
          <cell r="R83">
            <v>0.47</v>
          </cell>
          <cell r="S83">
            <v>0.48233415475284636</v>
          </cell>
          <cell r="T83">
            <v>190521.99112737432</v>
          </cell>
          <cell r="U83">
            <v>580650</v>
          </cell>
          <cell r="V83">
            <v>585521.99112737435</v>
          </cell>
          <cell r="W83" t="str">
            <v>input</v>
          </cell>
          <cell r="X83" t="str">
            <v>input</v>
          </cell>
          <cell r="Y83" t="str">
            <v>input</v>
          </cell>
          <cell r="Z83" t="str">
            <v>input</v>
          </cell>
          <cell r="AA83" t="str">
            <v>input</v>
          </cell>
          <cell r="AB83">
            <v>0</v>
          </cell>
          <cell r="AC83">
            <v>0</v>
          </cell>
          <cell r="AD83">
            <v>0</v>
          </cell>
          <cell r="AE83">
            <v>0</v>
          </cell>
          <cell r="AF83">
            <v>580650</v>
          </cell>
          <cell r="AG83">
            <v>585521.99112737435</v>
          </cell>
          <cell r="AH83">
            <v>0</v>
          </cell>
          <cell r="AI83">
            <v>0</v>
          </cell>
          <cell r="AJ83">
            <v>580650</v>
          </cell>
          <cell r="AK83" t="str">
            <v>***</v>
          </cell>
          <cell r="AL83" t="str">
            <v>targets disclosed</v>
          </cell>
          <cell r="AM83" t="str">
            <v xml:space="preserve">No LTIP awards have been granted to Michaeloff (Retrocom REIT, tsx:RMM.UN) in the past 5 fiscal years, although the Board adopted a Deferred Unit Plan in 2013, whereby Officers can elect to defer up to 100% of their bonus, 90% of which is converted to Deferred Units and matched by the REIT (the remainder is forfeited). </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row>
        <row r="84">
          <cell r="A84" t="str">
            <v>tsx:RMM.UN_CEO_Target</v>
          </cell>
          <cell r="B84" t="str">
            <v>tsx:RMM.UN</v>
          </cell>
          <cell r="C84" t="str">
            <v>Retrocom Real Estate Investment Trust</v>
          </cell>
          <cell r="D84" t="str">
            <v>Target</v>
          </cell>
          <cell r="E84">
            <v>12</v>
          </cell>
          <cell r="F84" t="str">
            <v>CAD</v>
          </cell>
          <cell r="G84">
            <v>1</v>
          </cell>
          <cell r="H84" t="str">
            <v>Richard Michaeloff</v>
          </cell>
          <cell r="I84" t="str">
            <v>CEO</v>
          </cell>
          <cell r="J84" t="str">
            <v>CEO</v>
          </cell>
          <cell r="K84">
            <v>316.05324000000002</v>
          </cell>
          <cell r="L84">
            <v>910.09023999999999</v>
          </cell>
          <cell r="M84">
            <v>395000</v>
          </cell>
          <cell r="N84">
            <v>395000</v>
          </cell>
          <cell r="O84">
            <v>395000</v>
          </cell>
          <cell r="P84">
            <v>185650</v>
          </cell>
          <cell r="Q84">
            <v>185650</v>
          </cell>
          <cell r="R84">
            <v>0.47</v>
          </cell>
          <cell r="S84">
            <v>0.48233415475284636</v>
          </cell>
          <cell r="T84">
            <v>190521.99112737432</v>
          </cell>
          <cell r="U84">
            <v>580650</v>
          </cell>
          <cell r="V84">
            <v>585521.99112737435</v>
          </cell>
          <cell r="W84" t="str">
            <v>input</v>
          </cell>
          <cell r="X84" t="str">
            <v>input</v>
          </cell>
          <cell r="Y84" t="str">
            <v>input</v>
          </cell>
          <cell r="Z84" t="str">
            <v>input</v>
          </cell>
          <cell r="AA84" t="str">
            <v>input</v>
          </cell>
          <cell r="AB84">
            <v>0</v>
          </cell>
          <cell r="AC84">
            <v>0</v>
          </cell>
          <cell r="AD84">
            <v>0</v>
          </cell>
          <cell r="AE84">
            <v>0</v>
          </cell>
          <cell r="AF84">
            <v>580650</v>
          </cell>
          <cell r="AG84">
            <v>585521.99112737435</v>
          </cell>
          <cell r="AH84">
            <v>0</v>
          </cell>
          <cell r="AI84">
            <v>0</v>
          </cell>
          <cell r="AJ84">
            <v>580650</v>
          </cell>
          <cell r="AK84">
            <v>0</v>
          </cell>
          <cell r="AL84">
            <v>0</v>
          </cell>
          <cell r="AM84" t="str">
            <v xml:space="preserve">No LTIP awards have been granted to Michaeloff (Retrocom REIT, tsx:RMM.UN) in the past 5 fiscal years, although the Board adopted a Deferred Unit Plan in 2013, whereby Officers can elect to defer up to 100% of their bonus, 90% of which is converted to Deferred Units and matched by the REIT (the remainder is forfeited). </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row>
        <row r="85">
          <cell r="A85" t="str">
            <v>tsx:RMM.UN__2013</v>
          </cell>
          <cell r="B85" t="str">
            <v>tsx:RMM.UN</v>
          </cell>
          <cell r="C85" t="str">
            <v>Retrocom Real Estate Investment Trust</v>
          </cell>
          <cell r="D85">
            <v>2013</v>
          </cell>
          <cell r="E85">
            <v>12</v>
          </cell>
          <cell r="F85" t="str">
            <v>CAD</v>
          </cell>
          <cell r="G85">
            <v>1</v>
          </cell>
          <cell r="H85" t="str">
            <v>Tom Wenner</v>
          </cell>
          <cell r="I85" t="str">
            <v>CFO</v>
          </cell>
          <cell r="J85">
            <v>0</v>
          </cell>
          <cell r="K85">
            <v>316.05324000000002</v>
          </cell>
          <cell r="L85">
            <v>910.09023999999999</v>
          </cell>
          <cell r="M85">
            <v>257000</v>
          </cell>
          <cell r="N85">
            <v>257000</v>
          </cell>
          <cell r="O85">
            <v>257000</v>
          </cell>
          <cell r="P85">
            <v>96632</v>
          </cell>
          <cell r="Q85">
            <v>96632</v>
          </cell>
          <cell r="R85">
            <v>0.376</v>
          </cell>
          <cell r="S85">
            <v>0.38149212999818438</v>
          </cell>
          <cell r="T85">
            <v>98043.477409533385</v>
          </cell>
          <cell r="U85">
            <v>353632</v>
          </cell>
          <cell r="V85">
            <v>355043.4774095334</v>
          </cell>
          <cell r="W85">
            <v>0</v>
          </cell>
          <cell r="X85">
            <v>0</v>
          </cell>
          <cell r="Y85">
            <v>0</v>
          </cell>
          <cell r="Z85">
            <v>0</v>
          </cell>
          <cell r="AA85">
            <v>0</v>
          </cell>
          <cell r="AB85">
            <v>0</v>
          </cell>
          <cell r="AC85">
            <v>0</v>
          </cell>
          <cell r="AD85">
            <v>0</v>
          </cell>
          <cell r="AE85">
            <v>0</v>
          </cell>
          <cell r="AF85">
            <v>353632</v>
          </cell>
          <cell r="AG85">
            <v>0</v>
          </cell>
          <cell r="AH85">
            <v>0</v>
          </cell>
          <cell r="AI85">
            <v>4800</v>
          </cell>
          <cell r="AJ85">
            <v>358432</v>
          </cell>
          <cell r="AK85" t="str">
            <v>***</v>
          </cell>
          <cell r="AL85" t="str">
            <v>targets disclosed</v>
          </cell>
          <cell r="AM85" t="str">
            <v xml:space="preserve">No LTIP awards have been granted to Wenner (Retrocom REIT, tsx:RMM.UN) in the past 5 fiscal years, although the Board adopted a Deferred Unit Plan in 2013, whereby Officers can elect to defer up to 100% of their bonus, 90% of which is converted to Deferred Units and matched by the REIT (the remainder is forfeited). </v>
          </cell>
          <cell r="AO85">
            <v>0</v>
          </cell>
          <cell r="AP85">
            <v>0</v>
          </cell>
          <cell r="AR85">
            <v>0</v>
          </cell>
          <cell r="AS85">
            <v>0</v>
          </cell>
          <cell r="AT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row>
        <row r="86">
          <cell r="A86" t="str">
            <v>tsx:RMM.UN__2012</v>
          </cell>
          <cell r="B86" t="str">
            <v>tsx:RMM.UN</v>
          </cell>
          <cell r="C86" t="str">
            <v>Retrocom Real Estate Investment Trust</v>
          </cell>
          <cell r="D86">
            <v>2012</v>
          </cell>
          <cell r="E86">
            <v>12</v>
          </cell>
          <cell r="F86" t="str">
            <v>CAD</v>
          </cell>
          <cell r="G86">
            <v>1</v>
          </cell>
          <cell r="H86" t="str">
            <v>Tom Wenner</v>
          </cell>
          <cell r="I86" t="str">
            <v>CFO</v>
          </cell>
          <cell r="J86">
            <v>0</v>
          </cell>
          <cell r="K86">
            <v>316.05324000000002</v>
          </cell>
          <cell r="L86">
            <v>910.09023999999999</v>
          </cell>
          <cell r="M86">
            <v>242000</v>
          </cell>
          <cell r="N86">
            <v>242000</v>
          </cell>
          <cell r="O86">
            <v>0</v>
          </cell>
          <cell r="P86">
            <v>91476</v>
          </cell>
          <cell r="Q86">
            <v>91476</v>
          </cell>
          <cell r="R86">
            <v>0.378</v>
          </cell>
          <cell r="S86">
            <v>0</v>
          </cell>
          <cell r="T86">
            <v>0</v>
          </cell>
          <cell r="U86">
            <v>0</v>
          </cell>
          <cell r="V86">
            <v>0</v>
          </cell>
          <cell r="W86">
            <v>0</v>
          </cell>
          <cell r="X86">
            <v>0</v>
          </cell>
          <cell r="Y86">
            <v>0</v>
          </cell>
          <cell r="Z86">
            <v>0</v>
          </cell>
          <cell r="AA86">
            <v>0</v>
          </cell>
          <cell r="AB86">
            <v>0</v>
          </cell>
          <cell r="AC86">
            <v>0</v>
          </cell>
          <cell r="AD86">
            <v>0</v>
          </cell>
          <cell r="AE86">
            <v>0</v>
          </cell>
          <cell r="AF86">
            <v>333476</v>
          </cell>
          <cell r="AG86">
            <v>0</v>
          </cell>
          <cell r="AH86">
            <v>0</v>
          </cell>
          <cell r="AI86">
            <v>4800</v>
          </cell>
          <cell r="AJ86">
            <v>338276</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row>
        <row r="87">
          <cell r="A87" t="str">
            <v>tsx:RMM.UN__2011</v>
          </cell>
          <cell r="B87" t="str">
            <v>tsx:RMM.UN</v>
          </cell>
          <cell r="C87" t="str">
            <v>Retrocom Real Estate Investment Trust</v>
          </cell>
          <cell r="D87">
            <v>2011</v>
          </cell>
          <cell r="E87">
            <v>2.5</v>
          </cell>
          <cell r="F87" t="str">
            <v>CAD</v>
          </cell>
          <cell r="G87">
            <v>1</v>
          </cell>
          <cell r="H87" t="str">
            <v>Tom Wenner</v>
          </cell>
          <cell r="I87" t="str">
            <v>CFO</v>
          </cell>
          <cell r="J87">
            <v>0</v>
          </cell>
          <cell r="K87">
            <v>316.05324000000002</v>
          </cell>
          <cell r="L87">
            <v>910.09023999999999</v>
          </cell>
          <cell r="M87">
            <v>47734</v>
          </cell>
          <cell r="N87">
            <v>229123.19999999998</v>
          </cell>
          <cell r="O87">
            <v>0</v>
          </cell>
          <cell r="P87">
            <v>18639</v>
          </cell>
          <cell r="Q87">
            <v>89467.199999999997</v>
          </cell>
          <cell r="R87">
            <v>0.39047638999455314</v>
          </cell>
          <cell r="S87">
            <v>0</v>
          </cell>
          <cell r="T87">
            <v>0</v>
          </cell>
          <cell r="U87">
            <v>0</v>
          </cell>
          <cell r="V87">
            <v>0</v>
          </cell>
          <cell r="W87">
            <v>0</v>
          </cell>
          <cell r="X87">
            <v>0</v>
          </cell>
          <cell r="Y87">
            <v>0</v>
          </cell>
          <cell r="Z87">
            <v>0</v>
          </cell>
          <cell r="AA87">
            <v>0</v>
          </cell>
          <cell r="AB87">
            <v>0</v>
          </cell>
          <cell r="AC87">
            <v>0</v>
          </cell>
          <cell r="AD87">
            <v>0</v>
          </cell>
          <cell r="AE87">
            <v>0</v>
          </cell>
          <cell r="AF87">
            <v>318590.39999999997</v>
          </cell>
          <cell r="AG87">
            <v>0</v>
          </cell>
          <cell r="AH87">
            <v>0</v>
          </cell>
          <cell r="AI87">
            <v>1000</v>
          </cell>
          <cell r="AJ87">
            <v>319590.39999999997</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row>
        <row r="88">
          <cell r="A88" t="str">
            <v>tsx:RMM.UN_CFO_Target</v>
          </cell>
          <cell r="B88" t="str">
            <v>tsx:RMM.UN</v>
          </cell>
          <cell r="C88" t="str">
            <v>Retrocom Real Estate Investment Trust</v>
          </cell>
          <cell r="D88" t="str">
            <v>Target</v>
          </cell>
          <cell r="E88">
            <v>12</v>
          </cell>
          <cell r="F88" t="str">
            <v>CAD</v>
          </cell>
          <cell r="G88">
            <v>1</v>
          </cell>
          <cell r="H88" t="str">
            <v>Tom Wenner</v>
          </cell>
          <cell r="I88" t="str">
            <v>CFO</v>
          </cell>
          <cell r="J88" t="str">
            <v>CFO</v>
          </cell>
          <cell r="K88">
            <v>316.05324000000002</v>
          </cell>
          <cell r="L88">
            <v>910.09023999999999</v>
          </cell>
          <cell r="M88">
            <v>257000</v>
          </cell>
          <cell r="N88">
            <v>257000</v>
          </cell>
          <cell r="O88">
            <v>257000</v>
          </cell>
          <cell r="P88">
            <v>96632</v>
          </cell>
          <cell r="Q88">
            <v>96632</v>
          </cell>
          <cell r="R88">
            <v>0.376</v>
          </cell>
          <cell r="S88">
            <v>0.38149212999818438</v>
          </cell>
          <cell r="T88">
            <v>98043.477409533385</v>
          </cell>
          <cell r="U88">
            <v>353632</v>
          </cell>
          <cell r="V88">
            <v>355043.4774095334</v>
          </cell>
          <cell r="W88" t="str">
            <v>input</v>
          </cell>
          <cell r="X88" t="str">
            <v>input</v>
          </cell>
          <cell r="Y88" t="str">
            <v>input</v>
          </cell>
          <cell r="Z88" t="str">
            <v>input</v>
          </cell>
          <cell r="AA88" t="str">
            <v>input</v>
          </cell>
          <cell r="AB88">
            <v>0</v>
          </cell>
          <cell r="AC88">
            <v>0</v>
          </cell>
          <cell r="AD88">
            <v>0</v>
          </cell>
          <cell r="AE88">
            <v>0</v>
          </cell>
          <cell r="AF88">
            <v>353632</v>
          </cell>
          <cell r="AG88">
            <v>355043.4774095334</v>
          </cell>
          <cell r="AH88">
            <v>0</v>
          </cell>
          <cell r="AI88">
            <v>0</v>
          </cell>
          <cell r="AJ88">
            <v>353632</v>
          </cell>
          <cell r="AK88" t="str">
            <v>***</v>
          </cell>
          <cell r="AL88" t="str">
            <v>targets disclosed</v>
          </cell>
          <cell r="AM88" t="str">
            <v xml:space="preserve">No LTIP awards have been granted to Wenner (Retrocom REIT, tsx:RMM.UN) in the past 5 fiscal years, although the Board adopted a Deferred Unit Plan in 2013, whereby Officers can elect to defer up to 100% of their bonus, 90% of which is converted to Deferred Units and matched by the REIT (the remainder is forfeited). </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row>
        <row r="89">
          <cell r="A89" t="str">
            <v>tsx:RMM.UN_CFO_Target</v>
          </cell>
          <cell r="B89" t="str">
            <v>tsx:RMM.UN</v>
          </cell>
          <cell r="C89" t="str">
            <v>Retrocom Real Estate Investment Trust</v>
          </cell>
          <cell r="D89" t="str">
            <v>Target</v>
          </cell>
          <cell r="E89">
            <v>12</v>
          </cell>
          <cell r="F89" t="str">
            <v>CAD</v>
          </cell>
          <cell r="G89">
            <v>1</v>
          </cell>
          <cell r="H89" t="str">
            <v>Tom Wenner</v>
          </cell>
          <cell r="I89" t="str">
            <v>CFO</v>
          </cell>
          <cell r="J89" t="str">
            <v>CFO</v>
          </cell>
          <cell r="K89">
            <v>316.05324000000002</v>
          </cell>
          <cell r="L89">
            <v>910.09023999999999</v>
          </cell>
          <cell r="M89">
            <v>257000</v>
          </cell>
          <cell r="N89">
            <v>257000</v>
          </cell>
          <cell r="O89">
            <v>257000</v>
          </cell>
          <cell r="P89">
            <v>96632</v>
          </cell>
          <cell r="Q89">
            <v>96632</v>
          </cell>
          <cell r="R89">
            <v>0.376</v>
          </cell>
          <cell r="S89">
            <v>0.38149212999818438</v>
          </cell>
          <cell r="T89">
            <v>98043.477409533385</v>
          </cell>
          <cell r="U89">
            <v>353632</v>
          </cell>
          <cell r="V89">
            <v>355043.4774095334</v>
          </cell>
          <cell r="W89" t="str">
            <v>input</v>
          </cell>
          <cell r="X89" t="str">
            <v>input</v>
          </cell>
          <cell r="Y89" t="str">
            <v>input</v>
          </cell>
          <cell r="Z89" t="str">
            <v>input</v>
          </cell>
          <cell r="AA89" t="str">
            <v>input</v>
          </cell>
          <cell r="AB89">
            <v>0</v>
          </cell>
          <cell r="AC89">
            <v>0</v>
          </cell>
          <cell r="AD89">
            <v>0</v>
          </cell>
          <cell r="AE89">
            <v>0</v>
          </cell>
          <cell r="AF89">
            <v>353632</v>
          </cell>
          <cell r="AG89">
            <v>355043.4774095334</v>
          </cell>
          <cell r="AH89">
            <v>0</v>
          </cell>
          <cell r="AI89">
            <v>0</v>
          </cell>
          <cell r="AJ89">
            <v>353632</v>
          </cell>
          <cell r="AK89">
            <v>0</v>
          </cell>
          <cell r="AL89">
            <v>0</v>
          </cell>
          <cell r="AM89" t="str">
            <v xml:space="preserve">No LTIP awards have been granted to Wenner (Retrocom REIT, tsx:RMM.UN) in the past 5 fiscal years, although the Board adopted a Deferred Unit Plan in 2013, whereby Officers can elect to defer up to 100% of their bonus, 90% of which is converted to Deferred Units and matched by the REIT (the remainder is forfeited). </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row>
        <row r="90">
          <cell r="A90" t="str">
            <v>tsx:PLZ.UN__2013</v>
          </cell>
          <cell r="B90" t="str">
            <v>tsx:PLZ.UN</v>
          </cell>
          <cell r="C90" t="str">
            <v>Plaza Retail REIT</v>
          </cell>
          <cell r="D90">
            <v>2013</v>
          </cell>
          <cell r="E90">
            <v>12</v>
          </cell>
          <cell r="F90" t="str">
            <v>CAD</v>
          </cell>
          <cell r="G90">
            <v>1</v>
          </cell>
          <cell r="H90" t="str">
            <v>Michael Zakuta</v>
          </cell>
          <cell r="I90" t="str">
            <v>President and CEO</v>
          </cell>
          <cell r="J90">
            <v>0</v>
          </cell>
          <cell r="K90">
            <v>368.68</v>
          </cell>
          <cell r="L90">
            <v>900.928</v>
          </cell>
          <cell r="M90">
            <v>400000</v>
          </cell>
          <cell r="N90">
            <v>400000</v>
          </cell>
          <cell r="O90">
            <v>400000</v>
          </cell>
          <cell r="P90">
            <v>0</v>
          </cell>
          <cell r="Q90">
            <v>0</v>
          </cell>
          <cell r="R90">
            <v>0</v>
          </cell>
          <cell r="S90">
            <v>0</v>
          </cell>
          <cell r="T90">
            <v>0</v>
          </cell>
          <cell r="U90">
            <v>400000</v>
          </cell>
          <cell r="V90">
            <v>400000</v>
          </cell>
          <cell r="W90">
            <v>0</v>
          </cell>
          <cell r="X90">
            <v>0</v>
          </cell>
          <cell r="Y90">
            <v>0</v>
          </cell>
          <cell r="Z90">
            <v>0</v>
          </cell>
          <cell r="AA90">
            <v>0</v>
          </cell>
          <cell r="AB90">
            <v>0</v>
          </cell>
          <cell r="AC90">
            <v>0</v>
          </cell>
          <cell r="AD90">
            <v>0</v>
          </cell>
          <cell r="AE90">
            <v>0</v>
          </cell>
          <cell r="AF90">
            <v>400000</v>
          </cell>
          <cell r="AG90">
            <v>0</v>
          </cell>
          <cell r="AH90">
            <v>0</v>
          </cell>
          <cell r="AI90">
            <v>0</v>
          </cell>
          <cell r="AJ90">
            <v>400000</v>
          </cell>
          <cell r="AK90" t="str">
            <v>**</v>
          </cell>
          <cell r="AL90" t="str">
            <v>**</v>
          </cell>
          <cell r="AM90" t="str">
            <v xml:space="preserve">Zakuta (Plaza Retail REIT, tsx:PLZ.UN) does not receive any incentive awards and has a flat salary. Compensation prior to 2012 has not been considered, given that the Executives were employed under different agreements prior to internalizing property and corporate management. </v>
          </cell>
          <cell r="AO90">
            <v>0</v>
          </cell>
          <cell r="AP90">
            <v>0</v>
          </cell>
          <cell r="AR90">
            <v>0</v>
          </cell>
          <cell r="AS90">
            <v>0</v>
          </cell>
          <cell r="AT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row>
        <row r="91">
          <cell r="A91" t="str">
            <v>tsx:PLZ.UN__2012</v>
          </cell>
          <cell r="B91" t="str">
            <v>tsx:PLZ.UN</v>
          </cell>
          <cell r="C91" t="str">
            <v>Plaza Retail REIT</v>
          </cell>
          <cell r="D91">
            <v>2012</v>
          </cell>
          <cell r="E91">
            <v>12</v>
          </cell>
          <cell r="F91" t="str">
            <v>CAD</v>
          </cell>
          <cell r="G91">
            <v>1</v>
          </cell>
          <cell r="H91" t="str">
            <v>Michael Zakuta</v>
          </cell>
          <cell r="I91" t="str">
            <v>President and CEO</v>
          </cell>
          <cell r="J91">
            <v>0</v>
          </cell>
          <cell r="K91">
            <v>368.68</v>
          </cell>
          <cell r="L91">
            <v>900.928</v>
          </cell>
          <cell r="M91">
            <v>400000</v>
          </cell>
          <cell r="N91">
            <v>400000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400000</v>
          </cell>
          <cell r="AG91">
            <v>0</v>
          </cell>
          <cell r="AH91">
            <v>0</v>
          </cell>
          <cell r="AI91">
            <v>0</v>
          </cell>
          <cell r="AJ91">
            <v>400000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row>
        <row r="92">
          <cell r="A92" t="str">
            <v>tsx:PLZ.UN__2011</v>
          </cell>
          <cell r="B92" t="str">
            <v>tsx:PLZ.UN</v>
          </cell>
          <cell r="C92" t="str">
            <v>Plaza Retail REIT</v>
          </cell>
          <cell r="D92">
            <v>2011</v>
          </cell>
          <cell r="E92">
            <v>12</v>
          </cell>
          <cell r="F92" t="str">
            <v>CAD</v>
          </cell>
          <cell r="G92">
            <v>1</v>
          </cell>
          <cell r="H92">
            <v>0</v>
          </cell>
          <cell r="I92">
            <v>0</v>
          </cell>
          <cell r="J92">
            <v>0</v>
          </cell>
          <cell r="K92">
            <v>368.68</v>
          </cell>
          <cell r="L92">
            <v>900.928</v>
          </cell>
          <cell r="M92">
            <v>0</v>
          </cell>
          <cell r="N92">
            <v>0</v>
          </cell>
          <cell r="O92">
            <v>0</v>
          </cell>
          <cell r="P92">
            <v>0</v>
          </cell>
          <cell r="Q92">
            <v>0</v>
          </cell>
          <cell r="R92" t="str">
            <v>input</v>
          </cell>
          <cell r="S92">
            <v>0</v>
          </cell>
          <cell r="T92">
            <v>0</v>
          </cell>
          <cell r="U92">
            <v>0</v>
          </cell>
          <cell r="V92">
            <v>0</v>
          </cell>
          <cell r="W92">
            <v>0</v>
          </cell>
          <cell r="X92">
            <v>0</v>
          </cell>
          <cell r="Y92">
            <v>0</v>
          </cell>
          <cell r="Z92">
            <v>0</v>
          </cell>
          <cell r="AA92">
            <v>0</v>
          </cell>
          <cell r="AB92">
            <v>0</v>
          </cell>
          <cell r="AC92" t="str">
            <v>input</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row>
        <row r="93">
          <cell r="A93" t="str">
            <v>tsx:PLZ.UN_CEO_Target</v>
          </cell>
          <cell r="B93" t="str">
            <v>tsx:PLZ.UN</v>
          </cell>
          <cell r="C93" t="str">
            <v>Plaza Retail REIT</v>
          </cell>
          <cell r="D93" t="str">
            <v>Target</v>
          </cell>
          <cell r="E93">
            <v>12</v>
          </cell>
          <cell r="F93" t="str">
            <v>CAD</v>
          </cell>
          <cell r="G93">
            <v>1</v>
          </cell>
          <cell r="H93" t="str">
            <v>Michael Zakuta</v>
          </cell>
          <cell r="I93" t="str">
            <v>President and CEO</v>
          </cell>
          <cell r="J93" t="str">
            <v>CEO</v>
          </cell>
          <cell r="K93">
            <v>368.68</v>
          </cell>
          <cell r="L93">
            <v>900.928</v>
          </cell>
          <cell r="M93">
            <v>400000</v>
          </cell>
          <cell r="N93">
            <v>400000</v>
          </cell>
          <cell r="O93">
            <v>400000</v>
          </cell>
          <cell r="P93">
            <v>0</v>
          </cell>
          <cell r="Q93">
            <v>0</v>
          </cell>
          <cell r="R93">
            <v>0</v>
          </cell>
          <cell r="S93">
            <v>0</v>
          </cell>
          <cell r="T93">
            <v>0</v>
          </cell>
          <cell r="U93">
            <v>400000</v>
          </cell>
          <cell r="V93">
            <v>400000</v>
          </cell>
          <cell r="W93" t="str">
            <v>input</v>
          </cell>
          <cell r="X93" t="str">
            <v>input</v>
          </cell>
          <cell r="Y93" t="str">
            <v>input</v>
          </cell>
          <cell r="Z93" t="str">
            <v>input</v>
          </cell>
          <cell r="AA93" t="str">
            <v>input</v>
          </cell>
          <cell r="AB93">
            <v>0</v>
          </cell>
          <cell r="AC93">
            <v>0</v>
          </cell>
          <cell r="AD93">
            <v>0</v>
          </cell>
          <cell r="AE93">
            <v>0</v>
          </cell>
          <cell r="AF93">
            <v>400000</v>
          </cell>
          <cell r="AG93">
            <v>400000</v>
          </cell>
          <cell r="AH93">
            <v>0</v>
          </cell>
          <cell r="AI93">
            <v>0</v>
          </cell>
          <cell r="AJ93">
            <v>400000</v>
          </cell>
          <cell r="AK93" t="str">
            <v>**</v>
          </cell>
          <cell r="AL93" t="str">
            <v>**</v>
          </cell>
          <cell r="AM93" t="str">
            <v xml:space="preserve">Zakuta (Plaza Retail REIT, tsx:PLZ.UN) does not receive any incentive awards and has a flat salary. Compensation prior to 2012 has not been considered, given that the Executives were employed under different agreements prior to internalizing property and corporate management. </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row>
        <row r="94">
          <cell r="A94" t="str">
            <v>tsx:PLZ.UN_CEO_Target</v>
          </cell>
          <cell r="B94" t="str">
            <v>tsx:PLZ.UN</v>
          </cell>
          <cell r="C94" t="str">
            <v>Plaza Retail REIT</v>
          </cell>
          <cell r="D94" t="str">
            <v>Target</v>
          </cell>
          <cell r="E94">
            <v>12</v>
          </cell>
          <cell r="F94" t="str">
            <v>CAD</v>
          </cell>
          <cell r="G94">
            <v>1</v>
          </cell>
          <cell r="H94" t="str">
            <v>Michael Zakuta</v>
          </cell>
          <cell r="I94" t="str">
            <v>President and CEO</v>
          </cell>
          <cell r="J94" t="str">
            <v>CEO</v>
          </cell>
          <cell r="K94">
            <v>368.68</v>
          </cell>
          <cell r="L94">
            <v>900.928</v>
          </cell>
          <cell r="M94">
            <v>400000</v>
          </cell>
          <cell r="N94">
            <v>400000</v>
          </cell>
          <cell r="O94">
            <v>400000</v>
          </cell>
          <cell r="P94">
            <v>0</v>
          </cell>
          <cell r="Q94">
            <v>0</v>
          </cell>
          <cell r="R94">
            <v>0</v>
          </cell>
          <cell r="S94">
            <v>0</v>
          </cell>
          <cell r="T94">
            <v>0</v>
          </cell>
          <cell r="U94">
            <v>400000</v>
          </cell>
          <cell r="V94">
            <v>400000</v>
          </cell>
          <cell r="W94" t="str">
            <v>input</v>
          </cell>
          <cell r="X94" t="str">
            <v>input</v>
          </cell>
          <cell r="Y94" t="str">
            <v>input</v>
          </cell>
          <cell r="Z94" t="str">
            <v>input</v>
          </cell>
          <cell r="AA94" t="str">
            <v>input</v>
          </cell>
          <cell r="AB94">
            <v>0</v>
          </cell>
          <cell r="AC94">
            <v>0</v>
          </cell>
          <cell r="AD94">
            <v>0</v>
          </cell>
          <cell r="AE94">
            <v>0</v>
          </cell>
          <cell r="AF94">
            <v>400000</v>
          </cell>
          <cell r="AG94">
            <v>400000</v>
          </cell>
          <cell r="AH94">
            <v>0</v>
          </cell>
          <cell r="AI94">
            <v>0</v>
          </cell>
          <cell r="AJ94">
            <v>400000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row>
        <row r="95">
          <cell r="A95" t="str">
            <v>tsx:PLZ.UN__2013</v>
          </cell>
          <cell r="B95" t="str">
            <v>tsx:PLZ.UN</v>
          </cell>
          <cell r="C95" t="str">
            <v>Plaza Retail REIT</v>
          </cell>
          <cell r="D95">
            <v>2013</v>
          </cell>
          <cell r="E95">
            <v>12</v>
          </cell>
          <cell r="F95" t="str">
            <v>CAD</v>
          </cell>
          <cell r="G95">
            <v>1</v>
          </cell>
          <cell r="H95" t="str">
            <v>Floriana Cipollone</v>
          </cell>
          <cell r="I95" t="str">
            <v>CFO</v>
          </cell>
          <cell r="J95">
            <v>0</v>
          </cell>
          <cell r="K95">
            <v>368.68</v>
          </cell>
          <cell r="L95">
            <v>900.928</v>
          </cell>
          <cell r="M95">
            <v>264385</v>
          </cell>
          <cell r="N95">
            <v>264385</v>
          </cell>
          <cell r="O95">
            <v>264385</v>
          </cell>
          <cell r="P95">
            <v>60000</v>
          </cell>
          <cell r="Q95">
            <v>60000</v>
          </cell>
          <cell r="R95">
            <v>0.22694177052404638</v>
          </cell>
          <cell r="S95">
            <v>0.23860122937046951</v>
          </cell>
          <cell r="T95">
            <v>63082.586027111582</v>
          </cell>
          <cell r="U95">
            <v>324385</v>
          </cell>
          <cell r="V95">
            <v>327467.58602711163</v>
          </cell>
          <cell r="W95">
            <v>0</v>
          </cell>
          <cell r="X95">
            <v>0</v>
          </cell>
          <cell r="Y95">
            <v>0</v>
          </cell>
          <cell r="Z95">
            <v>0</v>
          </cell>
          <cell r="AA95">
            <v>0</v>
          </cell>
          <cell r="AB95">
            <v>0</v>
          </cell>
          <cell r="AC95">
            <v>0</v>
          </cell>
          <cell r="AD95">
            <v>0.10323253388946819</v>
          </cell>
          <cell r="AE95">
            <v>0</v>
          </cell>
          <cell r="AF95">
            <v>324385</v>
          </cell>
          <cell r="AG95">
            <v>0</v>
          </cell>
          <cell r="AH95">
            <v>0</v>
          </cell>
          <cell r="AI95">
            <v>0</v>
          </cell>
          <cell r="AJ95">
            <v>324385</v>
          </cell>
          <cell r="AK95" t="str">
            <v>**</v>
          </cell>
          <cell r="AL95" t="str">
            <v>**</v>
          </cell>
          <cell r="AM95" t="str">
            <v xml:space="preserve">Compensation for Cipollone (Plaza Retail REIT, tsx:PLZ.UN) prior to 2012 has not been considered, given that the Executives were employed under different agreements prior to internalizing property and corporate management. </v>
          </cell>
          <cell r="AO95">
            <v>0</v>
          </cell>
          <cell r="AP95">
            <v>0</v>
          </cell>
          <cell r="AR95">
            <v>0</v>
          </cell>
          <cell r="AS95">
            <v>0</v>
          </cell>
          <cell r="AT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row>
        <row r="96">
          <cell r="A96" t="str">
            <v>tsx:PLZ.UN__2012</v>
          </cell>
          <cell r="B96" t="str">
            <v>tsx:PLZ.UN</v>
          </cell>
          <cell r="C96" t="str">
            <v>Plaza Retail REIT</v>
          </cell>
          <cell r="D96">
            <v>2012</v>
          </cell>
          <cell r="E96">
            <v>12</v>
          </cell>
          <cell r="F96" t="str">
            <v>CAD</v>
          </cell>
          <cell r="G96">
            <v>1</v>
          </cell>
          <cell r="H96" t="str">
            <v>Floriana Cipollone</v>
          </cell>
          <cell r="I96" t="str">
            <v>CFO</v>
          </cell>
          <cell r="J96">
            <v>0</v>
          </cell>
          <cell r="K96">
            <v>368.68</v>
          </cell>
          <cell r="L96">
            <v>900.928</v>
          </cell>
          <cell r="M96">
            <v>239750</v>
          </cell>
          <cell r="N96">
            <v>239750</v>
          </cell>
          <cell r="O96">
            <v>0</v>
          </cell>
          <cell r="P96">
            <v>60000</v>
          </cell>
          <cell r="Q96">
            <v>60000</v>
          </cell>
          <cell r="R96">
            <v>0.25026068821689262</v>
          </cell>
          <cell r="S96">
            <v>0</v>
          </cell>
          <cell r="T96">
            <v>0</v>
          </cell>
          <cell r="U96">
            <v>0</v>
          </cell>
          <cell r="V96">
            <v>0</v>
          </cell>
          <cell r="W96">
            <v>49500</v>
          </cell>
          <cell r="X96">
            <v>0</v>
          </cell>
          <cell r="Y96">
            <v>0</v>
          </cell>
          <cell r="Z96">
            <v>0</v>
          </cell>
          <cell r="AA96">
            <v>0</v>
          </cell>
          <cell r="AB96">
            <v>49500</v>
          </cell>
          <cell r="AC96">
            <v>0.20646506777893639</v>
          </cell>
          <cell r="AD96">
            <v>0</v>
          </cell>
          <cell r="AE96">
            <v>49500</v>
          </cell>
          <cell r="AF96">
            <v>349250</v>
          </cell>
          <cell r="AG96">
            <v>0</v>
          </cell>
          <cell r="AH96">
            <v>0</v>
          </cell>
          <cell r="AI96">
            <v>0</v>
          </cell>
          <cell r="AJ96">
            <v>349250</v>
          </cell>
          <cell r="AK96">
            <v>0</v>
          </cell>
          <cell r="AL96">
            <v>0</v>
          </cell>
          <cell r="AM96">
            <v>0</v>
          </cell>
          <cell r="AN96">
            <v>41260</v>
          </cell>
          <cell r="AO96">
            <v>10000</v>
          </cell>
          <cell r="AP96">
            <v>4.95</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row>
        <row r="97">
          <cell r="A97" t="str">
            <v>tsx:PLZ.UN__2011</v>
          </cell>
          <cell r="B97" t="str">
            <v>tsx:PLZ.UN</v>
          </cell>
          <cell r="C97" t="str">
            <v>Plaza Retail REIT</v>
          </cell>
          <cell r="D97">
            <v>2011</v>
          </cell>
          <cell r="E97">
            <v>12</v>
          </cell>
          <cell r="F97" t="str">
            <v>CAD</v>
          </cell>
          <cell r="G97">
            <v>1</v>
          </cell>
          <cell r="H97">
            <v>0</v>
          </cell>
          <cell r="I97">
            <v>0</v>
          </cell>
          <cell r="J97">
            <v>0</v>
          </cell>
          <cell r="K97">
            <v>368.68</v>
          </cell>
          <cell r="L97">
            <v>900.928</v>
          </cell>
          <cell r="M97">
            <v>0</v>
          </cell>
          <cell r="N97">
            <v>0</v>
          </cell>
          <cell r="O97">
            <v>0</v>
          </cell>
          <cell r="P97">
            <v>0</v>
          </cell>
          <cell r="Q97">
            <v>0</v>
          </cell>
          <cell r="R97" t="str">
            <v>input</v>
          </cell>
          <cell r="S97">
            <v>0</v>
          </cell>
          <cell r="T97">
            <v>0</v>
          </cell>
          <cell r="U97">
            <v>0</v>
          </cell>
          <cell r="V97">
            <v>0</v>
          </cell>
          <cell r="W97">
            <v>0</v>
          </cell>
          <cell r="X97">
            <v>0</v>
          </cell>
          <cell r="Y97">
            <v>0</v>
          </cell>
          <cell r="Z97">
            <v>0</v>
          </cell>
          <cell r="AA97">
            <v>0</v>
          </cell>
          <cell r="AB97">
            <v>0</v>
          </cell>
          <cell r="AC97" t="str">
            <v>input</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row>
        <row r="98">
          <cell r="A98" t="str">
            <v>tsx:PLZ.UN_CFO_Target</v>
          </cell>
          <cell r="B98" t="str">
            <v>tsx:PLZ.UN</v>
          </cell>
          <cell r="C98" t="str">
            <v>Plaza Retail REIT</v>
          </cell>
          <cell r="D98" t="str">
            <v>Target</v>
          </cell>
          <cell r="E98">
            <v>12</v>
          </cell>
          <cell r="F98" t="str">
            <v>CAD</v>
          </cell>
          <cell r="G98">
            <v>1</v>
          </cell>
          <cell r="H98" t="str">
            <v>Floriana Cipollone</v>
          </cell>
          <cell r="I98" t="str">
            <v>CFO</v>
          </cell>
          <cell r="J98" t="str">
            <v>CFO</v>
          </cell>
          <cell r="K98">
            <v>368.68</v>
          </cell>
          <cell r="L98">
            <v>900.928</v>
          </cell>
          <cell r="M98">
            <v>264385</v>
          </cell>
          <cell r="N98">
            <v>264385</v>
          </cell>
          <cell r="O98">
            <v>264385</v>
          </cell>
          <cell r="P98">
            <v>60000</v>
          </cell>
          <cell r="Q98">
            <v>60000</v>
          </cell>
          <cell r="R98">
            <v>0.22694177052404638</v>
          </cell>
          <cell r="S98">
            <v>0.23860122937046951</v>
          </cell>
          <cell r="T98">
            <v>63082.586027111582</v>
          </cell>
          <cell r="U98">
            <v>324385</v>
          </cell>
          <cell r="V98">
            <v>327467.58602711163</v>
          </cell>
          <cell r="W98">
            <v>16500</v>
          </cell>
          <cell r="X98" t="str">
            <v>input</v>
          </cell>
          <cell r="Y98" t="str">
            <v>input</v>
          </cell>
          <cell r="Z98" t="str">
            <v>input</v>
          </cell>
          <cell r="AA98" t="str">
            <v>input</v>
          </cell>
          <cell r="AB98">
            <v>0</v>
          </cell>
          <cell r="AC98">
            <v>0.10323253388946819</v>
          </cell>
          <cell r="AD98">
            <v>0.10323253388946819</v>
          </cell>
          <cell r="AE98">
            <v>27293.133472367048</v>
          </cell>
          <cell r="AF98">
            <v>324385</v>
          </cell>
          <cell r="AG98">
            <v>354760.71949947864</v>
          </cell>
          <cell r="AH98">
            <v>0</v>
          </cell>
          <cell r="AI98">
            <v>0</v>
          </cell>
          <cell r="AJ98">
            <v>324385</v>
          </cell>
          <cell r="AK98" t="str">
            <v>**</v>
          </cell>
          <cell r="AL98" t="str">
            <v>**</v>
          </cell>
          <cell r="AM98" t="str">
            <v xml:space="preserve">Compensation for Cipollone (Plaza Retail REIT, tsx:PLZ.UN) prior to 2012 has not been considered, given that the Executives were employed under different agreements prior to internalizing property and corporate management. </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row>
        <row r="99">
          <cell r="A99" t="str">
            <v>tsx:PLZ.UN_CFO_Target</v>
          </cell>
          <cell r="B99" t="str">
            <v>tsx:PLZ.UN</v>
          </cell>
          <cell r="C99" t="str">
            <v>Plaza Retail REIT</v>
          </cell>
          <cell r="D99" t="str">
            <v>Target</v>
          </cell>
          <cell r="E99">
            <v>12</v>
          </cell>
          <cell r="F99" t="str">
            <v>CAD</v>
          </cell>
          <cell r="G99">
            <v>1</v>
          </cell>
          <cell r="H99" t="str">
            <v>Floriana Cipollone</v>
          </cell>
          <cell r="I99" t="str">
            <v>CFO</v>
          </cell>
          <cell r="J99" t="str">
            <v>CFO</v>
          </cell>
          <cell r="K99">
            <v>368.68</v>
          </cell>
          <cell r="L99">
            <v>900.928</v>
          </cell>
          <cell r="M99">
            <v>264385</v>
          </cell>
          <cell r="N99">
            <v>264385</v>
          </cell>
          <cell r="O99">
            <v>264385</v>
          </cell>
          <cell r="P99">
            <v>60000</v>
          </cell>
          <cell r="Q99">
            <v>60000</v>
          </cell>
          <cell r="R99">
            <v>0.22694177052404638</v>
          </cell>
          <cell r="S99">
            <v>0.23860122937046951</v>
          </cell>
          <cell r="T99">
            <v>63082.586027111582</v>
          </cell>
          <cell r="U99">
            <v>324385</v>
          </cell>
          <cell r="V99">
            <v>327467.58602711163</v>
          </cell>
          <cell r="W99">
            <v>16500</v>
          </cell>
          <cell r="X99" t="str">
            <v>input</v>
          </cell>
          <cell r="Y99" t="str">
            <v>input</v>
          </cell>
          <cell r="Z99" t="str">
            <v>input</v>
          </cell>
          <cell r="AA99" t="str">
            <v>input</v>
          </cell>
          <cell r="AB99">
            <v>0</v>
          </cell>
          <cell r="AC99">
            <v>0.10323253388946819</v>
          </cell>
          <cell r="AD99">
            <v>0.10323253388946819</v>
          </cell>
          <cell r="AE99">
            <v>27293.133472367048</v>
          </cell>
          <cell r="AF99">
            <v>324385</v>
          </cell>
          <cell r="AG99">
            <v>354760.71949947864</v>
          </cell>
          <cell r="AH99">
            <v>0</v>
          </cell>
          <cell r="AI99">
            <v>0</v>
          </cell>
          <cell r="AJ99">
            <v>324385</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row>
        <row r="100">
          <cell r="A100" t="str">
            <v>tsx:AAR.UN__2013</v>
          </cell>
          <cell r="B100" t="str">
            <v>tsx:AAR.UN</v>
          </cell>
          <cell r="C100" t="str">
            <v>Pure Industrial Real Estate Trust</v>
          </cell>
          <cell r="D100">
            <v>2013</v>
          </cell>
          <cell r="E100">
            <v>12</v>
          </cell>
          <cell r="F100" t="str">
            <v>CAD</v>
          </cell>
          <cell r="G100">
            <v>1</v>
          </cell>
          <cell r="H100" t="str">
            <v>Stephen Evans</v>
          </cell>
          <cell r="I100" t="str">
            <v>Co-CEO</v>
          </cell>
          <cell r="J100">
            <v>0</v>
          </cell>
          <cell r="K100">
            <v>891.54166999999995</v>
          </cell>
          <cell r="L100">
            <v>1660.5996700000001</v>
          </cell>
          <cell r="M100">
            <v>500000</v>
          </cell>
          <cell r="N100">
            <v>500000</v>
          </cell>
          <cell r="O100">
            <v>500000</v>
          </cell>
          <cell r="P100">
            <v>150000</v>
          </cell>
          <cell r="Q100">
            <v>150000</v>
          </cell>
          <cell r="R100">
            <v>0.3</v>
          </cell>
          <cell r="S100">
            <v>0.3</v>
          </cell>
          <cell r="T100">
            <v>150000</v>
          </cell>
          <cell r="U100">
            <v>650000</v>
          </cell>
          <cell r="V100">
            <v>650000</v>
          </cell>
          <cell r="W100">
            <v>350000</v>
          </cell>
          <cell r="X100">
            <v>0</v>
          </cell>
          <cell r="Y100">
            <v>0</v>
          </cell>
          <cell r="Z100">
            <v>0</v>
          </cell>
          <cell r="AA100">
            <v>0</v>
          </cell>
          <cell r="AB100">
            <v>350000</v>
          </cell>
          <cell r="AC100">
            <v>0.7</v>
          </cell>
          <cell r="AD100">
            <v>0.7</v>
          </cell>
          <cell r="AE100">
            <v>350000</v>
          </cell>
          <cell r="AF100">
            <v>1000000</v>
          </cell>
          <cell r="AG100">
            <v>0</v>
          </cell>
          <cell r="AH100">
            <v>0</v>
          </cell>
          <cell r="AI100">
            <v>0</v>
          </cell>
          <cell r="AJ100">
            <v>1000000</v>
          </cell>
          <cell r="AK100" t="str">
            <v>targets disclosed</v>
          </cell>
          <cell r="AL100" t="str">
            <v>**</v>
          </cell>
          <cell r="AM100" t="str">
            <v xml:space="preserve">Kevan Gorrie advised that 70% of his total target bonus is paid in RSUs. </v>
          </cell>
          <cell r="AN100">
            <v>41333</v>
          </cell>
          <cell r="AO100">
            <v>41650</v>
          </cell>
          <cell r="AP100">
            <v>8.4033613445378155</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row>
        <row r="101">
          <cell r="A101" t="str">
            <v>tsx:AAR.UN__2012</v>
          </cell>
          <cell r="B101" t="str">
            <v>tsx:AAR.UN</v>
          </cell>
          <cell r="C101" t="str">
            <v>Pure Industrial Real Estate Trust</v>
          </cell>
          <cell r="D101">
            <v>2012</v>
          </cell>
          <cell r="E101">
            <v>12</v>
          </cell>
          <cell r="F101" t="str">
            <v>CAD</v>
          </cell>
          <cell r="G101">
            <v>1</v>
          </cell>
          <cell r="H101" t="str">
            <v>Stephen Evans</v>
          </cell>
          <cell r="I101" t="str">
            <v>Co-CEO</v>
          </cell>
          <cell r="J101">
            <v>0</v>
          </cell>
          <cell r="K101">
            <v>891.54166999999995</v>
          </cell>
          <cell r="L101">
            <v>1660.5996700000001</v>
          </cell>
          <cell r="M101">
            <v>173750</v>
          </cell>
          <cell r="N101">
            <v>173750</v>
          </cell>
          <cell r="O101">
            <v>0</v>
          </cell>
          <cell r="P101">
            <v>0</v>
          </cell>
          <cell r="Q101">
            <v>0</v>
          </cell>
          <cell r="R101">
            <v>0</v>
          </cell>
          <cell r="S101">
            <v>0</v>
          </cell>
          <cell r="T101">
            <v>0</v>
          </cell>
          <cell r="U101">
            <v>0</v>
          </cell>
          <cell r="V101">
            <v>0</v>
          </cell>
          <cell r="W101">
            <v>100000</v>
          </cell>
          <cell r="X101">
            <v>0</v>
          </cell>
          <cell r="Y101">
            <v>0</v>
          </cell>
          <cell r="Z101">
            <v>0</v>
          </cell>
          <cell r="AA101">
            <v>0</v>
          </cell>
          <cell r="AB101">
            <v>100000</v>
          </cell>
          <cell r="AC101">
            <v>0.57553956834532372</v>
          </cell>
          <cell r="AD101">
            <v>0</v>
          </cell>
          <cell r="AE101">
            <v>100000</v>
          </cell>
          <cell r="AF101">
            <v>273750</v>
          </cell>
          <cell r="AG101">
            <v>0</v>
          </cell>
          <cell r="AH101">
            <v>0</v>
          </cell>
          <cell r="AI101">
            <v>0</v>
          </cell>
          <cell r="AJ101">
            <v>273750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row>
        <row r="102">
          <cell r="A102" t="str">
            <v>tsx:AAR.UN__2011</v>
          </cell>
          <cell r="B102" t="str">
            <v>tsx:AAR.UN</v>
          </cell>
          <cell r="C102" t="str">
            <v>Pure Industrial Real Estate Trust</v>
          </cell>
          <cell r="D102">
            <v>2011</v>
          </cell>
          <cell r="E102">
            <v>6</v>
          </cell>
          <cell r="F102" t="str">
            <v>CAD</v>
          </cell>
          <cell r="G102">
            <v>1</v>
          </cell>
          <cell r="H102" t="str">
            <v>Stephen Evans</v>
          </cell>
          <cell r="I102" t="str">
            <v>Co-CEO</v>
          </cell>
          <cell r="J102">
            <v>0</v>
          </cell>
          <cell r="K102">
            <v>891.54166999999995</v>
          </cell>
          <cell r="L102">
            <v>1660.5996700000001</v>
          </cell>
          <cell r="M102">
            <v>37500</v>
          </cell>
          <cell r="N102">
            <v>75000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75000</v>
          </cell>
          <cell r="AG102">
            <v>0</v>
          </cell>
          <cell r="AH102">
            <v>0</v>
          </cell>
          <cell r="AI102">
            <v>0</v>
          </cell>
          <cell r="AJ102">
            <v>75000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row>
        <row r="103">
          <cell r="A103" t="str">
            <v>tsx:AAR.UN_CEO1_Target</v>
          </cell>
          <cell r="B103" t="str">
            <v>tsx:AAR.UN</v>
          </cell>
          <cell r="C103" t="str">
            <v>Pure Industrial Real Estate Trust</v>
          </cell>
          <cell r="D103" t="str">
            <v>Target</v>
          </cell>
          <cell r="E103">
            <v>12</v>
          </cell>
          <cell r="F103" t="str">
            <v>CAD</v>
          </cell>
          <cell r="G103">
            <v>1</v>
          </cell>
          <cell r="H103" t="str">
            <v>Stephen Evans</v>
          </cell>
          <cell r="I103" t="str">
            <v>Co-CEO</v>
          </cell>
          <cell r="J103" t="str">
            <v>CEO1</v>
          </cell>
          <cell r="K103">
            <v>891.54166999999995</v>
          </cell>
          <cell r="L103">
            <v>1660.5996700000001</v>
          </cell>
          <cell r="M103">
            <v>500000</v>
          </cell>
          <cell r="N103">
            <v>500000</v>
          </cell>
          <cell r="O103">
            <v>500000</v>
          </cell>
          <cell r="P103">
            <v>150000</v>
          </cell>
          <cell r="Q103">
            <v>150000</v>
          </cell>
          <cell r="R103">
            <v>0.3</v>
          </cell>
          <cell r="S103">
            <v>0.3</v>
          </cell>
          <cell r="T103">
            <v>150000</v>
          </cell>
          <cell r="U103">
            <v>650000</v>
          </cell>
          <cell r="V103">
            <v>650000</v>
          </cell>
          <cell r="W103">
            <v>225000</v>
          </cell>
          <cell r="X103" t="str">
            <v>input</v>
          </cell>
          <cell r="Y103" t="str">
            <v>input</v>
          </cell>
          <cell r="Z103" t="str">
            <v>input</v>
          </cell>
          <cell r="AA103" t="str">
            <v>input</v>
          </cell>
          <cell r="AB103">
            <v>350000</v>
          </cell>
          <cell r="AC103">
            <v>0.7</v>
          </cell>
          <cell r="AD103">
            <v>0.7</v>
          </cell>
          <cell r="AE103">
            <v>350000</v>
          </cell>
          <cell r="AF103">
            <v>1000000</v>
          </cell>
          <cell r="AG103">
            <v>1000000</v>
          </cell>
          <cell r="AH103">
            <v>0</v>
          </cell>
          <cell r="AI103">
            <v>0</v>
          </cell>
          <cell r="AJ103">
            <v>1000000</v>
          </cell>
          <cell r="AK103" t="str">
            <v>targets disclosed</v>
          </cell>
          <cell r="AL103" t="str">
            <v>**</v>
          </cell>
          <cell r="AM103" t="str">
            <v xml:space="preserve">Kevan Gorrie advised that 70% of his total target bonus is paid in RSUs. </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row>
        <row r="104">
          <cell r="A104" t="str">
            <v>tsx:AAR.UN_CEO1_Target</v>
          </cell>
          <cell r="B104" t="str">
            <v>tsx:AAR.UN</v>
          </cell>
          <cell r="C104" t="str">
            <v>Pure Industrial Real Estate Trust</v>
          </cell>
          <cell r="D104" t="str">
            <v>Target</v>
          </cell>
          <cell r="E104">
            <v>12</v>
          </cell>
          <cell r="F104" t="str">
            <v>CAD</v>
          </cell>
          <cell r="G104">
            <v>1</v>
          </cell>
          <cell r="H104" t="str">
            <v>Stephen Evans</v>
          </cell>
          <cell r="I104" t="str">
            <v>Co-CEO</v>
          </cell>
          <cell r="J104" t="str">
            <v>CEO1</v>
          </cell>
          <cell r="K104">
            <v>891.54166999999995</v>
          </cell>
          <cell r="L104">
            <v>1660.5996700000001</v>
          </cell>
          <cell r="M104">
            <v>500000</v>
          </cell>
          <cell r="N104">
            <v>500000</v>
          </cell>
          <cell r="O104">
            <v>500000</v>
          </cell>
          <cell r="P104">
            <v>150000</v>
          </cell>
          <cell r="Q104">
            <v>150000</v>
          </cell>
          <cell r="R104">
            <v>0.3</v>
          </cell>
          <cell r="S104">
            <v>0.3</v>
          </cell>
          <cell r="T104">
            <v>150000</v>
          </cell>
          <cell r="U104">
            <v>650000</v>
          </cell>
          <cell r="V104">
            <v>650000</v>
          </cell>
          <cell r="W104">
            <v>225000</v>
          </cell>
          <cell r="X104" t="str">
            <v>input</v>
          </cell>
          <cell r="Y104" t="str">
            <v>input</v>
          </cell>
          <cell r="Z104" t="str">
            <v>input</v>
          </cell>
          <cell r="AA104" t="str">
            <v>input</v>
          </cell>
          <cell r="AB104">
            <v>350000</v>
          </cell>
          <cell r="AC104">
            <v>0.7</v>
          </cell>
          <cell r="AD104">
            <v>0.7</v>
          </cell>
          <cell r="AE104">
            <v>350000</v>
          </cell>
          <cell r="AF104">
            <v>1000000</v>
          </cell>
          <cell r="AG104">
            <v>1000000</v>
          </cell>
          <cell r="AH104">
            <v>0</v>
          </cell>
          <cell r="AI104">
            <v>0</v>
          </cell>
          <cell r="AJ104">
            <v>1000000</v>
          </cell>
          <cell r="AK104">
            <v>0</v>
          </cell>
          <cell r="AL104">
            <v>0</v>
          </cell>
          <cell r="AM104" t="str">
            <v xml:space="preserve">Kevan Gorrie advised that 70% of his total target bonus is paid in RSUs. </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row>
        <row r="105">
          <cell r="A105" t="str">
            <v>tsx:AAR.UN__2013</v>
          </cell>
          <cell r="B105" t="str">
            <v>tsx:AAR.UN</v>
          </cell>
          <cell r="C105" t="str">
            <v>Pure Industrial Real Estate Trust</v>
          </cell>
          <cell r="D105">
            <v>2013</v>
          </cell>
          <cell r="E105">
            <v>12</v>
          </cell>
          <cell r="F105" t="str">
            <v>CAD</v>
          </cell>
          <cell r="G105">
            <v>1</v>
          </cell>
          <cell r="H105" t="str">
            <v>Kevan Gorrie</v>
          </cell>
          <cell r="I105" t="str">
            <v>Co-CEO</v>
          </cell>
          <cell r="J105">
            <v>0</v>
          </cell>
          <cell r="K105">
            <v>891.54166999999995</v>
          </cell>
          <cell r="L105">
            <v>1660.5996700000001</v>
          </cell>
          <cell r="M105">
            <v>550000</v>
          </cell>
          <cell r="N105">
            <v>550000</v>
          </cell>
          <cell r="O105">
            <v>550000</v>
          </cell>
          <cell r="P105">
            <v>165000</v>
          </cell>
          <cell r="Q105">
            <v>165000</v>
          </cell>
          <cell r="R105">
            <v>0.3</v>
          </cell>
          <cell r="S105">
            <v>0.3</v>
          </cell>
          <cell r="T105">
            <v>165000</v>
          </cell>
          <cell r="U105">
            <v>715000</v>
          </cell>
          <cell r="V105">
            <v>715000</v>
          </cell>
          <cell r="W105">
            <v>385000</v>
          </cell>
          <cell r="X105">
            <v>0</v>
          </cell>
          <cell r="Y105">
            <v>0</v>
          </cell>
          <cell r="Z105">
            <v>0</v>
          </cell>
          <cell r="AA105">
            <v>0</v>
          </cell>
          <cell r="AB105">
            <v>385000</v>
          </cell>
          <cell r="AC105">
            <v>0.7</v>
          </cell>
          <cell r="AD105">
            <v>0.7</v>
          </cell>
          <cell r="AE105">
            <v>385000</v>
          </cell>
          <cell r="AF105">
            <v>1100000</v>
          </cell>
          <cell r="AG105">
            <v>0</v>
          </cell>
          <cell r="AH105">
            <v>0</v>
          </cell>
          <cell r="AI105">
            <v>0</v>
          </cell>
          <cell r="AJ105">
            <v>1100000</v>
          </cell>
          <cell r="AK105" t="str">
            <v>targets disclosed</v>
          </cell>
          <cell r="AL105" t="str">
            <v>**</v>
          </cell>
          <cell r="AM105" t="str">
            <v xml:space="preserve">Kevan Gorrie advised that 70% of his total target bonus is paid in RSUs. </v>
          </cell>
          <cell r="AN105">
            <v>41333</v>
          </cell>
          <cell r="AO105">
            <v>45815</v>
          </cell>
          <cell r="AP105">
            <v>8.4033613445378155</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row>
        <row r="106">
          <cell r="A106" t="str">
            <v>tsx:AAR.UN__2012</v>
          </cell>
          <cell r="B106" t="str">
            <v>tsx:AAR.UN</v>
          </cell>
          <cell r="C106" t="str">
            <v>Pure Industrial Real Estate Trust</v>
          </cell>
          <cell r="D106">
            <v>2012</v>
          </cell>
          <cell r="E106">
            <v>12</v>
          </cell>
          <cell r="F106" t="str">
            <v>CAD</v>
          </cell>
          <cell r="G106">
            <v>1</v>
          </cell>
          <cell r="H106" t="str">
            <v>Kevan Gorrie</v>
          </cell>
          <cell r="I106" t="str">
            <v>Co-CEO</v>
          </cell>
          <cell r="J106">
            <v>0</v>
          </cell>
          <cell r="K106">
            <v>891.54166999999995</v>
          </cell>
          <cell r="L106">
            <v>1660.5996700000001</v>
          </cell>
          <cell r="M106">
            <v>0</v>
          </cell>
          <cell r="N106">
            <v>0</v>
          </cell>
          <cell r="O106">
            <v>0</v>
          </cell>
          <cell r="P106">
            <v>0</v>
          </cell>
          <cell r="Q106">
            <v>0</v>
          </cell>
          <cell r="R106" t="str">
            <v>input</v>
          </cell>
          <cell r="S106">
            <v>0</v>
          </cell>
          <cell r="T106">
            <v>0</v>
          </cell>
          <cell r="U106">
            <v>0</v>
          </cell>
          <cell r="V106">
            <v>0</v>
          </cell>
          <cell r="W106">
            <v>0</v>
          </cell>
          <cell r="X106">
            <v>0</v>
          </cell>
          <cell r="Y106">
            <v>0</v>
          </cell>
          <cell r="Z106">
            <v>0</v>
          </cell>
          <cell r="AA106">
            <v>0</v>
          </cell>
          <cell r="AB106">
            <v>0</v>
          </cell>
          <cell r="AC106" t="str">
            <v>input</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row>
        <row r="107">
          <cell r="A107" t="str">
            <v>tsx:AAR.UN__2011</v>
          </cell>
          <cell r="B107" t="str">
            <v>tsx:AAR.UN</v>
          </cell>
          <cell r="C107" t="str">
            <v>Pure Industrial Real Estate Trust</v>
          </cell>
          <cell r="D107">
            <v>2011</v>
          </cell>
          <cell r="E107">
            <v>12</v>
          </cell>
          <cell r="F107" t="str">
            <v>CAD</v>
          </cell>
          <cell r="G107">
            <v>1</v>
          </cell>
          <cell r="H107" t="str">
            <v>Kevan Gorrie</v>
          </cell>
          <cell r="I107" t="str">
            <v>Co-CEO</v>
          </cell>
          <cell r="J107">
            <v>0</v>
          </cell>
          <cell r="K107">
            <v>891.54166999999995</v>
          </cell>
          <cell r="L107">
            <v>1660.5996700000001</v>
          </cell>
          <cell r="M107">
            <v>0</v>
          </cell>
          <cell r="N107">
            <v>0</v>
          </cell>
          <cell r="O107">
            <v>0</v>
          </cell>
          <cell r="P107">
            <v>0</v>
          </cell>
          <cell r="Q107">
            <v>0</v>
          </cell>
          <cell r="R107" t="str">
            <v>input</v>
          </cell>
          <cell r="S107">
            <v>0</v>
          </cell>
          <cell r="T107">
            <v>0</v>
          </cell>
          <cell r="U107">
            <v>0</v>
          </cell>
          <cell r="V107">
            <v>0</v>
          </cell>
          <cell r="W107">
            <v>0</v>
          </cell>
          <cell r="X107">
            <v>0</v>
          </cell>
          <cell r="Y107">
            <v>0</v>
          </cell>
          <cell r="Z107">
            <v>0</v>
          </cell>
          <cell r="AA107">
            <v>0</v>
          </cell>
          <cell r="AB107">
            <v>0</v>
          </cell>
          <cell r="AC107" t="str">
            <v>input</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row>
        <row r="108">
          <cell r="A108" t="str">
            <v>tsx:AAR.UN_CEO3_Target</v>
          </cell>
          <cell r="B108" t="str">
            <v>tsx:AAR.UN</v>
          </cell>
          <cell r="C108" t="str">
            <v>Pure Industrial Real Estate Trust</v>
          </cell>
          <cell r="D108" t="str">
            <v>Target</v>
          </cell>
          <cell r="E108">
            <v>12</v>
          </cell>
          <cell r="F108" t="str">
            <v>CAD</v>
          </cell>
          <cell r="G108">
            <v>1</v>
          </cell>
          <cell r="H108" t="str">
            <v>Kevan Gorrie</v>
          </cell>
          <cell r="I108" t="str">
            <v>Co-CEO</v>
          </cell>
          <cell r="J108" t="str">
            <v>CEO3</v>
          </cell>
          <cell r="K108">
            <v>891.54166999999995</v>
          </cell>
          <cell r="L108">
            <v>1660.5996700000001</v>
          </cell>
          <cell r="M108">
            <v>550000</v>
          </cell>
          <cell r="N108">
            <v>550000</v>
          </cell>
          <cell r="O108">
            <v>550000</v>
          </cell>
          <cell r="P108">
            <v>165000</v>
          </cell>
          <cell r="Q108">
            <v>165000</v>
          </cell>
          <cell r="R108">
            <v>0.3</v>
          </cell>
          <cell r="S108">
            <v>0.3</v>
          </cell>
          <cell r="T108">
            <v>165000</v>
          </cell>
          <cell r="U108">
            <v>715000</v>
          </cell>
          <cell r="V108">
            <v>715000</v>
          </cell>
          <cell r="W108">
            <v>385000</v>
          </cell>
          <cell r="X108" t="str">
            <v>input</v>
          </cell>
          <cell r="Y108" t="str">
            <v>input</v>
          </cell>
          <cell r="Z108" t="str">
            <v>input</v>
          </cell>
          <cell r="AA108" t="str">
            <v>input</v>
          </cell>
          <cell r="AB108">
            <v>385000</v>
          </cell>
          <cell r="AC108">
            <v>0.7</v>
          </cell>
          <cell r="AD108">
            <v>0.7</v>
          </cell>
          <cell r="AE108">
            <v>385000</v>
          </cell>
          <cell r="AF108">
            <v>1100000</v>
          </cell>
          <cell r="AG108">
            <v>1100000</v>
          </cell>
          <cell r="AH108">
            <v>0</v>
          </cell>
          <cell r="AI108">
            <v>0</v>
          </cell>
          <cell r="AJ108">
            <v>1100000</v>
          </cell>
          <cell r="AK108" t="str">
            <v>targets disclosed</v>
          </cell>
          <cell r="AL108" t="str">
            <v>**</v>
          </cell>
          <cell r="AM108" t="str">
            <v xml:space="preserve">Kevan Gorrie advised that 70% of his total target bonus is paid in RSUs. </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row>
        <row r="109">
          <cell r="A109" t="str">
            <v>tsx:AAR.UN_CEO3_Target</v>
          </cell>
          <cell r="B109" t="str">
            <v>tsx:AAR.UN</v>
          </cell>
          <cell r="C109" t="str">
            <v>Pure Industrial Real Estate Trust</v>
          </cell>
          <cell r="D109" t="str">
            <v>Target</v>
          </cell>
          <cell r="E109">
            <v>12</v>
          </cell>
          <cell r="F109" t="str">
            <v>CAD</v>
          </cell>
          <cell r="G109">
            <v>1</v>
          </cell>
          <cell r="H109" t="str">
            <v>Kevan Gorrie</v>
          </cell>
          <cell r="I109" t="str">
            <v>Co-CEO</v>
          </cell>
          <cell r="J109" t="str">
            <v>CEO3</v>
          </cell>
          <cell r="K109">
            <v>891.54166999999995</v>
          </cell>
          <cell r="L109">
            <v>1660.5996700000001</v>
          </cell>
          <cell r="M109">
            <v>550000</v>
          </cell>
          <cell r="N109">
            <v>550000</v>
          </cell>
          <cell r="O109">
            <v>550000</v>
          </cell>
          <cell r="P109">
            <v>165000</v>
          </cell>
          <cell r="Q109">
            <v>165000</v>
          </cell>
          <cell r="R109">
            <v>0.3</v>
          </cell>
          <cell r="S109">
            <v>0.3</v>
          </cell>
          <cell r="T109">
            <v>165000</v>
          </cell>
          <cell r="U109">
            <v>715000</v>
          </cell>
          <cell r="V109">
            <v>715000</v>
          </cell>
          <cell r="W109">
            <v>385000</v>
          </cell>
          <cell r="X109" t="str">
            <v>input</v>
          </cell>
          <cell r="Y109" t="str">
            <v>input</v>
          </cell>
          <cell r="Z109" t="str">
            <v>input</v>
          </cell>
          <cell r="AA109" t="str">
            <v>input</v>
          </cell>
          <cell r="AB109">
            <v>385000</v>
          </cell>
          <cell r="AC109">
            <v>0.7</v>
          </cell>
          <cell r="AD109">
            <v>0.7</v>
          </cell>
          <cell r="AE109">
            <v>385000</v>
          </cell>
          <cell r="AF109">
            <v>1100000</v>
          </cell>
          <cell r="AG109">
            <v>1100000</v>
          </cell>
          <cell r="AH109">
            <v>0</v>
          </cell>
          <cell r="AI109">
            <v>0</v>
          </cell>
          <cell r="AJ109">
            <v>1100000</v>
          </cell>
          <cell r="AK109">
            <v>0</v>
          </cell>
          <cell r="AL109">
            <v>0</v>
          </cell>
          <cell r="AM109" t="str">
            <v xml:space="preserve">Kevan Gorrie advised that 70% of his total target bonus is paid in RSUs. </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row>
        <row r="110">
          <cell r="A110" t="str">
            <v>tsx:AAR.UN__2013</v>
          </cell>
          <cell r="B110" t="str">
            <v>tsx:AAR.UN</v>
          </cell>
          <cell r="C110" t="str">
            <v>Pure Industrial Real Estate Trust</v>
          </cell>
          <cell r="D110">
            <v>2013</v>
          </cell>
          <cell r="E110">
            <v>12</v>
          </cell>
          <cell r="F110" t="str">
            <v>CAD</v>
          </cell>
          <cell r="G110">
            <v>1</v>
          </cell>
          <cell r="H110" t="str">
            <v>Francis Tam</v>
          </cell>
          <cell r="I110" t="str">
            <v>CFO</v>
          </cell>
          <cell r="J110">
            <v>0</v>
          </cell>
          <cell r="K110">
            <v>891.54166999999995</v>
          </cell>
          <cell r="L110">
            <v>1660.5996700000001</v>
          </cell>
          <cell r="M110">
            <v>310000</v>
          </cell>
          <cell r="N110">
            <v>310000</v>
          </cell>
          <cell r="O110">
            <v>310000</v>
          </cell>
          <cell r="P110">
            <v>232500</v>
          </cell>
          <cell r="Q110">
            <v>232500</v>
          </cell>
          <cell r="R110">
            <v>0.75</v>
          </cell>
          <cell r="S110">
            <v>0.75</v>
          </cell>
          <cell r="T110">
            <v>232500</v>
          </cell>
          <cell r="U110">
            <v>542500</v>
          </cell>
          <cell r="V110">
            <v>542500</v>
          </cell>
          <cell r="W110">
            <v>75000</v>
          </cell>
          <cell r="X110">
            <v>0</v>
          </cell>
          <cell r="Y110">
            <v>0</v>
          </cell>
          <cell r="Z110">
            <v>0</v>
          </cell>
          <cell r="AA110">
            <v>0</v>
          </cell>
          <cell r="AB110">
            <v>75000</v>
          </cell>
          <cell r="AC110">
            <v>0.24193548387096775</v>
          </cell>
          <cell r="AD110">
            <v>0.62096774193548387</v>
          </cell>
          <cell r="AE110">
            <v>75000</v>
          </cell>
          <cell r="AF110">
            <v>617500</v>
          </cell>
          <cell r="AG110">
            <v>0</v>
          </cell>
          <cell r="AH110">
            <v>0</v>
          </cell>
          <cell r="AI110">
            <v>0</v>
          </cell>
          <cell r="AJ110">
            <v>617500</v>
          </cell>
          <cell r="AK110" t="str">
            <v>**</v>
          </cell>
          <cell r="AL110" t="str">
            <v>**</v>
          </cell>
          <cell r="AM110">
            <v>0</v>
          </cell>
          <cell r="AN110">
            <v>41333</v>
          </cell>
          <cell r="AO110">
            <v>8925</v>
          </cell>
          <cell r="AP110">
            <v>8.4033613445378155</v>
          </cell>
          <cell r="AR110">
            <v>0</v>
          </cell>
          <cell r="AS110">
            <v>0</v>
          </cell>
          <cell r="AT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row>
        <row r="111">
          <cell r="A111" t="str">
            <v>tsx:AAR.UN__2012</v>
          </cell>
          <cell r="B111" t="str">
            <v>tsx:AAR.UN</v>
          </cell>
          <cell r="C111" t="str">
            <v>Pure Industrial Real Estate Trust</v>
          </cell>
          <cell r="D111">
            <v>2012</v>
          </cell>
          <cell r="E111">
            <v>12</v>
          </cell>
          <cell r="F111" t="str">
            <v>CAD</v>
          </cell>
          <cell r="G111">
            <v>1</v>
          </cell>
          <cell r="H111" t="str">
            <v>Francis Tam</v>
          </cell>
          <cell r="I111" t="str">
            <v>CFO</v>
          </cell>
          <cell r="J111">
            <v>0</v>
          </cell>
          <cell r="K111">
            <v>891.54166999999995</v>
          </cell>
          <cell r="L111">
            <v>1660.5996700000001</v>
          </cell>
          <cell r="M111">
            <v>200000</v>
          </cell>
          <cell r="N111">
            <v>200000</v>
          </cell>
          <cell r="O111">
            <v>0</v>
          </cell>
          <cell r="P111">
            <v>75000</v>
          </cell>
          <cell r="Q111">
            <v>75000</v>
          </cell>
          <cell r="R111">
            <v>0.375</v>
          </cell>
          <cell r="S111">
            <v>0</v>
          </cell>
          <cell r="T111">
            <v>0</v>
          </cell>
          <cell r="U111">
            <v>0</v>
          </cell>
          <cell r="V111">
            <v>0</v>
          </cell>
          <cell r="W111">
            <v>200000</v>
          </cell>
          <cell r="X111">
            <v>0</v>
          </cell>
          <cell r="Y111">
            <v>0</v>
          </cell>
          <cell r="Z111">
            <v>0</v>
          </cell>
          <cell r="AA111">
            <v>0</v>
          </cell>
          <cell r="AB111">
            <v>200000</v>
          </cell>
          <cell r="AC111">
            <v>1</v>
          </cell>
          <cell r="AD111">
            <v>0</v>
          </cell>
          <cell r="AE111">
            <v>200000</v>
          </cell>
          <cell r="AF111">
            <v>475000</v>
          </cell>
          <cell r="AG111">
            <v>0</v>
          </cell>
          <cell r="AH111">
            <v>0</v>
          </cell>
          <cell r="AI111">
            <v>0</v>
          </cell>
          <cell r="AJ111">
            <v>475000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row>
        <row r="112">
          <cell r="A112" t="str">
            <v>tsx:AAR.UN__2011</v>
          </cell>
          <cell r="B112" t="str">
            <v>tsx:AAR.UN</v>
          </cell>
          <cell r="C112" t="str">
            <v>Pure Industrial Real Estate Trust</v>
          </cell>
          <cell r="D112">
            <v>2011</v>
          </cell>
          <cell r="E112">
            <v>6</v>
          </cell>
          <cell r="F112" t="str">
            <v>CAD</v>
          </cell>
          <cell r="G112">
            <v>1</v>
          </cell>
          <cell r="H112" t="str">
            <v>Francis Tam</v>
          </cell>
          <cell r="I112" t="str">
            <v>CFO</v>
          </cell>
          <cell r="J112">
            <v>0</v>
          </cell>
          <cell r="K112">
            <v>891.54166999999995</v>
          </cell>
          <cell r="L112">
            <v>1660.5996700000001</v>
          </cell>
          <cell r="M112">
            <v>99167</v>
          </cell>
          <cell r="N112">
            <v>198334</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198334</v>
          </cell>
          <cell r="AG112">
            <v>0</v>
          </cell>
          <cell r="AH112">
            <v>0</v>
          </cell>
          <cell r="AI112">
            <v>0</v>
          </cell>
          <cell r="AJ112">
            <v>198334</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row>
        <row r="113">
          <cell r="A113" t="str">
            <v>tsx:AAR.UN_CFO_Target</v>
          </cell>
          <cell r="B113" t="str">
            <v>tsx:AAR.UN</v>
          </cell>
          <cell r="C113" t="str">
            <v>Pure Industrial Real Estate Trust</v>
          </cell>
          <cell r="D113" t="str">
            <v>Target</v>
          </cell>
          <cell r="E113">
            <v>12</v>
          </cell>
          <cell r="F113" t="str">
            <v>CAD</v>
          </cell>
          <cell r="G113">
            <v>1</v>
          </cell>
          <cell r="H113" t="str">
            <v>Francis Tam</v>
          </cell>
          <cell r="I113" t="str">
            <v>CFO</v>
          </cell>
          <cell r="J113" t="str">
            <v>CFO</v>
          </cell>
          <cell r="K113">
            <v>891.54166999999995</v>
          </cell>
          <cell r="L113">
            <v>1660.5996700000001</v>
          </cell>
          <cell r="M113">
            <v>310000</v>
          </cell>
          <cell r="N113">
            <v>310000</v>
          </cell>
          <cell r="O113">
            <v>310000</v>
          </cell>
          <cell r="P113">
            <v>232500</v>
          </cell>
          <cell r="Q113">
            <v>232500</v>
          </cell>
          <cell r="R113">
            <v>0.75</v>
          </cell>
          <cell r="S113">
            <v>0.75</v>
          </cell>
          <cell r="T113">
            <v>232500</v>
          </cell>
          <cell r="U113">
            <v>542500</v>
          </cell>
          <cell r="V113">
            <v>542500</v>
          </cell>
          <cell r="W113">
            <v>137500</v>
          </cell>
          <cell r="X113" t="str">
            <v>input</v>
          </cell>
          <cell r="Y113" t="str">
            <v>input</v>
          </cell>
          <cell r="Z113" t="str">
            <v>input</v>
          </cell>
          <cell r="AA113" t="str">
            <v>input</v>
          </cell>
          <cell r="AB113">
            <v>75000</v>
          </cell>
          <cell r="AC113">
            <v>0.41397849462365593</v>
          </cell>
          <cell r="AD113">
            <v>0.62096774193548387</v>
          </cell>
          <cell r="AE113">
            <v>128333.33333333334</v>
          </cell>
          <cell r="AF113">
            <v>617500</v>
          </cell>
          <cell r="AG113">
            <v>670833.33333333337</v>
          </cell>
          <cell r="AH113">
            <v>0</v>
          </cell>
          <cell r="AI113">
            <v>0</v>
          </cell>
          <cell r="AJ113">
            <v>617500</v>
          </cell>
          <cell r="AK113" t="str">
            <v>**</v>
          </cell>
          <cell r="AL113" t="str">
            <v>**</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row>
        <row r="114">
          <cell r="A114" t="str">
            <v>tsx:AAR.UN_CFO_Target</v>
          </cell>
          <cell r="B114" t="str">
            <v>tsx:AAR.UN</v>
          </cell>
          <cell r="C114" t="str">
            <v>Pure Industrial Real Estate Trust</v>
          </cell>
          <cell r="D114" t="str">
            <v>Target</v>
          </cell>
          <cell r="E114">
            <v>12</v>
          </cell>
          <cell r="F114" t="str">
            <v>CAD</v>
          </cell>
          <cell r="G114">
            <v>1</v>
          </cell>
          <cell r="H114" t="str">
            <v>Francis Tam</v>
          </cell>
          <cell r="I114" t="str">
            <v>CFO</v>
          </cell>
          <cell r="J114" t="str">
            <v>CFO</v>
          </cell>
          <cell r="K114">
            <v>891.54166999999995</v>
          </cell>
          <cell r="L114">
            <v>1660.5996700000001</v>
          </cell>
          <cell r="M114">
            <v>310000</v>
          </cell>
          <cell r="N114">
            <v>310000</v>
          </cell>
          <cell r="O114">
            <v>310000</v>
          </cell>
          <cell r="P114">
            <v>232500</v>
          </cell>
          <cell r="Q114">
            <v>232500</v>
          </cell>
          <cell r="R114">
            <v>0.75</v>
          </cell>
          <cell r="S114">
            <v>0.75</v>
          </cell>
          <cell r="T114">
            <v>232500</v>
          </cell>
          <cell r="U114">
            <v>542500</v>
          </cell>
          <cell r="V114">
            <v>542500</v>
          </cell>
          <cell r="W114">
            <v>137500</v>
          </cell>
          <cell r="X114" t="str">
            <v>input</v>
          </cell>
          <cell r="Y114" t="str">
            <v>input</v>
          </cell>
          <cell r="Z114" t="str">
            <v>input</v>
          </cell>
          <cell r="AA114" t="str">
            <v>input</v>
          </cell>
          <cell r="AB114">
            <v>75000</v>
          </cell>
          <cell r="AC114">
            <v>0.41397849462365593</v>
          </cell>
          <cell r="AD114">
            <v>0.62096774193548387</v>
          </cell>
          <cell r="AE114">
            <v>128333.33333333334</v>
          </cell>
          <cell r="AF114">
            <v>617500</v>
          </cell>
          <cell r="AG114">
            <v>670833.33333333337</v>
          </cell>
          <cell r="AH114">
            <v>0</v>
          </cell>
          <cell r="AI114">
            <v>0</v>
          </cell>
          <cell r="AJ114">
            <v>617500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row>
        <row r="115">
          <cell r="A115" t="str">
            <v>tsx:IIP.UN__2013</v>
          </cell>
          <cell r="B115" t="str">
            <v>tsx:IIP.UN</v>
          </cell>
          <cell r="C115" t="str">
            <v>InterRent Real Estate Investment Trust</v>
          </cell>
          <cell r="D115">
            <v>2013</v>
          </cell>
          <cell r="E115">
            <v>12</v>
          </cell>
          <cell r="F115" t="str">
            <v>CAD</v>
          </cell>
          <cell r="G115">
            <v>1</v>
          </cell>
          <cell r="H115" t="str">
            <v>Mike McGahan</v>
          </cell>
          <cell r="I115" t="str">
            <v>CEO</v>
          </cell>
          <cell r="J115">
            <v>0</v>
          </cell>
          <cell r="K115">
            <v>335.56056000000001</v>
          </cell>
          <cell r="L115">
            <v>722.62055999999995</v>
          </cell>
          <cell r="M115">
            <v>0</v>
          </cell>
          <cell r="N115">
            <v>0</v>
          </cell>
          <cell r="O115">
            <v>0</v>
          </cell>
          <cell r="P115">
            <v>1000000</v>
          </cell>
          <cell r="Q115">
            <v>1000000</v>
          </cell>
          <cell r="R115" t="str">
            <v>-</v>
          </cell>
          <cell r="S115">
            <v>1</v>
          </cell>
          <cell r="T115">
            <v>1000000</v>
          </cell>
          <cell r="U115">
            <v>1000000</v>
          </cell>
          <cell r="V115">
            <v>1000000</v>
          </cell>
          <cell r="W115">
            <v>0</v>
          </cell>
          <cell r="X115">
            <v>0</v>
          </cell>
          <cell r="Y115">
            <v>217909</v>
          </cell>
          <cell r="Z115">
            <v>1000000</v>
          </cell>
          <cell r="AA115">
            <v>0</v>
          </cell>
          <cell r="AB115">
            <v>1217909</v>
          </cell>
          <cell r="AC115" t="str">
            <v>-</v>
          </cell>
          <cell r="AD115" t="str">
            <v>-</v>
          </cell>
          <cell r="AE115">
            <v>1217909</v>
          </cell>
          <cell r="AF115">
            <v>2217909</v>
          </cell>
          <cell r="AG115">
            <v>0</v>
          </cell>
          <cell r="AH115">
            <v>0</v>
          </cell>
          <cell r="AI115">
            <v>0</v>
          </cell>
          <cell r="AJ115">
            <v>2217909</v>
          </cell>
          <cell r="AK115" t="str">
            <v>**</v>
          </cell>
          <cell r="AL115" t="str">
            <v>**</v>
          </cell>
          <cell r="AM115" t="str">
            <v>McGahan (InterRent REIT, tsx:IPP.UN) as of 2013 elected to forego base salary and instead be compensated solely in bonus and Units. The Trust matches any DSU awards granted to McGahan. Matched DSUs have been recorded in the LTIP section. Target compensation based on actual compensation received in 2013.</v>
          </cell>
          <cell r="AO115">
            <v>0</v>
          </cell>
          <cell r="AP115">
            <v>0</v>
          </cell>
          <cell r="AR115">
            <v>0</v>
          </cell>
          <cell r="AS115">
            <v>0</v>
          </cell>
          <cell r="AT115">
            <v>0</v>
          </cell>
          <cell r="AU115">
            <v>41639</v>
          </cell>
          <cell r="AV115">
            <v>125229.45661896243</v>
          </cell>
          <cell r="AW115">
            <v>5.65</v>
          </cell>
          <cell r="AX115">
            <v>0</v>
          </cell>
          <cell r="AY115">
            <v>0</v>
          </cell>
          <cell r="AZ115">
            <v>0</v>
          </cell>
          <cell r="BA115">
            <v>0</v>
          </cell>
          <cell r="BB115">
            <v>41639</v>
          </cell>
          <cell r="BC115">
            <v>186941.34315670159</v>
          </cell>
          <cell r="BD115">
            <v>5.3492715047080868</v>
          </cell>
          <cell r="BE115">
            <v>0</v>
          </cell>
          <cell r="BF115">
            <v>0</v>
          </cell>
          <cell r="BG115">
            <v>0</v>
          </cell>
          <cell r="BH115">
            <v>0</v>
          </cell>
          <cell r="BI115">
            <v>0</v>
          </cell>
          <cell r="BJ115">
            <v>0</v>
          </cell>
        </row>
        <row r="116">
          <cell r="A116" t="str">
            <v>tsx:IIP.UN__2012</v>
          </cell>
          <cell r="B116" t="str">
            <v>tsx:IIP.UN</v>
          </cell>
          <cell r="C116" t="str">
            <v>InterRent Real Estate Investment Trust</v>
          </cell>
          <cell r="D116">
            <v>2012</v>
          </cell>
          <cell r="E116">
            <v>12</v>
          </cell>
          <cell r="F116" t="str">
            <v>CAD</v>
          </cell>
          <cell r="G116">
            <v>1</v>
          </cell>
          <cell r="H116" t="str">
            <v>Mike McGahan</v>
          </cell>
          <cell r="I116" t="str">
            <v>CEO</v>
          </cell>
          <cell r="J116">
            <v>0</v>
          </cell>
          <cell r="K116">
            <v>335.56056000000001</v>
          </cell>
          <cell r="L116">
            <v>722.62055999999995</v>
          </cell>
          <cell r="M116">
            <v>175000</v>
          </cell>
          <cell r="N116">
            <v>175000</v>
          </cell>
          <cell r="O116">
            <v>0</v>
          </cell>
          <cell r="P116">
            <v>550000</v>
          </cell>
          <cell r="Q116">
            <v>550000</v>
          </cell>
          <cell r="R116">
            <v>3.1428571428571428</v>
          </cell>
          <cell r="S116">
            <v>0</v>
          </cell>
          <cell r="T116">
            <v>0</v>
          </cell>
          <cell r="U116">
            <v>0</v>
          </cell>
          <cell r="V116">
            <v>0</v>
          </cell>
          <cell r="W116">
            <v>0</v>
          </cell>
          <cell r="X116">
            <v>0</v>
          </cell>
          <cell r="Y116">
            <v>0</v>
          </cell>
          <cell r="Z116">
            <v>550000</v>
          </cell>
          <cell r="AA116">
            <v>0</v>
          </cell>
          <cell r="AB116">
            <v>550000</v>
          </cell>
          <cell r="AC116">
            <v>3.1428571428571428</v>
          </cell>
          <cell r="AD116">
            <v>0</v>
          </cell>
          <cell r="AE116">
            <v>550000</v>
          </cell>
          <cell r="AF116">
            <v>1275000</v>
          </cell>
          <cell r="AG116">
            <v>0</v>
          </cell>
          <cell r="AH116">
            <v>0</v>
          </cell>
          <cell r="AI116">
            <v>0</v>
          </cell>
          <cell r="AJ116">
            <v>1275000</v>
          </cell>
          <cell r="AK116">
            <v>0</v>
          </cell>
          <cell r="AL116">
            <v>0</v>
          </cell>
          <cell r="AM116">
            <v>0</v>
          </cell>
          <cell r="AN116">
            <v>0</v>
          </cell>
          <cell r="AO116">
            <v>0</v>
          </cell>
          <cell r="AP116">
            <v>0</v>
          </cell>
          <cell r="AQ116">
            <v>0</v>
          </cell>
          <cell r="AR116">
            <v>0</v>
          </cell>
          <cell r="AS116">
            <v>0</v>
          </cell>
          <cell r="AT116">
            <v>0</v>
          </cell>
          <cell r="AU116">
            <v>41274</v>
          </cell>
          <cell r="AV116">
            <v>0</v>
          </cell>
          <cell r="AW116">
            <v>5.5</v>
          </cell>
          <cell r="AX116">
            <v>0</v>
          </cell>
          <cell r="AY116">
            <v>0</v>
          </cell>
          <cell r="AZ116">
            <v>0</v>
          </cell>
          <cell r="BA116">
            <v>0</v>
          </cell>
          <cell r="BB116">
            <v>41274</v>
          </cell>
          <cell r="BC116">
            <v>105148.95231213873</v>
          </cell>
          <cell r="BD116">
            <v>5.2306750367545627</v>
          </cell>
          <cell r="BE116">
            <v>0</v>
          </cell>
          <cell r="BF116">
            <v>0</v>
          </cell>
          <cell r="BG116">
            <v>0</v>
          </cell>
          <cell r="BH116">
            <v>0</v>
          </cell>
          <cell r="BI116">
            <v>0</v>
          </cell>
          <cell r="BJ116">
            <v>0</v>
          </cell>
        </row>
        <row r="117">
          <cell r="A117" t="str">
            <v>tsx:IIP.UN__2011</v>
          </cell>
          <cell r="B117" t="str">
            <v>tsx:IIP.UN</v>
          </cell>
          <cell r="C117" t="str">
            <v>InterRent Real Estate Investment Trust</v>
          </cell>
          <cell r="D117">
            <v>2011</v>
          </cell>
          <cell r="E117">
            <v>12</v>
          </cell>
          <cell r="F117" t="str">
            <v>CAD</v>
          </cell>
          <cell r="G117">
            <v>1</v>
          </cell>
          <cell r="H117" t="str">
            <v>Mike McGahan</v>
          </cell>
          <cell r="I117" t="str">
            <v>CEO</v>
          </cell>
          <cell r="J117">
            <v>0</v>
          </cell>
          <cell r="K117">
            <v>335.56056000000001</v>
          </cell>
          <cell r="L117">
            <v>722.62055999999995</v>
          </cell>
          <cell r="M117">
            <v>145833</v>
          </cell>
          <cell r="N117">
            <v>145833</v>
          </cell>
          <cell r="O117">
            <v>0</v>
          </cell>
          <cell r="P117">
            <v>350000</v>
          </cell>
          <cell r="Q117">
            <v>350000</v>
          </cell>
          <cell r="R117">
            <v>2.4000054857268247</v>
          </cell>
          <cell r="S117">
            <v>0</v>
          </cell>
          <cell r="T117">
            <v>0</v>
          </cell>
          <cell r="U117">
            <v>0</v>
          </cell>
          <cell r="V117">
            <v>0</v>
          </cell>
          <cell r="W117">
            <v>0</v>
          </cell>
          <cell r="X117">
            <v>0</v>
          </cell>
          <cell r="Y117">
            <v>135331</v>
          </cell>
          <cell r="Z117">
            <v>350000</v>
          </cell>
          <cell r="AA117">
            <v>0</v>
          </cell>
          <cell r="AB117">
            <v>485331</v>
          </cell>
          <cell r="AC117">
            <v>3.3279916068379585</v>
          </cell>
          <cell r="AD117">
            <v>0</v>
          </cell>
          <cell r="AE117">
            <v>485331</v>
          </cell>
          <cell r="AF117">
            <v>981164</v>
          </cell>
          <cell r="AG117">
            <v>0</v>
          </cell>
          <cell r="AH117">
            <v>0</v>
          </cell>
          <cell r="AI117">
            <v>0</v>
          </cell>
          <cell r="AJ117">
            <v>981164</v>
          </cell>
          <cell r="AK117">
            <v>0</v>
          </cell>
          <cell r="AL117">
            <v>0</v>
          </cell>
          <cell r="AM117">
            <v>0</v>
          </cell>
          <cell r="AN117">
            <v>0</v>
          </cell>
          <cell r="AO117">
            <v>0</v>
          </cell>
          <cell r="AP117">
            <v>0</v>
          </cell>
          <cell r="AQ117">
            <v>0</v>
          </cell>
          <cell r="AR117">
            <v>0</v>
          </cell>
          <cell r="AS117">
            <v>0</v>
          </cell>
          <cell r="AT117">
            <v>0</v>
          </cell>
          <cell r="AU117">
            <v>40908</v>
          </cell>
          <cell r="AV117">
            <v>0</v>
          </cell>
          <cell r="AW117">
            <v>2.13</v>
          </cell>
          <cell r="AX117">
            <v>0</v>
          </cell>
          <cell r="AY117">
            <v>0</v>
          </cell>
          <cell r="AZ117">
            <v>0</v>
          </cell>
          <cell r="BA117">
            <v>0</v>
          </cell>
          <cell r="BB117">
            <v>40908</v>
          </cell>
          <cell r="BC117">
            <v>152648.40484864864</v>
          </cell>
          <cell r="BD117">
            <v>3.1794043343014762</v>
          </cell>
          <cell r="BE117">
            <v>0</v>
          </cell>
          <cell r="BF117">
            <v>0</v>
          </cell>
          <cell r="BG117">
            <v>0</v>
          </cell>
          <cell r="BH117">
            <v>0</v>
          </cell>
          <cell r="BI117">
            <v>0</v>
          </cell>
          <cell r="BJ117">
            <v>0</v>
          </cell>
        </row>
        <row r="118">
          <cell r="A118" t="str">
            <v>tsx:IIP.UN_CEO_Target</v>
          </cell>
          <cell r="B118" t="str">
            <v>tsx:IIP.UN</v>
          </cell>
          <cell r="C118" t="str">
            <v>InterRent Real Estate Investment Trust</v>
          </cell>
          <cell r="D118" t="str">
            <v>Target</v>
          </cell>
          <cell r="E118">
            <v>12</v>
          </cell>
          <cell r="F118" t="str">
            <v>CAD</v>
          </cell>
          <cell r="G118">
            <v>1</v>
          </cell>
          <cell r="H118" t="str">
            <v>Mike McGahan</v>
          </cell>
          <cell r="I118" t="str">
            <v>CEO</v>
          </cell>
          <cell r="J118" t="str">
            <v>CEO</v>
          </cell>
          <cell r="K118">
            <v>335.56056000000001</v>
          </cell>
          <cell r="L118">
            <v>722.62055999999995</v>
          </cell>
          <cell r="M118">
            <v>0</v>
          </cell>
          <cell r="N118">
            <v>0</v>
          </cell>
          <cell r="O118">
            <v>0</v>
          </cell>
          <cell r="P118">
            <v>1000000</v>
          </cell>
          <cell r="Q118">
            <v>1000000</v>
          </cell>
          <cell r="R118" t="str">
            <v>-</v>
          </cell>
          <cell r="S118">
            <v>1</v>
          </cell>
          <cell r="T118">
            <v>1000000</v>
          </cell>
          <cell r="U118">
            <v>1000000</v>
          </cell>
          <cell r="V118">
            <v>1000000</v>
          </cell>
          <cell r="W118" t="str">
            <v>input</v>
          </cell>
          <cell r="X118" t="str">
            <v>input</v>
          </cell>
          <cell r="Y118">
            <v>117746.66666666667</v>
          </cell>
          <cell r="Z118">
            <v>633333.33333333337</v>
          </cell>
          <cell r="AA118" t="str">
            <v>input</v>
          </cell>
          <cell r="AB118">
            <v>1217909</v>
          </cell>
          <cell r="AC118">
            <v>3.2354243748475504</v>
          </cell>
          <cell r="AD118" t="str">
            <v>-</v>
          </cell>
          <cell r="AE118">
            <v>0</v>
          </cell>
          <cell r="AF118">
            <v>2217909</v>
          </cell>
          <cell r="AG118">
            <v>2217909</v>
          </cell>
          <cell r="AH118">
            <v>0</v>
          </cell>
          <cell r="AI118">
            <v>0</v>
          </cell>
          <cell r="AJ118">
            <v>2217909</v>
          </cell>
          <cell r="AK118" t="str">
            <v>**</v>
          </cell>
          <cell r="AL118" t="str">
            <v>**</v>
          </cell>
          <cell r="AM118" t="str">
            <v>McGahan (InterRent REIT, tsx:IPP.UN) as of 2013 elected to forego base salary and instead be compensated solely in bonus and Units. The Trust matches any DSU awards granted to McGahan. Matched DSUs have been recorded in the LTIP section. Target compensation based on actual compensation received in 2013.</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row>
        <row r="119">
          <cell r="A119" t="str">
            <v>tsx:IIP.UN_CEO_Target</v>
          </cell>
          <cell r="B119" t="str">
            <v>tsx:IIP.UN</v>
          </cell>
          <cell r="C119" t="str">
            <v>InterRent Real Estate Investment Trust</v>
          </cell>
          <cell r="D119" t="str">
            <v>Target</v>
          </cell>
          <cell r="E119">
            <v>12</v>
          </cell>
          <cell r="F119" t="str">
            <v>CAD</v>
          </cell>
          <cell r="G119">
            <v>1</v>
          </cell>
          <cell r="H119" t="str">
            <v>Mike McGahan</v>
          </cell>
          <cell r="I119" t="str">
            <v>CEO</v>
          </cell>
          <cell r="J119" t="str">
            <v>CEO</v>
          </cell>
          <cell r="K119">
            <v>335.56056000000001</v>
          </cell>
          <cell r="L119">
            <v>722.62055999999995</v>
          </cell>
          <cell r="M119">
            <v>0</v>
          </cell>
          <cell r="N119">
            <v>0</v>
          </cell>
          <cell r="O119">
            <v>0</v>
          </cell>
          <cell r="P119">
            <v>1000000</v>
          </cell>
          <cell r="Q119">
            <v>1000000</v>
          </cell>
          <cell r="R119" t="str">
            <v>-</v>
          </cell>
          <cell r="S119">
            <v>1</v>
          </cell>
          <cell r="T119">
            <v>1000000</v>
          </cell>
          <cell r="U119">
            <v>1000000</v>
          </cell>
          <cell r="V119">
            <v>1000000</v>
          </cell>
          <cell r="W119" t="str">
            <v>input</v>
          </cell>
          <cell r="X119" t="str">
            <v>input</v>
          </cell>
          <cell r="Y119">
            <v>117746.66666666667</v>
          </cell>
          <cell r="Z119">
            <v>633333.33333333337</v>
          </cell>
          <cell r="AA119" t="str">
            <v>input</v>
          </cell>
          <cell r="AB119">
            <v>1217909</v>
          </cell>
          <cell r="AC119">
            <v>3.2354243748475504</v>
          </cell>
          <cell r="AD119" t="str">
            <v>-</v>
          </cell>
          <cell r="AE119">
            <v>0</v>
          </cell>
          <cell r="AF119">
            <v>2217909</v>
          </cell>
          <cell r="AG119">
            <v>2217909</v>
          </cell>
          <cell r="AH119">
            <v>0</v>
          </cell>
          <cell r="AI119">
            <v>0</v>
          </cell>
          <cell r="AJ119">
            <v>2217909</v>
          </cell>
          <cell r="AK119">
            <v>0</v>
          </cell>
          <cell r="AL119">
            <v>0</v>
          </cell>
          <cell r="AM119" t="str">
            <v>McGahan (InterRent REIT, tsx:IPP.UN) as of 2013 elected to forego base salary and instead be compensated solely in bonus and Units. The Trust matches any DSU awards granted to McGahan. Matched DSUs have been recorded in the LTIP section. Target compensation based on actual compensation received in 2013.</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row>
        <row r="120">
          <cell r="A120" t="str">
            <v>tsx:IIP.UN__2013</v>
          </cell>
          <cell r="B120" t="str">
            <v>tsx:IIP.UN</v>
          </cell>
          <cell r="C120" t="str">
            <v>InterRent Real Estate Investment Trust</v>
          </cell>
          <cell r="D120">
            <v>2013</v>
          </cell>
          <cell r="E120">
            <v>12</v>
          </cell>
          <cell r="F120" t="str">
            <v>CAD</v>
          </cell>
          <cell r="G120">
            <v>1</v>
          </cell>
          <cell r="H120" t="str">
            <v>Curt Millar</v>
          </cell>
          <cell r="I120" t="str">
            <v>CFO</v>
          </cell>
          <cell r="J120">
            <v>0</v>
          </cell>
          <cell r="K120">
            <v>335.56056000000001</v>
          </cell>
          <cell r="L120">
            <v>722.62055999999995</v>
          </cell>
          <cell r="M120">
            <v>200000</v>
          </cell>
          <cell r="N120">
            <v>200000</v>
          </cell>
          <cell r="O120">
            <v>200000</v>
          </cell>
          <cell r="P120">
            <v>100000</v>
          </cell>
          <cell r="Q120">
            <v>100000</v>
          </cell>
          <cell r="R120">
            <v>0.5</v>
          </cell>
          <cell r="S120">
            <v>0</v>
          </cell>
          <cell r="T120">
            <v>0</v>
          </cell>
          <cell r="U120">
            <v>300000</v>
          </cell>
          <cell r="V120">
            <v>200000</v>
          </cell>
          <cell r="W120">
            <v>0</v>
          </cell>
          <cell r="X120">
            <v>0</v>
          </cell>
          <cell r="Y120">
            <v>87164</v>
          </cell>
          <cell r="Z120">
            <v>100000</v>
          </cell>
          <cell r="AA120">
            <v>0</v>
          </cell>
          <cell r="AB120">
            <v>187164</v>
          </cell>
          <cell r="AC120">
            <v>0.93581999999999999</v>
          </cell>
          <cell r="AD120">
            <v>0.74852507936507928</v>
          </cell>
          <cell r="AE120">
            <v>187164</v>
          </cell>
          <cell r="AF120">
            <v>487164</v>
          </cell>
          <cell r="AG120">
            <v>0</v>
          </cell>
          <cell r="AH120">
            <v>0</v>
          </cell>
          <cell r="AI120">
            <v>0</v>
          </cell>
          <cell r="AJ120">
            <v>487164</v>
          </cell>
          <cell r="AK120" t="str">
            <v>***</v>
          </cell>
          <cell r="AL120" t="str">
            <v>***</v>
          </cell>
          <cell r="AM120" t="str">
            <v xml:space="preserve">Miller (InterRent tsx:IIP.UN) elected to defer his bonus into DSUs, which was matched by the Trust. Matched DSUs have been recorded in the LTIP section. </v>
          </cell>
          <cell r="AO120">
            <v>0</v>
          </cell>
          <cell r="AP120">
            <v>0</v>
          </cell>
          <cell r="AR120">
            <v>0</v>
          </cell>
          <cell r="AS120">
            <v>0</v>
          </cell>
          <cell r="AT120">
            <v>0</v>
          </cell>
          <cell r="AU120">
            <v>41639</v>
          </cell>
          <cell r="AV120">
            <v>50092.012522361358</v>
          </cell>
          <cell r="AW120">
            <v>5.65</v>
          </cell>
          <cell r="AX120">
            <v>0</v>
          </cell>
          <cell r="AY120">
            <v>0</v>
          </cell>
          <cell r="AZ120">
            <v>0</v>
          </cell>
          <cell r="BA120">
            <v>0</v>
          </cell>
          <cell r="BB120">
            <v>41639</v>
          </cell>
          <cell r="BC120">
            <v>18694.134315670162</v>
          </cell>
          <cell r="BD120">
            <v>5.3492715047080868</v>
          </cell>
          <cell r="BE120">
            <v>0</v>
          </cell>
          <cell r="BF120">
            <v>0</v>
          </cell>
          <cell r="BG120">
            <v>0</v>
          </cell>
          <cell r="BH120">
            <v>0</v>
          </cell>
          <cell r="BI120">
            <v>0</v>
          </cell>
          <cell r="BJ120">
            <v>0</v>
          </cell>
        </row>
        <row r="121">
          <cell r="A121" t="str">
            <v>tsx:IIP.UN__2012</v>
          </cell>
          <cell r="B121" t="str">
            <v>tsx:IIP.UN</v>
          </cell>
          <cell r="C121" t="str">
            <v>InterRent Real Estate Investment Trust</v>
          </cell>
          <cell r="D121">
            <v>2012</v>
          </cell>
          <cell r="E121">
            <v>12</v>
          </cell>
          <cell r="F121" t="str">
            <v>CAD</v>
          </cell>
          <cell r="G121">
            <v>1</v>
          </cell>
          <cell r="H121" t="str">
            <v>Curt Millar</v>
          </cell>
          <cell r="I121" t="str">
            <v>CFO</v>
          </cell>
          <cell r="J121">
            <v>0</v>
          </cell>
          <cell r="K121">
            <v>335.56056000000001</v>
          </cell>
          <cell r="L121">
            <v>722.62055999999995</v>
          </cell>
          <cell r="M121">
            <v>175000</v>
          </cell>
          <cell r="N121">
            <v>175000</v>
          </cell>
          <cell r="O121">
            <v>0</v>
          </cell>
          <cell r="P121">
            <v>100000</v>
          </cell>
          <cell r="Q121">
            <v>100000</v>
          </cell>
          <cell r="R121">
            <v>0.5714285714285714</v>
          </cell>
          <cell r="S121">
            <v>0</v>
          </cell>
          <cell r="T121">
            <v>0</v>
          </cell>
          <cell r="U121">
            <v>0</v>
          </cell>
          <cell r="V121">
            <v>0</v>
          </cell>
          <cell r="W121">
            <v>0</v>
          </cell>
          <cell r="X121">
            <v>0</v>
          </cell>
          <cell r="Y121">
            <v>0</v>
          </cell>
          <cell r="Z121">
            <v>100000</v>
          </cell>
          <cell r="AA121">
            <v>0</v>
          </cell>
          <cell r="AB121">
            <v>100000</v>
          </cell>
          <cell r="AC121">
            <v>0.5714285714285714</v>
          </cell>
          <cell r="AD121">
            <v>0</v>
          </cell>
          <cell r="AE121">
            <v>100000</v>
          </cell>
          <cell r="AF121">
            <v>375000</v>
          </cell>
          <cell r="AG121">
            <v>0</v>
          </cell>
          <cell r="AH121">
            <v>0</v>
          </cell>
          <cell r="AI121">
            <v>0</v>
          </cell>
          <cell r="AJ121">
            <v>375000</v>
          </cell>
          <cell r="AK121">
            <v>0</v>
          </cell>
          <cell r="AL121">
            <v>0</v>
          </cell>
          <cell r="AM121">
            <v>0</v>
          </cell>
          <cell r="AN121">
            <v>0</v>
          </cell>
          <cell r="AO121">
            <v>0</v>
          </cell>
          <cell r="AP121">
            <v>0</v>
          </cell>
          <cell r="AQ121">
            <v>0</v>
          </cell>
          <cell r="AR121">
            <v>0</v>
          </cell>
          <cell r="AS121">
            <v>0</v>
          </cell>
          <cell r="AT121">
            <v>0</v>
          </cell>
          <cell r="AU121">
            <v>41274</v>
          </cell>
          <cell r="AV121">
            <v>0</v>
          </cell>
          <cell r="AW121">
            <v>5.5</v>
          </cell>
          <cell r="AX121">
            <v>0</v>
          </cell>
          <cell r="AY121">
            <v>0</v>
          </cell>
          <cell r="AZ121">
            <v>0</v>
          </cell>
          <cell r="BA121">
            <v>0</v>
          </cell>
          <cell r="BB121">
            <v>41274</v>
          </cell>
          <cell r="BC121">
            <v>19117.99132947977</v>
          </cell>
          <cell r="BD121">
            <v>5.2306750367545627</v>
          </cell>
          <cell r="BE121">
            <v>0</v>
          </cell>
          <cell r="BF121">
            <v>0</v>
          </cell>
          <cell r="BG121">
            <v>0</v>
          </cell>
          <cell r="BH121">
            <v>0</v>
          </cell>
          <cell r="BI121">
            <v>0</v>
          </cell>
          <cell r="BJ121">
            <v>0</v>
          </cell>
        </row>
        <row r="122">
          <cell r="A122" t="str">
            <v>tsx:IIP.UN__2011</v>
          </cell>
          <cell r="B122" t="str">
            <v>tsx:IIP.UN</v>
          </cell>
          <cell r="C122" t="str">
            <v>InterRent Real Estate Investment Trust</v>
          </cell>
          <cell r="D122">
            <v>2011</v>
          </cell>
          <cell r="E122">
            <v>12</v>
          </cell>
          <cell r="F122" t="str">
            <v>CAD</v>
          </cell>
          <cell r="G122">
            <v>1</v>
          </cell>
          <cell r="H122" t="str">
            <v>Curt Millar</v>
          </cell>
          <cell r="I122" t="str">
            <v>CFO</v>
          </cell>
          <cell r="J122">
            <v>0</v>
          </cell>
          <cell r="K122">
            <v>335.56056000000001</v>
          </cell>
          <cell r="L122">
            <v>722.62055999999995</v>
          </cell>
          <cell r="M122">
            <v>150000</v>
          </cell>
          <cell r="N122">
            <v>150000</v>
          </cell>
          <cell r="O122">
            <v>0</v>
          </cell>
          <cell r="P122">
            <v>60000</v>
          </cell>
          <cell r="Q122">
            <v>60000</v>
          </cell>
          <cell r="R122">
            <v>0.4</v>
          </cell>
          <cell r="S122">
            <v>0</v>
          </cell>
          <cell r="T122">
            <v>0</v>
          </cell>
          <cell r="U122">
            <v>0</v>
          </cell>
          <cell r="V122">
            <v>0</v>
          </cell>
          <cell r="W122">
            <v>0</v>
          </cell>
          <cell r="X122">
            <v>0</v>
          </cell>
          <cell r="Y122">
            <v>50749</v>
          </cell>
          <cell r="Z122">
            <v>60000</v>
          </cell>
          <cell r="AA122">
            <v>0</v>
          </cell>
          <cell r="AB122">
            <v>110749</v>
          </cell>
          <cell r="AC122">
            <v>0.73832666666666669</v>
          </cell>
          <cell r="AD122">
            <v>0</v>
          </cell>
          <cell r="AE122">
            <v>110749</v>
          </cell>
          <cell r="AF122">
            <v>320749</v>
          </cell>
          <cell r="AG122">
            <v>0</v>
          </cell>
          <cell r="AH122">
            <v>0</v>
          </cell>
          <cell r="AI122">
            <v>0</v>
          </cell>
          <cell r="AJ122">
            <v>320749</v>
          </cell>
          <cell r="AK122">
            <v>0</v>
          </cell>
          <cell r="AL122">
            <v>0</v>
          </cell>
          <cell r="AM122">
            <v>0</v>
          </cell>
          <cell r="AN122">
            <v>0</v>
          </cell>
          <cell r="AO122">
            <v>0</v>
          </cell>
          <cell r="AP122">
            <v>0</v>
          </cell>
          <cell r="AQ122">
            <v>0</v>
          </cell>
          <cell r="AR122">
            <v>0</v>
          </cell>
          <cell r="AS122">
            <v>0</v>
          </cell>
          <cell r="AT122">
            <v>0</v>
          </cell>
          <cell r="AU122">
            <v>0</v>
          </cell>
          <cell r="AV122">
            <v>0</v>
          </cell>
          <cell r="AW122">
            <v>2.13</v>
          </cell>
          <cell r="AX122">
            <v>0</v>
          </cell>
          <cell r="AY122">
            <v>0</v>
          </cell>
          <cell r="AZ122">
            <v>0</v>
          </cell>
          <cell r="BA122">
            <v>0</v>
          </cell>
          <cell r="BB122">
            <v>40908</v>
          </cell>
          <cell r="BC122">
            <v>34833.254394594594</v>
          </cell>
          <cell r="BD122">
            <v>3.1794043343014762</v>
          </cell>
          <cell r="BE122">
            <v>0</v>
          </cell>
          <cell r="BF122">
            <v>0</v>
          </cell>
          <cell r="BG122">
            <v>0</v>
          </cell>
          <cell r="BH122">
            <v>0</v>
          </cell>
          <cell r="BI122">
            <v>0</v>
          </cell>
          <cell r="BJ122">
            <v>0</v>
          </cell>
        </row>
        <row r="123">
          <cell r="A123" t="str">
            <v>tsx:IIP.UN_CFO_Target</v>
          </cell>
          <cell r="B123" t="str">
            <v>tsx:IIP.UN</v>
          </cell>
          <cell r="C123" t="str">
            <v>InterRent Real Estate Investment Trust</v>
          </cell>
          <cell r="D123" t="str">
            <v>Target</v>
          </cell>
          <cell r="E123">
            <v>12</v>
          </cell>
          <cell r="F123" t="str">
            <v>CAD</v>
          </cell>
          <cell r="G123">
            <v>1</v>
          </cell>
          <cell r="H123" t="str">
            <v>Curt Millar</v>
          </cell>
          <cell r="I123" t="str">
            <v>CFO</v>
          </cell>
          <cell r="J123" t="str">
            <v>CFO</v>
          </cell>
          <cell r="K123">
            <v>335.56056000000001</v>
          </cell>
          <cell r="L123">
            <v>722.62055999999995</v>
          </cell>
          <cell r="M123">
            <v>200000</v>
          </cell>
          <cell r="N123">
            <v>200000</v>
          </cell>
          <cell r="O123">
            <v>200000</v>
          </cell>
          <cell r="P123">
            <v>100000</v>
          </cell>
          <cell r="Q123">
            <v>100000</v>
          </cell>
          <cell r="R123">
            <v>0.5</v>
          </cell>
          <cell r="S123">
            <v>0.49047619047619051</v>
          </cell>
          <cell r="T123">
            <v>98095.238095238106</v>
          </cell>
          <cell r="U123">
            <v>300000</v>
          </cell>
          <cell r="V123">
            <v>298095.23809523811</v>
          </cell>
          <cell r="W123" t="str">
            <v>input</v>
          </cell>
          <cell r="X123" t="str">
            <v>input</v>
          </cell>
          <cell r="Y123">
            <v>45971</v>
          </cell>
          <cell r="Z123">
            <v>86666.666666666672</v>
          </cell>
          <cell r="AA123" t="str">
            <v>input</v>
          </cell>
          <cell r="AB123">
            <v>187164</v>
          </cell>
          <cell r="AC123">
            <v>0.74852507936507928</v>
          </cell>
          <cell r="AD123">
            <v>0.74852507936507928</v>
          </cell>
          <cell r="AE123">
            <v>149705.01587301586</v>
          </cell>
          <cell r="AF123">
            <v>487164</v>
          </cell>
          <cell r="AG123">
            <v>447800.25396825396</v>
          </cell>
          <cell r="AH123">
            <v>0</v>
          </cell>
          <cell r="AI123">
            <v>0</v>
          </cell>
          <cell r="AJ123">
            <v>487164</v>
          </cell>
          <cell r="AK123" t="str">
            <v>***</v>
          </cell>
          <cell r="AL123" t="str">
            <v>***</v>
          </cell>
          <cell r="AM123" t="str">
            <v xml:space="preserve">Miller (InterRent tsx:IIP.UN) elected to defer his bonus into DSUs, which was matched by the Trust. Matched DSUs have been recorded in the LTIP section. </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row>
        <row r="124">
          <cell r="A124" t="str">
            <v>tsx:IIP.UN_CFO_Target</v>
          </cell>
          <cell r="B124" t="str">
            <v>tsx:IIP.UN</v>
          </cell>
          <cell r="C124" t="str">
            <v>InterRent Real Estate Investment Trust</v>
          </cell>
          <cell r="D124" t="str">
            <v>Target</v>
          </cell>
          <cell r="E124">
            <v>12</v>
          </cell>
          <cell r="F124" t="str">
            <v>CAD</v>
          </cell>
          <cell r="G124">
            <v>1</v>
          </cell>
          <cell r="H124" t="str">
            <v>Curt Millar</v>
          </cell>
          <cell r="I124" t="str">
            <v>CFO</v>
          </cell>
          <cell r="J124" t="str">
            <v>CFO</v>
          </cell>
          <cell r="K124">
            <v>335.56056000000001</v>
          </cell>
          <cell r="L124">
            <v>722.62055999999995</v>
          </cell>
          <cell r="M124">
            <v>200000</v>
          </cell>
          <cell r="N124">
            <v>200000</v>
          </cell>
          <cell r="O124">
            <v>200000</v>
          </cell>
          <cell r="P124">
            <v>100000</v>
          </cell>
          <cell r="Q124">
            <v>100000</v>
          </cell>
          <cell r="R124">
            <v>0.5</v>
          </cell>
          <cell r="S124">
            <v>0.49047619047619051</v>
          </cell>
          <cell r="T124">
            <v>98095.238095238106</v>
          </cell>
          <cell r="U124">
            <v>300000</v>
          </cell>
          <cell r="V124">
            <v>298095.23809523811</v>
          </cell>
          <cell r="W124" t="str">
            <v>input</v>
          </cell>
          <cell r="X124" t="str">
            <v>input</v>
          </cell>
          <cell r="Y124">
            <v>45971</v>
          </cell>
          <cell r="Z124">
            <v>86666.666666666672</v>
          </cell>
          <cell r="AA124" t="str">
            <v>input</v>
          </cell>
          <cell r="AB124">
            <v>187164</v>
          </cell>
          <cell r="AC124">
            <v>0.74852507936507928</v>
          </cell>
          <cell r="AD124">
            <v>0.74852507936507928</v>
          </cell>
          <cell r="AE124">
            <v>149705.01587301586</v>
          </cell>
          <cell r="AF124">
            <v>487164</v>
          </cell>
          <cell r="AG124">
            <v>447800.25396825396</v>
          </cell>
          <cell r="AH124">
            <v>0</v>
          </cell>
          <cell r="AI124">
            <v>0</v>
          </cell>
          <cell r="AJ124">
            <v>487164</v>
          </cell>
          <cell r="AK124">
            <v>0</v>
          </cell>
          <cell r="AL124">
            <v>0</v>
          </cell>
          <cell r="AM124" t="str">
            <v xml:space="preserve">Miller (InterRent tsx:IIP.UN) elected to defer his bonus into DSUs, which was matched by the Trust. Matched DSUs have been recorded in the LTIP section. </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row>
        <row r="125">
          <cell r="A125" t="str">
            <v>tsx:ACR.UN__2013</v>
          </cell>
          <cell r="B125" t="str">
            <v>tsx:ACR.UN</v>
          </cell>
          <cell r="C125" t="str">
            <v>Agellan Commercial Real Estate Investment Trust</v>
          </cell>
          <cell r="D125">
            <v>2013</v>
          </cell>
          <cell r="E125">
            <v>11</v>
          </cell>
          <cell r="F125" t="str">
            <v>CAD</v>
          </cell>
          <cell r="G125">
            <v>1</v>
          </cell>
          <cell r="H125" t="str">
            <v>Frank Camenzuli</v>
          </cell>
          <cell r="I125" t="str">
            <v>CEO</v>
          </cell>
          <cell r="J125">
            <v>0</v>
          </cell>
          <cell r="K125">
            <v>216.89195000000001</v>
          </cell>
          <cell r="L125">
            <v>521.73995000000002</v>
          </cell>
          <cell r="M125">
            <v>183333</v>
          </cell>
          <cell r="N125">
            <v>199999.63636363635</v>
          </cell>
          <cell r="O125">
            <v>199999.63636363635</v>
          </cell>
          <cell r="P125">
            <v>0</v>
          </cell>
          <cell r="Q125">
            <v>0</v>
          </cell>
          <cell r="R125">
            <v>0</v>
          </cell>
          <cell r="S125">
            <v>0</v>
          </cell>
          <cell r="T125">
            <v>0</v>
          </cell>
          <cell r="U125">
            <v>199999.63636363635</v>
          </cell>
          <cell r="V125">
            <v>199999.63636363635</v>
          </cell>
          <cell r="W125">
            <v>0</v>
          </cell>
          <cell r="X125">
            <v>0</v>
          </cell>
          <cell r="Y125">
            <v>0</v>
          </cell>
          <cell r="Z125">
            <v>0</v>
          </cell>
          <cell r="AA125">
            <v>0</v>
          </cell>
          <cell r="AB125">
            <v>0</v>
          </cell>
          <cell r="AC125">
            <v>0</v>
          </cell>
          <cell r="AD125">
            <v>0</v>
          </cell>
          <cell r="AE125">
            <v>0</v>
          </cell>
          <cell r="AF125">
            <v>199999.63636363635</v>
          </cell>
          <cell r="AG125">
            <v>0</v>
          </cell>
          <cell r="AH125">
            <v>0</v>
          </cell>
          <cell r="AI125">
            <v>0</v>
          </cell>
          <cell r="AJ125">
            <v>199999.63636363635</v>
          </cell>
          <cell r="AK125" t="str">
            <v>targets disclosed</v>
          </cell>
          <cell r="AL125" t="str">
            <v>targets disclosed</v>
          </cell>
          <cell r="AM125" t="str">
            <v>External Property Management, remove?</v>
          </cell>
          <cell r="AO125">
            <v>0</v>
          </cell>
          <cell r="AP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row>
        <row r="126">
          <cell r="A126" t="str">
            <v>tsx:ACR.UN__2012</v>
          </cell>
          <cell r="B126" t="str">
            <v>tsx:ACR.UN</v>
          </cell>
          <cell r="C126" t="str">
            <v>Agellan Commercial Real Estate Investment Trust</v>
          </cell>
          <cell r="D126">
            <v>2012</v>
          </cell>
          <cell r="E126">
            <v>12</v>
          </cell>
          <cell r="F126" t="str">
            <v>CAD</v>
          </cell>
          <cell r="G126">
            <v>1</v>
          </cell>
          <cell r="H126" t="str">
            <v>Frank Camenzuli</v>
          </cell>
          <cell r="I126" t="str">
            <v>CEO</v>
          </cell>
          <cell r="J126">
            <v>0</v>
          </cell>
          <cell r="K126">
            <v>216.89195000000001</v>
          </cell>
          <cell r="L126">
            <v>521.73995000000002</v>
          </cell>
          <cell r="M126">
            <v>0</v>
          </cell>
          <cell r="N126">
            <v>0</v>
          </cell>
          <cell r="O126">
            <v>0</v>
          </cell>
          <cell r="P126">
            <v>0</v>
          </cell>
          <cell r="Q126">
            <v>0</v>
          </cell>
          <cell r="R126" t="str">
            <v>input</v>
          </cell>
          <cell r="S126">
            <v>0</v>
          </cell>
          <cell r="T126">
            <v>0</v>
          </cell>
          <cell r="U126">
            <v>0</v>
          </cell>
          <cell r="V126">
            <v>0</v>
          </cell>
          <cell r="W126">
            <v>0</v>
          </cell>
          <cell r="X126">
            <v>0</v>
          </cell>
          <cell r="Y126">
            <v>0</v>
          </cell>
          <cell r="Z126">
            <v>0</v>
          </cell>
          <cell r="AA126">
            <v>0</v>
          </cell>
          <cell r="AB126">
            <v>0</v>
          </cell>
          <cell r="AC126" t="str">
            <v>input</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row>
        <row r="127">
          <cell r="A127" t="str">
            <v>tsx:ACR.UN__2011</v>
          </cell>
          <cell r="B127" t="str">
            <v>tsx:ACR.UN</v>
          </cell>
          <cell r="C127" t="str">
            <v>Agellan Commercial Real Estate Investment Trust</v>
          </cell>
          <cell r="D127">
            <v>2011</v>
          </cell>
          <cell r="E127">
            <v>12</v>
          </cell>
          <cell r="F127" t="str">
            <v>CAD</v>
          </cell>
          <cell r="G127">
            <v>1</v>
          </cell>
          <cell r="H127" t="str">
            <v>Frank Camenzuli</v>
          </cell>
          <cell r="I127" t="str">
            <v>CEO</v>
          </cell>
          <cell r="J127">
            <v>0</v>
          </cell>
          <cell r="K127">
            <v>216.89195000000001</v>
          </cell>
          <cell r="L127">
            <v>521.73995000000002</v>
          </cell>
          <cell r="M127">
            <v>0</v>
          </cell>
          <cell r="N127">
            <v>0</v>
          </cell>
          <cell r="O127">
            <v>0</v>
          </cell>
          <cell r="P127">
            <v>0</v>
          </cell>
          <cell r="Q127">
            <v>0</v>
          </cell>
          <cell r="R127" t="str">
            <v>input</v>
          </cell>
          <cell r="S127">
            <v>0</v>
          </cell>
          <cell r="T127">
            <v>0</v>
          </cell>
          <cell r="U127">
            <v>0</v>
          </cell>
          <cell r="V127">
            <v>0</v>
          </cell>
          <cell r="W127">
            <v>0</v>
          </cell>
          <cell r="X127">
            <v>0</v>
          </cell>
          <cell r="Y127">
            <v>0</v>
          </cell>
          <cell r="Z127">
            <v>0</v>
          </cell>
          <cell r="AA127">
            <v>0</v>
          </cell>
          <cell r="AB127">
            <v>0</v>
          </cell>
          <cell r="AC127" t="str">
            <v>input</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row>
        <row r="128">
          <cell r="A128" t="str">
            <v>tsx:ACR.UN_CEO_Target</v>
          </cell>
          <cell r="B128" t="str">
            <v>tsx:ACR.UN</v>
          </cell>
          <cell r="C128" t="str">
            <v>Agellan Commercial Real Estate Investment Trust</v>
          </cell>
          <cell r="D128" t="str">
            <v>Target</v>
          </cell>
          <cell r="E128">
            <v>11</v>
          </cell>
          <cell r="F128" t="str">
            <v>CAD</v>
          </cell>
          <cell r="G128">
            <v>1</v>
          </cell>
          <cell r="H128" t="str">
            <v>Frank Camenzuli</v>
          </cell>
          <cell r="I128" t="str">
            <v>CEO</v>
          </cell>
          <cell r="J128" t="str">
            <v>CEO</v>
          </cell>
          <cell r="K128">
            <v>216.89195000000001</v>
          </cell>
          <cell r="L128">
            <v>521.73995000000002</v>
          </cell>
          <cell r="M128">
            <v>183333</v>
          </cell>
          <cell r="N128">
            <v>199999.63636363635</v>
          </cell>
          <cell r="O128">
            <v>199999.63636363635</v>
          </cell>
          <cell r="P128">
            <v>0</v>
          </cell>
          <cell r="Q128">
            <v>0</v>
          </cell>
          <cell r="R128">
            <v>0</v>
          </cell>
          <cell r="S128">
            <v>0</v>
          </cell>
          <cell r="T128">
            <v>0</v>
          </cell>
          <cell r="U128">
            <v>199999.63636363635</v>
          </cell>
          <cell r="V128">
            <v>199999.63636363635</v>
          </cell>
          <cell r="W128" t="str">
            <v>input</v>
          </cell>
          <cell r="X128" t="str">
            <v>input</v>
          </cell>
          <cell r="Y128" t="str">
            <v>input</v>
          </cell>
          <cell r="Z128" t="str">
            <v>input</v>
          </cell>
          <cell r="AA128" t="str">
            <v>input</v>
          </cell>
          <cell r="AB128">
            <v>0</v>
          </cell>
          <cell r="AC128">
            <v>0</v>
          </cell>
          <cell r="AD128">
            <v>0</v>
          </cell>
          <cell r="AE128">
            <v>0</v>
          </cell>
          <cell r="AF128">
            <v>199999.63636363635</v>
          </cell>
          <cell r="AG128">
            <v>199999.63636363635</v>
          </cell>
          <cell r="AH128">
            <v>0</v>
          </cell>
          <cell r="AI128">
            <v>0</v>
          </cell>
          <cell r="AJ128">
            <v>199999.63636363635</v>
          </cell>
          <cell r="AK128" t="str">
            <v>targets disclosed</v>
          </cell>
          <cell r="AL128" t="str">
            <v>targets disclosed</v>
          </cell>
          <cell r="AM128" t="str">
            <v>External Property Management, remove?</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row>
        <row r="129">
          <cell r="A129" t="str">
            <v>tsx:ACR.UN_CEO_Target</v>
          </cell>
          <cell r="B129" t="str">
            <v>tsx:ACR.UN</v>
          </cell>
          <cell r="C129" t="str">
            <v>Agellan Commercial Real Estate Investment Trust</v>
          </cell>
          <cell r="D129" t="str">
            <v>Target</v>
          </cell>
          <cell r="E129">
            <v>11</v>
          </cell>
          <cell r="F129" t="str">
            <v>CAD</v>
          </cell>
          <cell r="G129">
            <v>1</v>
          </cell>
          <cell r="H129" t="str">
            <v>Frank Camenzuli</v>
          </cell>
          <cell r="I129" t="str">
            <v>CEO</v>
          </cell>
          <cell r="J129" t="str">
            <v>CEO</v>
          </cell>
          <cell r="K129">
            <v>216.89195000000001</v>
          </cell>
          <cell r="L129">
            <v>521.73995000000002</v>
          </cell>
          <cell r="M129">
            <v>183333</v>
          </cell>
          <cell r="N129">
            <v>199999.63636363635</v>
          </cell>
          <cell r="O129">
            <v>199999.63636363635</v>
          </cell>
          <cell r="P129">
            <v>0</v>
          </cell>
          <cell r="Q129">
            <v>0</v>
          </cell>
          <cell r="R129">
            <v>0</v>
          </cell>
          <cell r="S129">
            <v>0</v>
          </cell>
          <cell r="T129">
            <v>0</v>
          </cell>
          <cell r="U129">
            <v>199999.63636363635</v>
          </cell>
          <cell r="V129">
            <v>199999.63636363635</v>
          </cell>
          <cell r="W129" t="str">
            <v>input</v>
          </cell>
          <cell r="X129" t="str">
            <v>input</v>
          </cell>
          <cell r="Y129" t="str">
            <v>input</v>
          </cell>
          <cell r="Z129" t="str">
            <v>input</v>
          </cell>
          <cell r="AA129" t="str">
            <v>input</v>
          </cell>
          <cell r="AB129">
            <v>0</v>
          </cell>
          <cell r="AC129">
            <v>0</v>
          </cell>
          <cell r="AD129">
            <v>0</v>
          </cell>
          <cell r="AE129">
            <v>0</v>
          </cell>
          <cell r="AF129">
            <v>199999.63636363635</v>
          </cell>
          <cell r="AG129">
            <v>199999.63636363635</v>
          </cell>
          <cell r="AH129">
            <v>0</v>
          </cell>
          <cell r="AI129">
            <v>0</v>
          </cell>
          <cell r="AJ129">
            <v>199999.63636363635</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row>
        <row r="130">
          <cell r="A130" t="str">
            <v>tsx:ACR.UN__2013</v>
          </cell>
          <cell r="B130" t="str">
            <v>tsx:ACR.UN</v>
          </cell>
          <cell r="C130" t="str">
            <v>Agellan Commercial Real Estate Investment Trust</v>
          </cell>
          <cell r="D130">
            <v>2013</v>
          </cell>
          <cell r="E130">
            <v>4</v>
          </cell>
          <cell r="F130" t="str">
            <v>CAD</v>
          </cell>
          <cell r="G130">
            <v>1</v>
          </cell>
          <cell r="H130" t="str">
            <v>Daniel Millett</v>
          </cell>
          <cell r="I130" t="str">
            <v>CFO</v>
          </cell>
          <cell r="J130">
            <v>0</v>
          </cell>
          <cell r="K130">
            <v>216.89195000000001</v>
          </cell>
          <cell r="L130">
            <v>521.73995000000002</v>
          </cell>
          <cell r="M130">
            <v>51667</v>
          </cell>
          <cell r="N130">
            <v>155001</v>
          </cell>
          <cell r="O130">
            <v>155001</v>
          </cell>
          <cell r="P130">
            <v>0</v>
          </cell>
          <cell r="Q130">
            <v>0</v>
          </cell>
          <cell r="R130">
            <v>0</v>
          </cell>
          <cell r="S130">
            <v>0</v>
          </cell>
          <cell r="T130">
            <v>0</v>
          </cell>
          <cell r="U130">
            <v>155001</v>
          </cell>
          <cell r="V130">
            <v>155001</v>
          </cell>
          <cell r="W130">
            <v>0</v>
          </cell>
          <cell r="X130">
            <v>0</v>
          </cell>
          <cell r="Y130">
            <v>0</v>
          </cell>
          <cell r="Z130">
            <v>0</v>
          </cell>
          <cell r="AA130">
            <v>0</v>
          </cell>
          <cell r="AB130">
            <v>0</v>
          </cell>
          <cell r="AC130">
            <v>0</v>
          </cell>
          <cell r="AD130">
            <v>0</v>
          </cell>
          <cell r="AE130">
            <v>0</v>
          </cell>
          <cell r="AF130">
            <v>155001</v>
          </cell>
          <cell r="AG130">
            <v>0</v>
          </cell>
          <cell r="AH130">
            <v>0</v>
          </cell>
          <cell r="AI130">
            <v>20230</v>
          </cell>
          <cell r="AJ130">
            <v>175231</v>
          </cell>
          <cell r="AK130" t="str">
            <v>targets disclosed</v>
          </cell>
          <cell r="AL130" t="str">
            <v>targets disclosed</v>
          </cell>
          <cell r="AM130" t="str">
            <v>External Property Management, remove?</v>
          </cell>
          <cell r="AO130">
            <v>0</v>
          </cell>
          <cell r="AP130">
            <v>0</v>
          </cell>
          <cell r="AR130">
            <v>0</v>
          </cell>
          <cell r="AS130">
            <v>0</v>
          </cell>
          <cell r="AT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row>
        <row r="131">
          <cell r="A131" t="str">
            <v>tsx:ACR.UN__2012</v>
          </cell>
          <cell r="B131" t="str">
            <v>tsx:ACR.UN</v>
          </cell>
          <cell r="C131" t="str">
            <v>Agellan Commercial Real Estate Investment Trust</v>
          </cell>
          <cell r="D131">
            <v>2012</v>
          </cell>
          <cell r="E131">
            <v>12</v>
          </cell>
          <cell r="F131" t="str">
            <v>CAD</v>
          </cell>
          <cell r="G131">
            <v>1</v>
          </cell>
          <cell r="H131" t="str">
            <v>Daniel Millett</v>
          </cell>
          <cell r="I131" t="str">
            <v>CFO</v>
          </cell>
          <cell r="J131">
            <v>0</v>
          </cell>
          <cell r="K131">
            <v>216.89195000000001</v>
          </cell>
          <cell r="L131">
            <v>521.73995000000002</v>
          </cell>
          <cell r="M131">
            <v>0</v>
          </cell>
          <cell r="N131">
            <v>0</v>
          </cell>
          <cell r="O131">
            <v>0</v>
          </cell>
          <cell r="P131">
            <v>0</v>
          </cell>
          <cell r="Q131">
            <v>0</v>
          </cell>
          <cell r="R131" t="str">
            <v>input</v>
          </cell>
          <cell r="S131">
            <v>0</v>
          </cell>
          <cell r="T131">
            <v>0</v>
          </cell>
          <cell r="U131">
            <v>0</v>
          </cell>
          <cell r="V131">
            <v>0</v>
          </cell>
          <cell r="W131">
            <v>0</v>
          </cell>
          <cell r="X131">
            <v>0</v>
          </cell>
          <cell r="Y131">
            <v>0</v>
          </cell>
          <cell r="Z131">
            <v>0</v>
          </cell>
          <cell r="AA131">
            <v>0</v>
          </cell>
          <cell r="AB131">
            <v>0</v>
          </cell>
          <cell r="AC131" t="str">
            <v>input</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row>
        <row r="132">
          <cell r="A132" t="str">
            <v>tsx:ACR.UN__2011</v>
          </cell>
          <cell r="B132" t="str">
            <v>tsx:ACR.UN</v>
          </cell>
          <cell r="C132" t="str">
            <v>Agellan Commercial Real Estate Investment Trust</v>
          </cell>
          <cell r="D132">
            <v>2011</v>
          </cell>
          <cell r="E132">
            <v>12</v>
          </cell>
          <cell r="F132" t="str">
            <v>CAD</v>
          </cell>
          <cell r="G132">
            <v>1</v>
          </cell>
          <cell r="H132" t="str">
            <v>Daniel Millett</v>
          </cell>
          <cell r="I132" t="str">
            <v>CFO</v>
          </cell>
          <cell r="J132">
            <v>0</v>
          </cell>
          <cell r="K132">
            <v>216.89195000000001</v>
          </cell>
          <cell r="L132">
            <v>521.73995000000002</v>
          </cell>
          <cell r="M132">
            <v>0</v>
          </cell>
          <cell r="N132">
            <v>0</v>
          </cell>
          <cell r="O132">
            <v>0</v>
          </cell>
          <cell r="P132">
            <v>0</v>
          </cell>
          <cell r="Q132">
            <v>0</v>
          </cell>
          <cell r="R132" t="str">
            <v>input</v>
          </cell>
          <cell r="S132">
            <v>0</v>
          </cell>
          <cell r="T132">
            <v>0</v>
          </cell>
          <cell r="U132">
            <v>0</v>
          </cell>
          <cell r="V132">
            <v>0</v>
          </cell>
          <cell r="W132">
            <v>0</v>
          </cell>
          <cell r="X132">
            <v>0</v>
          </cell>
          <cell r="Y132">
            <v>0</v>
          </cell>
          <cell r="Z132">
            <v>0</v>
          </cell>
          <cell r="AA132">
            <v>0</v>
          </cell>
          <cell r="AB132">
            <v>0</v>
          </cell>
          <cell r="AC132" t="str">
            <v>input</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row>
        <row r="133">
          <cell r="A133" t="str">
            <v>tsx:ACR.UN_CFO_Target</v>
          </cell>
          <cell r="B133" t="str">
            <v>tsx:ACR.UN</v>
          </cell>
          <cell r="C133" t="str">
            <v>Agellan Commercial Real Estate Investment Trust</v>
          </cell>
          <cell r="D133" t="str">
            <v>Target</v>
          </cell>
          <cell r="E133">
            <v>4</v>
          </cell>
          <cell r="F133" t="str">
            <v>CAD</v>
          </cell>
          <cell r="G133">
            <v>1</v>
          </cell>
          <cell r="H133" t="str">
            <v>Daniel Millett</v>
          </cell>
          <cell r="I133" t="str">
            <v>CFO</v>
          </cell>
          <cell r="J133" t="str">
            <v>CFO</v>
          </cell>
          <cell r="K133">
            <v>216.89195000000001</v>
          </cell>
          <cell r="L133">
            <v>521.73995000000002</v>
          </cell>
          <cell r="M133">
            <v>51667</v>
          </cell>
          <cell r="N133">
            <v>155001</v>
          </cell>
          <cell r="O133">
            <v>155001</v>
          </cell>
          <cell r="P133">
            <v>0</v>
          </cell>
          <cell r="Q133">
            <v>0</v>
          </cell>
          <cell r="R133">
            <v>0</v>
          </cell>
          <cell r="S133">
            <v>0</v>
          </cell>
          <cell r="T133">
            <v>0</v>
          </cell>
          <cell r="U133">
            <v>155001</v>
          </cell>
          <cell r="V133">
            <v>155001</v>
          </cell>
          <cell r="W133" t="str">
            <v>input</v>
          </cell>
          <cell r="X133" t="str">
            <v>input</v>
          </cell>
          <cell r="Y133" t="str">
            <v>input</v>
          </cell>
          <cell r="Z133" t="str">
            <v>input</v>
          </cell>
          <cell r="AA133" t="str">
            <v>input</v>
          </cell>
          <cell r="AB133">
            <v>0</v>
          </cell>
          <cell r="AC133">
            <v>0</v>
          </cell>
          <cell r="AD133">
            <v>0</v>
          </cell>
          <cell r="AE133">
            <v>0</v>
          </cell>
          <cell r="AF133">
            <v>155001</v>
          </cell>
          <cell r="AG133">
            <v>155001</v>
          </cell>
          <cell r="AH133">
            <v>0</v>
          </cell>
          <cell r="AI133">
            <v>0</v>
          </cell>
          <cell r="AJ133">
            <v>155001</v>
          </cell>
          <cell r="AK133" t="str">
            <v>targets disclosed</v>
          </cell>
          <cell r="AL133" t="str">
            <v>targets disclosed</v>
          </cell>
          <cell r="AM133" t="str">
            <v>External Property Management, remove?</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row>
        <row r="134">
          <cell r="A134" t="str">
            <v>tsx:ACR.UN_CFO_Target</v>
          </cell>
          <cell r="B134" t="str">
            <v>tsx:ACR.UN</v>
          </cell>
          <cell r="C134" t="str">
            <v>Agellan Commercial Real Estate Investment Trust</v>
          </cell>
          <cell r="D134" t="str">
            <v>Target</v>
          </cell>
          <cell r="E134">
            <v>4</v>
          </cell>
          <cell r="F134" t="str">
            <v>CAD</v>
          </cell>
          <cell r="G134">
            <v>1</v>
          </cell>
          <cell r="H134" t="str">
            <v>Daniel Millett</v>
          </cell>
          <cell r="I134" t="str">
            <v>CFO</v>
          </cell>
          <cell r="J134" t="str">
            <v>CFO</v>
          </cell>
          <cell r="K134">
            <v>216.89195000000001</v>
          </cell>
          <cell r="L134">
            <v>521.73995000000002</v>
          </cell>
          <cell r="M134">
            <v>51667</v>
          </cell>
          <cell r="N134">
            <v>155001</v>
          </cell>
          <cell r="O134">
            <v>155001</v>
          </cell>
          <cell r="P134">
            <v>0</v>
          </cell>
          <cell r="Q134">
            <v>0</v>
          </cell>
          <cell r="R134">
            <v>0</v>
          </cell>
          <cell r="S134">
            <v>0</v>
          </cell>
          <cell r="T134">
            <v>0</v>
          </cell>
          <cell r="U134">
            <v>155001</v>
          </cell>
          <cell r="V134">
            <v>155001</v>
          </cell>
          <cell r="W134" t="str">
            <v>input</v>
          </cell>
          <cell r="X134" t="str">
            <v>input</v>
          </cell>
          <cell r="Y134" t="str">
            <v>input</v>
          </cell>
          <cell r="Z134" t="str">
            <v>input</v>
          </cell>
          <cell r="AA134" t="str">
            <v>input</v>
          </cell>
          <cell r="AB134">
            <v>0</v>
          </cell>
          <cell r="AC134">
            <v>0</v>
          </cell>
          <cell r="AD134">
            <v>0</v>
          </cell>
          <cell r="AE134">
            <v>0</v>
          </cell>
          <cell r="AF134">
            <v>155001</v>
          </cell>
          <cell r="AG134">
            <v>155001</v>
          </cell>
          <cell r="AH134">
            <v>0</v>
          </cell>
          <cell r="AI134">
            <v>0</v>
          </cell>
          <cell r="AJ134">
            <v>155001</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row>
        <row r="135">
          <cell r="A135" t="str">
            <v>tsx:BTB.UN__2013</v>
          </cell>
          <cell r="B135" t="str">
            <v>tsx:BTB.UN</v>
          </cell>
          <cell r="C135" t="str">
            <v>BTB Real Estate Investment Trust</v>
          </cell>
          <cell r="D135">
            <v>2013</v>
          </cell>
          <cell r="E135">
            <v>12</v>
          </cell>
          <cell r="F135" t="str">
            <v>CAD</v>
          </cell>
          <cell r="G135">
            <v>1</v>
          </cell>
          <cell r="H135" t="str">
            <v>Michael Leonard</v>
          </cell>
          <cell r="I135" t="str">
            <v>President and CEO</v>
          </cell>
          <cell r="J135">
            <v>0</v>
          </cell>
          <cell r="K135">
            <v>156.67344</v>
          </cell>
          <cell r="L135">
            <v>532.98244</v>
          </cell>
          <cell r="M135">
            <v>480816</v>
          </cell>
          <cell r="N135">
            <v>480816</v>
          </cell>
          <cell r="O135">
            <v>480816</v>
          </cell>
          <cell r="P135">
            <v>184806</v>
          </cell>
          <cell r="Q135">
            <v>184806</v>
          </cell>
          <cell r="R135">
            <v>0.38435908954776882</v>
          </cell>
          <cell r="S135">
            <v>0.5</v>
          </cell>
          <cell r="T135">
            <v>240408</v>
          </cell>
          <cell r="U135">
            <v>665622</v>
          </cell>
          <cell r="V135">
            <v>721224</v>
          </cell>
          <cell r="W135">
            <v>0</v>
          </cell>
          <cell r="X135">
            <v>0</v>
          </cell>
          <cell r="Y135">
            <v>0</v>
          </cell>
          <cell r="Z135">
            <v>0</v>
          </cell>
          <cell r="AA135">
            <v>0</v>
          </cell>
          <cell r="AB135">
            <v>0</v>
          </cell>
          <cell r="AC135">
            <v>0</v>
          </cell>
          <cell r="AD135">
            <v>0</v>
          </cell>
          <cell r="AE135">
            <v>0</v>
          </cell>
          <cell r="AF135">
            <v>665622</v>
          </cell>
          <cell r="AG135">
            <v>0</v>
          </cell>
          <cell r="AH135">
            <v>0</v>
          </cell>
          <cell r="AI135">
            <v>0</v>
          </cell>
          <cell r="AJ135">
            <v>665622</v>
          </cell>
          <cell r="AK135" t="str">
            <v>targets disclosed</v>
          </cell>
          <cell r="AL135" t="str">
            <v>targets disclosed</v>
          </cell>
          <cell r="AM135" t="str">
            <v xml:space="preserve">Leonard (BTB REIT, tsx:BTB.UN) can elect to receive between 50 - 100% of bonus in Deferred Units (no match). </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row>
        <row r="136">
          <cell r="A136" t="str">
            <v>tsx:BTB.UN__2012</v>
          </cell>
          <cell r="B136" t="str">
            <v>tsx:BTB.UN</v>
          </cell>
          <cell r="C136" t="str">
            <v>BTB Real Estate Investment Trust</v>
          </cell>
          <cell r="D136">
            <v>2012</v>
          </cell>
          <cell r="E136">
            <v>12</v>
          </cell>
          <cell r="F136" t="str">
            <v>CAD</v>
          </cell>
          <cell r="G136">
            <v>1</v>
          </cell>
          <cell r="H136" t="str">
            <v>Michael Leonard</v>
          </cell>
          <cell r="I136" t="str">
            <v>President and CEO</v>
          </cell>
          <cell r="J136">
            <v>0</v>
          </cell>
          <cell r="K136">
            <v>156.67344</v>
          </cell>
          <cell r="L136">
            <v>532.98244</v>
          </cell>
          <cell r="M136">
            <v>467208</v>
          </cell>
          <cell r="N136">
            <v>467208</v>
          </cell>
          <cell r="O136">
            <v>0</v>
          </cell>
          <cell r="P136">
            <v>192326</v>
          </cell>
          <cell r="Q136">
            <v>192326</v>
          </cell>
          <cell r="R136">
            <v>0.41164962928716975</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659534</v>
          </cell>
          <cell r="AG136">
            <v>0</v>
          </cell>
          <cell r="AH136">
            <v>0</v>
          </cell>
          <cell r="AI136">
            <v>0</v>
          </cell>
          <cell r="AJ136">
            <v>659534</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row>
        <row r="137">
          <cell r="A137" t="str">
            <v>tsx:BTB.UN__2011</v>
          </cell>
          <cell r="B137" t="str">
            <v>tsx:BTB.UN</v>
          </cell>
          <cell r="C137" t="str">
            <v>BTB Real Estate Investment Trust</v>
          </cell>
          <cell r="D137">
            <v>2011</v>
          </cell>
          <cell r="E137">
            <v>12</v>
          </cell>
          <cell r="F137" t="str">
            <v>CAD</v>
          </cell>
          <cell r="G137">
            <v>1</v>
          </cell>
          <cell r="H137" t="str">
            <v>Michael Leonard</v>
          </cell>
          <cell r="I137" t="str">
            <v>President and CEO</v>
          </cell>
          <cell r="J137">
            <v>0</v>
          </cell>
          <cell r="K137">
            <v>156.67344</v>
          </cell>
          <cell r="L137">
            <v>532.98244</v>
          </cell>
          <cell r="M137">
            <v>442800</v>
          </cell>
          <cell r="N137">
            <v>442800</v>
          </cell>
          <cell r="O137">
            <v>0</v>
          </cell>
          <cell r="P137">
            <v>147420</v>
          </cell>
          <cell r="Q137">
            <v>147420</v>
          </cell>
          <cell r="R137">
            <v>0.3329268292682927</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590220</v>
          </cell>
          <cell r="AG137">
            <v>0</v>
          </cell>
          <cell r="AH137">
            <v>0</v>
          </cell>
          <cell r="AI137">
            <v>0</v>
          </cell>
          <cell r="AJ137">
            <v>590220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row>
        <row r="138">
          <cell r="A138" t="str">
            <v>tsx:BTB.UN_CEO_Target</v>
          </cell>
          <cell r="B138" t="str">
            <v>tsx:BTB.UN</v>
          </cell>
          <cell r="C138" t="str">
            <v>BTB Real Estate Investment Trust</v>
          </cell>
          <cell r="D138" t="str">
            <v>Target</v>
          </cell>
          <cell r="E138">
            <v>12</v>
          </cell>
          <cell r="F138" t="str">
            <v>CAD</v>
          </cell>
          <cell r="G138">
            <v>1</v>
          </cell>
          <cell r="H138" t="str">
            <v>Michael Leonard</v>
          </cell>
          <cell r="I138" t="str">
            <v>President and CEO</v>
          </cell>
          <cell r="J138" t="str">
            <v>CEO</v>
          </cell>
          <cell r="K138">
            <v>156.67344</v>
          </cell>
          <cell r="L138">
            <v>532.98244</v>
          </cell>
          <cell r="M138">
            <v>480816</v>
          </cell>
          <cell r="N138">
            <v>480816</v>
          </cell>
          <cell r="O138">
            <v>480816</v>
          </cell>
          <cell r="P138">
            <v>184806</v>
          </cell>
          <cell r="Q138">
            <v>184806</v>
          </cell>
          <cell r="R138">
            <v>0.38435908954776882</v>
          </cell>
          <cell r="S138">
            <v>0.5</v>
          </cell>
          <cell r="T138">
            <v>240408</v>
          </cell>
          <cell r="U138">
            <v>665622</v>
          </cell>
          <cell r="V138">
            <v>721224</v>
          </cell>
          <cell r="W138" t="str">
            <v>input</v>
          </cell>
          <cell r="X138" t="str">
            <v>input</v>
          </cell>
          <cell r="Y138" t="str">
            <v>input</v>
          </cell>
          <cell r="Z138" t="str">
            <v>input</v>
          </cell>
          <cell r="AA138" t="str">
            <v>input</v>
          </cell>
          <cell r="AB138">
            <v>0</v>
          </cell>
          <cell r="AC138">
            <v>0</v>
          </cell>
          <cell r="AD138">
            <v>0</v>
          </cell>
          <cell r="AE138">
            <v>0</v>
          </cell>
          <cell r="AF138">
            <v>665622</v>
          </cell>
          <cell r="AG138">
            <v>721224</v>
          </cell>
          <cell r="AH138">
            <v>0</v>
          </cell>
          <cell r="AI138">
            <v>0</v>
          </cell>
          <cell r="AJ138">
            <v>665622</v>
          </cell>
          <cell r="AK138" t="str">
            <v>targets disclosed</v>
          </cell>
          <cell r="AL138" t="str">
            <v>targets disclosed</v>
          </cell>
          <cell r="AM138" t="str">
            <v xml:space="preserve">Leonard (BTB REIT, tsx:BTB.UN) can elect to receive between 50 - 100% of bonus in Deferred Units (no match). </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row>
        <row r="139">
          <cell r="A139" t="str">
            <v>tsx:BTB.UN_CEO_Target</v>
          </cell>
          <cell r="B139" t="str">
            <v>tsx:BTB.UN</v>
          </cell>
          <cell r="C139" t="str">
            <v>BTB Real Estate Investment Trust</v>
          </cell>
          <cell r="D139" t="str">
            <v>Target</v>
          </cell>
          <cell r="E139">
            <v>12</v>
          </cell>
          <cell r="F139" t="str">
            <v>CAD</v>
          </cell>
          <cell r="G139">
            <v>1</v>
          </cell>
          <cell r="H139" t="str">
            <v>Michael Leonard</v>
          </cell>
          <cell r="I139" t="str">
            <v>President and CEO</v>
          </cell>
          <cell r="J139" t="str">
            <v>CEO</v>
          </cell>
          <cell r="K139">
            <v>156.67344</v>
          </cell>
          <cell r="L139">
            <v>532.98244</v>
          </cell>
          <cell r="M139">
            <v>480816</v>
          </cell>
          <cell r="N139">
            <v>480816</v>
          </cell>
          <cell r="O139">
            <v>480816</v>
          </cell>
          <cell r="P139">
            <v>184806</v>
          </cell>
          <cell r="Q139">
            <v>184806</v>
          </cell>
          <cell r="R139">
            <v>0.38435908954776882</v>
          </cell>
          <cell r="S139">
            <v>0.5</v>
          </cell>
          <cell r="T139">
            <v>240408</v>
          </cell>
          <cell r="U139">
            <v>665622</v>
          </cell>
          <cell r="V139">
            <v>721224</v>
          </cell>
          <cell r="W139" t="str">
            <v>input</v>
          </cell>
          <cell r="X139" t="str">
            <v>input</v>
          </cell>
          <cell r="Y139" t="str">
            <v>input</v>
          </cell>
          <cell r="Z139" t="str">
            <v>input</v>
          </cell>
          <cell r="AA139" t="str">
            <v>input</v>
          </cell>
          <cell r="AB139">
            <v>0</v>
          </cell>
          <cell r="AC139">
            <v>0</v>
          </cell>
          <cell r="AD139">
            <v>0</v>
          </cell>
          <cell r="AE139">
            <v>0</v>
          </cell>
          <cell r="AF139">
            <v>665622</v>
          </cell>
          <cell r="AG139">
            <v>721224</v>
          </cell>
          <cell r="AH139">
            <v>0</v>
          </cell>
          <cell r="AI139">
            <v>0</v>
          </cell>
          <cell r="AJ139">
            <v>665622</v>
          </cell>
          <cell r="AK139">
            <v>0</v>
          </cell>
          <cell r="AL139">
            <v>0</v>
          </cell>
          <cell r="AM139" t="str">
            <v xml:space="preserve">Leonard (BTB REIT, tsx:BTB.UN) can elect to receive between 50 - 100% of bonus in Deferred Units (no match). </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row>
        <row r="140">
          <cell r="A140" t="str">
            <v>tsx:BTB.UN__2013</v>
          </cell>
          <cell r="B140" t="str">
            <v>tsx:BTB.UN</v>
          </cell>
          <cell r="C140" t="str">
            <v>BTB Real Estate Investment Trust</v>
          </cell>
          <cell r="D140">
            <v>2013</v>
          </cell>
          <cell r="E140">
            <v>12</v>
          </cell>
          <cell r="F140" t="str">
            <v>CAD</v>
          </cell>
          <cell r="G140">
            <v>1</v>
          </cell>
          <cell r="H140" t="str">
            <v>Benoit Cyr</v>
          </cell>
          <cell r="I140" t="str">
            <v>VP and CFO</v>
          </cell>
          <cell r="J140">
            <v>0</v>
          </cell>
          <cell r="K140">
            <v>156.67344</v>
          </cell>
          <cell r="L140">
            <v>532.98244</v>
          </cell>
          <cell r="M140">
            <v>201990</v>
          </cell>
          <cell r="N140">
            <v>201990</v>
          </cell>
          <cell r="O140">
            <v>201990</v>
          </cell>
          <cell r="P140">
            <v>66717</v>
          </cell>
          <cell r="Q140">
            <v>66717</v>
          </cell>
          <cell r="R140">
            <v>0.33029852963017969</v>
          </cell>
          <cell r="S140">
            <v>0.4</v>
          </cell>
          <cell r="T140">
            <v>80796</v>
          </cell>
          <cell r="U140">
            <v>268707</v>
          </cell>
          <cell r="V140">
            <v>282786</v>
          </cell>
          <cell r="W140">
            <v>0</v>
          </cell>
          <cell r="X140">
            <v>0</v>
          </cell>
          <cell r="Y140">
            <v>0</v>
          </cell>
          <cell r="Z140">
            <v>0</v>
          </cell>
          <cell r="AA140">
            <v>0</v>
          </cell>
          <cell r="AB140">
            <v>0</v>
          </cell>
          <cell r="AC140">
            <v>0</v>
          </cell>
          <cell r="AD140">
            <v>0</v>
          </cell>
          <cell r="AE140">
            <v>0</v>
          </cell>
          <cell r="AF140">
            <v>268707</v>
          </cell>
          <cell r="AG140">
            <v>0</v>
          </cell>
          <cell r="AH140">
            <v>0</v>
          </cell>
          <cell r="AI140">
            <v>0</v>
          </cell>
          <cell r="AJ140">
            <v>268707</v>
          </cell>
          <cell r="AK140" t="str">
            <v>targets disclosed</v>
          </cell>
          <cell r="AL140" t="str">
            <v>targets disclosed</v>
          </cell>
          <cell r="AM140" t="str">
            <v xml:space="preserve">Cyr (BTB REIT, tsx:BTB.UN) can elect to receive between 50 - 100% of bonus in Deferred Units (no match). </v>
          </cell>
          <cell r="AO140">
            <v>0</v>
          </cell>
          <cell r="AP140">
            <v>0</v>
          </cell>
          <cell r="AR140">
            <v>0</v>
          </cell>
          <cell r="AS140">
            <v>0</v>
          </cell>
          <cell r="AT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row>
        <row r="141">
          <cell r="A141" t="str">
            <v>tsx:BTB.UN__2012</v>
          </cell>
          <cell r="B141" t="str">
            <v>tsx:BTB.UN</v>
          </cell>
          <cell r="C141" t="str">
            <v>BTB Real Estate Investment Trust</v>
          </cell>
          <cell r="D141">
            <v>2012</v>
          </cell>
          <cell r="E141">
            <v>12</v>
          </cell>
          <cell r="F141" t="str">
            <v>CAD</v>
          </cell>
          <cell r="G141">
            <v>1</v>
          </cell>
          <cell r="H141" t="str">
            <v>Benoit Cyr</v>
          </cell>
          <cell r="I141" t="str">
            <v>VP and CFO</v>
          </cell>
          <cell r="J141">
            <v>0</v>
          </cell>
          <cell r="K141">
            <v>156.67344</v>
          </cell>
          <cell r="L141">
            <v>532.98244</v>
          </cell>
          <cell r="M141">
            <v>188490</v>
          </cell>
          <cell r="N141">
            <v>188490</v>
          </cell>
          <cell r="O141">
            <v>0</v>
          </cell>
          <cell r="P141">
            <v>77500</v>
          </cell>
          <cell r="Q141">
            <v>77500</v>
          </cell>
          <cell r="R141">
            <v>0.41116239588307074</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265990</v>
          </cell>
          <cell r="AG141">
            <v>0</v>
          </cell>
          <cell r="AH141">
            <v>0</v>
          </cell>
          <cell r="AI141">
            <v>0</v>
          </cell>
          <cell r="AJ141">
            <v>265990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row>
        <row r="142">
          <cell r="A142" t="str">
            <v>tsx:BTB.UN__2011</v>
          </cell>
          <cell r="B142" t="str">
            <v>tsx:BTB.UN</v>
          </cell>
          <cell r="C142" t="str">
            <v>BTB Real Estate Investment Trust</v>
          </cell>
          <cell r="D142">
            <v>2011</v>
          </cell>
          <cell r="E142">
            <v>12</v>
          </cell>
          <cell r="F142" t="str">
            <v>CAD</v>
          </cell>
          <cell r="G142">
            <v>1</v>
          </cell>
          <cell r="H142" t="str">
            <v>Benoit Cyr</v>
          </cell>
          <cell r="I142" t="str">
            <v>VP and CFO</v>
          </cell>
          <cell r="J142">
            <v>0</v>
          </cell>
          <cell r="K142">
            <v>156.67344</v>
          </cell>
          <cell r="L142">
            <v>532.98244</v>
          </cell>
          <cell r="M142">
            <v>179000</v>
          </cell>
          <cell r="N142">
            <v>179000</v>
          </cell>
          <cell r="O142">
            <v>0</v>
          </cell>
          <cell r="P142">
            <v>38430</v>
          </cell>
          <cell r="Q142">
            <v>38430</v>
          </cell>
          <cell r="R142">
            <v>0.21469273743016759</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217430</v>
          </cell>
          <cell r="AG142">
            <v>0</v>
          </cell>
          <cell r="AH142">
            <v>0</v>
          </cell>
          <cell r="AI142">
            <v>0</v>
          </cell>
          <cell r="AJ142">
            <v>217430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row>
        <row r="143">
          <cell r="A143" t="str">
            <v>tsx:BTB.UN_CFO_Target</v>
          </cell>
          <cell r="B143" t="str">
            <v>tsx:BTB.UN</v>
          </cell>
          <cell r="C143" t="str">
            <v>BTB Real Estate Investment Trust</v>
          </cell>
          <cell r="D143" t="str">
            <v>Target</v>
          </cell>
          <cell r="E143">
            <v>12</v>
          </cell>
          <cell r="F143" t="str">
            <v>CAD</v>
          </cell>
          <cell r="G143">
            <v>1</v>
          </cell>
          <cell r="H143" t="str">
            <v>Benoit Cyr</v>
          </cell>
          <cell r="I143" t="str">
            <v>VP and CFO</v>
          </cell>
          <cell r="J143" t="str">
            <v>CFO</v>
          </cell>
          <cell r="K143">
            <v>156.67344</v>
          </cell>
          <cell r="L143">
            <v>532.98244</v>
          </cell>
          <cell r="M143">
            <v>201990</v>
          </cell>
          <cell r="N143">
            <v>201990</v>
          </cell>
          <cell r="O143">
            <v>201990</v>
          </cell>
          <cell r="P143">
            <v>66717</v>
          </cell>
          <cell r="Q143">
            <v>66717</v>
          </cell>
          <cell r="R143">
            <v>0.33029852963017969</v>
          </cell>
          <cell r="S143">
            <v>0.4</v>
          </cell>
          <cell r="T143">
            <v>80796</v>
          </cell>
          <cell r="U143">
            <v>268707</v>
          </cell>
          <cell r="V143">
            <v>282786</v>
          </cell>
          <cell r="W143" t="str">
            <v>input</v>
          </cell>
          <cell r="X143" t="str">
            <v>input</v>
          </cell>
          <cell r="Y143" t="str">
            <v>input</v>
          </cell>
          <cell r="Z143" t="str">
            <v>input</v>
          </cell>
          <cell r="AA143" t="str">
            <v>input</v>
          </cell>
          <cell r="AB143">
            <v>0</v>
          </cell>
          <cell r="AC143">
            <v>0</v>
          </cell>
          <cell r="AD143">
            <v>0</v>
          </cell>
          <cell r="AE143">
            <v>0</v>
          </cell>
          <cell r="AF143">
            <v>268707</v>
          </cell>
          <cell r="AG143">
            <v>282786</v>
          </cell>
          <cell r="AH143">
            <v>0</v>
          </cell>
          <cell r="AI143">
            <v>0</v>
          </cell>
          <cell r="AJ143">
            <v>268707</v>
          </cell>
          <cell r="AK143" t="str">
            <v>targets disclosed</v>
          </cell>
          <cell r="AL143" t="str">
            <v>targets disclosed</v>
          </cell>
          <cell r="AM143" t="str">
            <v xml:space="preserve">Cyr (BTB REIT, tsx:BTB.UN) can elect to receive between 50 - 100% of bonus in Deferred Units (no match). </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row>
        <row r="144">
          <cell r="A144" t="str">
            <v>tsx:BTB.UN_CFO_Target</v>
          </cell>
          <cell r="B144" t="str">
            <v>tsx:BTB.UN</v>
          </cell>
          <cell r="C144" t="str">
            <v>BTB Real Estate Investment Trust</v>
          </cell>
          <cell r="D144" t="str">
            <v>Target</v>
          </cell>
          <cell r="E144">
            <v>12</v>
          </cell>
          <cell r="F144" t="str">
            <v>CAD</v>
          </cell>
          <cell r="G144">
            <v>1</v>
          </cell>
          <cell r="H144" t="str">
            <v>Benoit Cyr</v>
          </cell>
          <cell r="I144" t="str">
            <v>VP and CFO</v>
          </cell>
          <cell r="J144" t="str">
            <v>CFO</v>
          </cell>
          <cell r="K144">
            <v>156.67344</v>
          </cell>
          <cell r="L144">
            <v>532.98244</v>
          </cell>
          <cell r="M144">
            <v>201990</v>
          </cell>
          <cell r="N144">
            <v>201990</v>
          </cell>
          <cell r="O144">
            <v>201990</v>
          </cell>
          <cell r="P144">
            <v>66717</v>
          </cell>
          <cell r="Q144">
            <v>66717</v>
          </cell>
          <cell r="R144">
            <v>0.33029852963017969</v>
          </cell>
          <cell r="S144">
            <v>0.4</v>
          </cell>
          <cell r="T144">
            <v>80796</v>
          </cell>
          <cell r="U144">
            <v>268707</v>
          </cell>
          <cell r="V144">
            <v>282786</v>
          </cell>
          <cell r="W144" t="str">
            <v>input</v>
          </cell>
          <cell r="X144" t="str">
            <v>input</v>
          </cell>
          <cell r="Y144" t="str">
            <v>input</v>
          </cell>
          <cell r="Z144" t="str">
            <v>input</v>
          </cell>
          <cell r="AA144" t="str">
            <v>input</v>
          </cell>
          <cell r="AB144">
            <v>0</v>
          </cell>
          <cell r="AC144">
            <v>0</v>
          </cell>
          <cell r="AD144">
            <v>0</v>
          </cell>
          <cell r="AE144">
            <v>0</v>
          </cell>
          <cell r="AF144">
            <v>268707</v>
          </cell>
          <cell r="AG144">
            <v>282786</v>
          </cell>
          <cell r="AH144">
            <v>0</v>
          </cell>
          <cell r="AI144">
            <v>0</v>
          </cell>
          <cell r="AJ144">
            <v>268707</v>
          </cell>
          <cell r="AK144">
            <v>0</v>
          </cell>
          <cell r="AL144">
            <v>0</v>
          </cell>
          <cell r="AM144" t="str">
            <v xml:space="preserve">Cyr (BTB REIT, tsx:BTB.UN) can elect to receive between 50 - 100% of bonus in Deferred Units (no match). </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row>
        <row r="145">
          <cell r="A145" t="str">
            <v>tsx:CUF.UN__2013</v>
          </cell>
          <cell r="B145" t="str">
            <v>tsx:CUF.UN</v>
          </cell>
          <cell r="C145" t="str">
            <v>Cominar REIT</v>
          </cell>
          <cell r="D145">
            <v>2013</v>
          </cell>
          <cell r="E145">
            <v>12</v>
          </cell>
          <cell r="F145" t="str">
            <v>CAD</v>
          </cell>
          <cell r="G145">
            <v>1</v>
          </cell>
          <cell r="H145" t="str">
            <v>Michel Dallaire</v>
          </cell>
          <cell r="I145" t="str">
            <v>President and CEO</v>
          </cell>
          <cell r="J145">
            <v>0</v>
          </cell>
          <cell r="K145">
            <v>2408.2908600000001</v>
          </cell>
          <cell r="L145">
            <v>5690.7308599999997</v>
          </cell>
          <cell r="M145">
            <v>633500</v>
          </cell>
          <cell r="N145">
            <v>633500</v>
          </cell>
          <cell r="O145">
            <v>633500</v>
          </cell>
          <cell r="P145">
            <v>567146</v>
          </cell>
          <cell r="Q145">
            <v>567146</v>
          </cell>
          <cell r="R145">
            <v>0.89525808997632206</v>
          </cell>
          <cell r="S145">
            <v>1</v>
          </cell>
          <cell r="T145">
            <v>633500</v>
          </cell>
          <cell r="U145">
            <v>1200646</v>
          </cell>
          <cell r="V145">
            <v>1267000</v>
          </cell>
          <cell r="W145">
            <v>0</v>
          </cell>
          <cell r="X145">
            <v>0</v>
          </cell>
          <cell r="Y145">
            <v>75600</v>
          </cell>
          <cell r="Z145">
            <v>375595</v>
          </cell>
          <cell r="AA145">
            <v>0</v>
          </cell>
          <cell r="AB145">
            <v>451195</v>
          </cell>
          <cell r="AC145">
            <v>0.71222573007103396</v>
          </cell>
          <cell r="AD145">
            <v>1.5</v>
          </cell>
          <cell r="AE145">
            <v>451195</v>
          </cell>
          <cell r="AF145">
            <v>1651841</v>
          </cell>
          <cell r="AG145">
            <v>0</v>
          </cell>
          <cell r="AH145">
            <v>0</v>
          </cell>
          <cell r="AI145">
            <v>55426</v>
          </cell>
          <cell r="AJ145">
            <v>1707267</v>
          </cell>
          <cell r="AK145" t="str">
            <v>targets disclosed</v>
          </cell>
          <cell r="AL145" t="str">
            <v>targets disclosed</v>
          </cell>
          <cell r="AM145" t="str">
            <v>Target LTIP for Dallaire (Cominar, tsx:CUF.UN) based on average of range (45% and 90%).</v>
          </cell>
          <cell r="AO145">
            <v>0</v>
          </cell>
          <cell r="AP145">
            <v>0</v>
          </cell>
          <cell r="AR145">
            <v>0</v>
          </cell>
          <cell r="AS145">
            <v>0</v>
          </cell>
          <cell r="AT145">
            <v>5</v>
          </cell>
          <cell r="AU145">
            <v>41625</v>
          </cell>
          <cell r="AV145">
            <v>0</v>
          </cell>
          <cell r="AW145">
            <v>17.55</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row>
        <row r="146">
          <cell r="A146" t="str">
            <v>tsx:CUF.UN__2012</v>
          </cell>
          <cell r="B146" t="str">
            <v>tsx:CUF.UN</v>
          </cell>
          <cell r="C146" t="str">
            <v>Cominar REIT</v>
          </cell>
          <cell r="D146">
            <v>2012</v>
          </cell>
          <cell r="E146">
            <v>12</v>
          </cell>
          <cell r="F146" t="str">
            <v>CAD</v>
          </cell>
          <cell r="G146">
            <v>1</v>
          </cell>
          <cell r="H146" t="str">
            <v>Michel Dallaire</v>
          </cell>
          <cell r="I146" t="str">
            <v>President and CEO</v>
          </cell>
          <cell r="J146">
            <v>0</v>
          </cell>
          <cell r="K146">
            <v>2408.2908600000001</v>
          </cell>
          <cell r="L146">
            <v>5690.7308599999997</v>
          </cell>
          <cell r="M146">
            <v>615000</v>
          </cell>
          <cell r="N146">
            <v>615000</v>
          </cell>
          <cell r="O146">
            <v>0</v>
          </cell>
          <cell r="P146">
            <v>627300</v>
          </cell>
          <cell r="Q146">
            <v>627300</v>
          </cell>
          <cell r="R146">
            <v>1.02</v>
          </cell>
          <cell r="S146">
            <v>0</v>
          </cell>
          <cell r="T146">
            <v>0</v>
          </cell>
          <cell r="U146">
            <v>0</v>
          </cell>
          <cell r="V146">
            <v>0</v>
          </cell>
          <cell r="W146">
            <v>0</v>
          </cell>
          <cell r="X146">
            <v>0</v>
          </cell>
          <cell r="Y146">
            <v>176988</v>
          </cell>
          <cell r="Z146">
            <v>479696</v>
          </cell>
          <cell r="AA146">
            <v>0</v>
          </cell>
          <cell r="AB146">
            <v>656684</v>
          </cell>
          <cell r="AC146">
            <v>1.0677788617886179</v>
          </cell>
          <cell r="AD146">
            <v>0</v>
          </cell>
          <cell r="AE146">
            <v>656684</v>
          </cell>
          <cell r="AF146">
            <v>1898984</v>
          </cell>
          <cell r="AG146">
            <v>0</v>
          </cell>
          <cell r="AH146">
            <v>0</v>
          </cell>
          <cell r="AI146">
            <v>54363</v>
          </cell>
          <cell r="AJ146">
            <v>1953347</v>
          </cell>
          <cell r="AK146">
            <v>0</v>
          </cell>
          <cell r="AL146">
            <v>0</v>
          </cell>
          <cell r="AM146">
            <v>0</v>
          </cell>
          <cell r="AN146">
            <v>0</v>
          </cell>
          <cell r="AO146">
            <v>0</v>
          </cell>
          <cell r="AP146">
            <v>0</v>
          </cell>
          <cell r="AQ146">
            <v>0</v>
          </cell>
          <cell r="AR146">
            <v>0</v>
          </cell>
          <cell r="AS146">
            <v>0</v>
          </cell>
          <cell r="AT146">
            <v>5</v>
          </cell>
          <cell r="AU146">
            <v>41262</v>
          </cell>
          <cell r="AV146">
            <v>0</v>
          </cell>
          <cell r="AW146">
            <v>22.7</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row>
        <row r="147">
          <cell r="A147" t="str">
            <v>tsx:CUF.UN__2011</v>
          </cell>
          <cell r="B147" t="str">
            <v>tsx:CUF.UN</v>
          </cell>
          <cell r="C147" t="str">
            <v>Cominar REIT</v>
          </cell>
          <cell r="D147">
            <v>2011</v>
          </cell>
          <cell r="E147">
            <v>12</v>
          </cell>
          <cell r="F147" t="str">
            <v>CAD</v>
          </cell>
          <cell r="G147">
            <v>1</v>
          </cell>
          <cell r="H147" t="str">
            <v>Michel Dallaire</v>
          </cell>
          <cell r="I147" t="str">
            <v>President and CEO</v>
          </cell>
          <cell r="J147">
            <v>0</v>
          </cell>
          <cell r="K147">
            <v>2408.2908600000001</v>
          </cell>
          <cell r="L147">
            <v>5690.7308599999997</v>
          </cell>
          <cell r="M147">
            <v>320000</v>
          </cell>
          <cell r="N147">
            <v>320000</v>
          </cell>
          <cell r="O147">
            <v>0</v>
          </cell>
          <cell r="P147">
            <v>231424</v>
          </cell>
          <cell r="Q147">
            <v>231424</v>
          </cell>
          <cell r="R147">
            <v>0.72319999999999995</v>
          </cell>
          <cell r="S147">
            <v>0</v>
          </cell>
          <cell r="T147">
            <v>0</v>
          </cell>
          <cell r="U147">
            <v>0</v>
          </cell>
          <cell r="V147">
            <v>0</v>
          </cell>
          <cell r="W147">
            <v>0</v>
          </cell>
          <cell r="X147">
            <v>0</v>
          </cell>
          <cell r="Y147">
            <v>89910</v>
          </cell>
          <cell r="Z147">
            <v>0</v>
          </cell>
          <cell r="AA147">
            <v>0</v>
          </cell>
          <cell r="AB147">
            <v>89910</v>
          </cell>
          <cell r="AC147">
            <v>0.28096874999999999</v>
          </cell>
          <cell r="AD147">
            <v>0</v>
          </cell>
          <cell r="AE147">
            <v>89910</v>
          </cell>
          <cell r="AF147">
            <v>641334</v>
          </cell>
          <cell r="AG147">
            <v>0</v>
          </cell>
          <cell r="AH147">
            <v>0</v>
          </cell>
          <cell r="AI147">
            <v>0</v>
          </cell>
          <cell r="AJ147">
            <v>641334</v>
          </cell>
          <cell r="AK147">
            <v>0</v>
          </cell>
          <cell r="AL147">
            <v>0</v>
          </cell>
          <cell r="AM147">
            <v>0</v>
          </cell>
          <cell r="AN147">
            <v>0</v>
          </cell>
          <cell r="AO147">
            <v>0</v>
          </cell>
          <cell r="AP147">
            <v>0</v>
          </cell>
          <cell r="AQ147">
            <v>0</v>
          </cell>
          <cell r="AR147">
            <v>0</v>
          </cell>
          <cell r="AS147">
            <v>0</v>
          </cell>
          <cell r="AT147">
            <v>5</v>
          </cell>
          <cell r="AU147">
            <v>40892</v>
          </cell>
          <cell r="AV147">
            <v>0</v>
          </cell>
          <cell r="AW147">
            <v>21.8</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row>
        <row r="148">
          <cell r="A148" t="str">
            <v>tsx:CUF.UN_CEO_Target</v>
          </cell>
          <cell r="B148" t="str">
            <v>tsx:CUF.UN</v>
          </cell>
          <cell r="C148" t="str">
            <v>Cominar REIT</v>
          </cell>
          <cell r="D148" t="str">
            <v>Target</v>
          </cell>
          <cell r="E148">
            <v>12</v>
          </cell>
          <cell r="F148" t="str">
            <v>CAD</v>
          </cell>
          <cell r="G148">
            <v>1</v>
          </cell>
          <cell r="H148" t="str">
            <v>Michel Dallaire</v>
          </cell>
          <cell r="I148" t="str">
            <v>President and CEO</v>
          </cell>
          <cell r="J148" t="str">
            <v>CEO</v>
          </cell>
          <cell r="K148">
            <v>2408.2908600000001</v>
          </cell>
          <cell r="L148">
            <v>5690.7308599999997</v>
          </cell>
          <cell r="M148">
            <v>633500</v>
          </cell>
          <cell r="N148">
            <v>633500</v>
          </cell>
          <cell r="O148">
            <v>633500</v>
          </cell>
          <cell r="P148">
            <v>567146</v>
          </cell>
          <cell r="Q148">
            <v>567146</v>
          </cell>
          <cell r="R148">
            <v>0.89525808997632206</v>
          </cell>
          <cell r="S148">
            <v>1</v>
          </cell>
          <cell r="T148">
            <v>633500</v>
          </cell>
          <cell r="U148">
            <v>1200646</v>
          </cell>
          <cell r="V148">
            <v>1267000</v>
          </cell>
          <cell r="W148" t="str">
            <v>input</v>
          </cell>
          <cell r="X148" t="str">
            <v>input</v>
          </cell>
          <cell r="Y148">
            <v>114166</v>
          </cell>
          <cell r="Z148">
            <v>427645.5</v>
          </cell>
          <cell r="AA148" t="str">
            <v>input</v>
          </cell>
          <cell r="AB148">
            <v>451195</v>
          </cell>
          <cell r="AC148">
            <v>0.68699111395321732</v>
          </cell>
          <cell r="AD148">
            <v>1.5</v>
          </cell>
          <cell r="AE148">
            <v>435208.87068936316</v>
          </cell>
          <cell r="AF148">
            <v>1651841</v>
          </cell>
          <cell r="AG148">
            <v>1702208.8706893632</v>
          </cell>
          <cell r="AH148">
            <v>0</v>
          </cell>
          <cell r="AI148">
            <v>0</v>
          </cell>
          <cell r="AJ148">
            <v>1651841</v>
          </cell>
          <cell r="AK148" t="str">
            <v>targets disclosed</v>
          </cell>
          <cell r="AL148" t="str">
            <v>targets disclosed</v>
          </cell>
          <cell r="AM148" t="str">
            <v>Target LTIP for Dallaire (Cominar, tsx:CUF.UN) based on average of range (45% and 90%).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row>
        <row r="149">
          <cell r="A149" t="str">
            <v>tsx:CUF.UN_CEO_Target</v>
          </cell>
          <cell r="B149" t="str">
            <v>tsx:CUF.UN</v>
          </cell>
          <cell r="C149" t="str">
            <v>Cominar REIT</v>
          </cell>
          <cell r="D149" t="str">
            <v>Target</v>
          </cell>
          <cell r="E149">
            <v>12</v>
          </cell>
          <cell r="F149" t="str">
            <v>CAD</v>
          </cell>
          <cell r="G149">
            <v>1</v>
          </cell>
          <cell r="H149" t="str">
            <v>Michel Dallaire</v>
          </cell>
          <cell r="I149" t="str">
            <v>President and CEO</v>
          </cell>
          <cell r="J149" t="str">
            <v>CEO</v>
          </cell>
          <cell r="K149">
            <v>2408.2908600000001</v>
          </cell>
          <cell r="L149">
            <v>5690.7308599999997</v>
          </cell>
          <cell r="M149">
            <v>633500</v>
          </cell>
          <cell r="N149">
            <v>633500</v>
          </cell>
          <cell r="O149">
            <v>633500</v>
          </cell>
          <cell r="P149">
            <v>567146</v>
          </cell>
          <cell r="Q149">
            <v>567146</v>
          </cell>
          <cell r="R149">
            <v>0.89525808997632206</v>
          </cell>
          <cell r="S149">
            <v>1</v>
          </cell>
          <cell r="T149">
            <v>633500</v>
          </cell>
          <cell r="U149">
            <v>1200646</v>
          </cell>
          <cell r="V149">
            <v>1267000</v>
          </cell>
          <cell r="W149" t="str">
            <v>input</v>
          </cell>
          <cell r="X149" t="str">
            <v>input</v>
          </cell>
          <cell r="Y149">
            <v>114166</v>
          </cell>
          <cell r="Z149">
            <v>427645.5</v>
          </cell>
          <cell r="AA149" t="str">
            <v>input</v>
          </cell>
          <cell r="AB149">
            <v>451195</v>
          </cell>
          <cell r="AC149">
            <v>0.68699111395321732</v>
          </cell>
          <cell r="AD149">
            <v>1.5</v>
          </cell>
          <cell r="AE149">
            <v>435208.87068936316</v>
          </cell>
          <cell r="AF149">
            <v>1651841</v>
          </cell>
          <cell r="AG149">
            <v>1702208.8706893632</v>
          </cell>
          <cell r="AH149">
            <v>0</v>
          </cell>
          <cell r="AI149">
            <v>0</v>
          </cell>
          <cell r="AJ149">
            <v>1651841</v>
          </cell>
          <cell r="AK149">
            <v>0</v>
          </cell>
          <cell r="AL149">
            <v>0</v>
          </cell>
          <cell r="AM149" t="str">
            <v>Target LTIP for Dallaire (Cominar, tsx:CUF.UN) based on average of range (45% and 90%).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row>
        <row r="150">
          <cell r="A150" t="str">
            <v>tsx:CUF.UN__2013</v>
          </cell>
          <cell r="B150" t="str">
            <v>tsx:CUF.UN</v>
          </cell>
          <cell r="C150" t="str">
            <v>Cominar REIT</v>
          </cell>
          <cell r="D150">
            <v>2013</v>
          </cell>
          <cell r="E150">
            <v>12</v>
          </cell>
          <cell r="F150" t="str">
            <v>CAD</v>
          </cell>
          <cell r="G150">
            <v>1</v>
          </cell>
          <cell r="H150" t="str">
            <v>Sylvain Cossette</v>
          </cell>
          <cell r="I150" t="str">
            <v>EVP and COO</v>
          </cell>
          <cell r="J150">
            <v>0</v>
          </cell>
          <cell r="K150">
            <v>2408.2908600000001</v>
          </cell>
          <cell r="L150">
            <v>5690.7308599999997</v>
          </cell>
          <cell r="M150">
            <v>412000</v>
          </cell>
          <cell r="N150">
            <v>412000</v>
          </cell>
          <cell r="O150">
            <v>412000</v>
          </cell>
          <cell r="P150">
            <v>192148</v>
          </cell>
          <cell r="Q150">
            <v>192148</v>
          </cell>
          <cell r="R150">
            <v>0.46637864077669905</v>
          </cell>
          <cell r="S150">
            <v>0.5</v>
          </cell>
          <cell r="T150">
            <v>206000</v>
          </cell>
          <cell r="U150">
            <v>604148</v>
          </cell>
          <cell r="V150">
            <v>618000</v>
          </cell>
          <cell r="W150">
            <v>0</v>
          </cell>
          <cell r="X150">
            <v>0</v>
          </cell>
          <cell r="Y150">
            <v>31080</v>
          </cell>
          <cell r="Z150">
            <v>169375</v>
          </cell>
          <cell r="AA150">
            <v>0</v>
          </cell>
          <cell r="AB150">
            <v>200455</v>
          </cell>
          <cell r="AC150">
            <v>0.4865412621359223</v>
          </cell>
          <cell r="AD150">
            <v>0.7</v>
          </cell>
          <cell r="AE150">
            <v>200455</v>
          </cell>
          <cell r="AF150">
            <v>804603</v>
          </cell>
          <cell r="AG150">
            <v>0</v>
          </cell>
          <cell r="AH150">
            <v>0</v>
          </cell>
          <cell r="AI150">
            <v>0</v>
          </cell>
          <cell r="AJ150">
            <v>804603</v>
          </cell>
          <cell r="AK150" t="str">
            <v>targets disclosed</v>
          </cell>
          <cell r="AL150" t="str">
            <v>targets disclosed</v>
          </cell>
          <cell r="AM150">
            <v>0</v>
          </cell>
          <cell r="AO150">
            <v>0</v>
          </cell>
          <cell r="AP150">
            <v>0</v>
          </cell>
          <cell r="AR150">
            <v>0</v>
          </cell>
          <cell r="AS150">
            <v>0</v>
          </cell>
          <cell r="AT150">
            <v>5</v>
          </cell>
          <cell r="AU150">
            <v>41639</v>
          </cell>
          <cell r="AV150">
            <v>0</v>
          </cell>
          <cell r="AW150">
            <v>17.55</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row>
        <row r="151">
          <cell r="A151" t="str">
            <v>tsx:CUF.UN__2012</v>
          </cell>
          <cell r="B151" t="str">
            <v>tsx:CUF.UN</v>
          </cell>
          <cell r="C151" t="str">
            <v>Cominar REIT</v>
          </cell>
          <cell r="D151">
            <v>2012</v>
          </cell>
          <cell r="E151">
            <v>0</v>
          </cell>
          <cell r="F151" t="str">
            <v>CAD</v>
          </cell>
          <cell r="G151">
            <v>1</v>
          </cell>
          <cell r="H151">
            <v>0</v>
          </cell>
          <cell r="I151">
            <v>0</v>
          </cell>
          <cell r="J151">
            <v>0</v>
          </cell>
          <cell r="K151">
            <v>2408.2908600000001</v>
          </cell>
          <cell r="L151">
            <v>5690.7308599999997</v>
          </cell>
          <cell r="M151">
            <v>0</v>
          </cell>
          <cell r="N151">
            <v>0</v>
          </cell>
          <cell r="O151">
            <v>0</v>
          </cell>
          <cell r="P151">
            <v>0</v>
          </cell>
          <cell r="Q151" t="str">
            <v>input</v>
          </cell>
          <cell r="R151" t="str">
            <v>input</v>
          </cell>
          <cell r="S151">
            <v>0</v>
          </cell>
          <cell r="T151">
            <v>0</v>
          </cell>
          <cell r="U151">
            <v>0</v>
          </cell>
          <cell r="V151">
            <v>0</v>
          </cell>
          <cell r="W151">
            <v>0</v>
          </cell>
          <cell r="X151">
            <v>0</v>
          </cell>
          <cell r="Y151">
            <v>0</v>
          </cell>
          <cell r="Z151">
            <v>0</v>
          </cell>
          <cell r="AA151">
            <v>0</v>
          </cell>
          <cell r="AB151">
            <v>0</v>
          </cell>
          <cell r="AC151" t="str">
            <v>input</v>
          </cell>
          <cell r="AD151">
            <v>0</v>
          </cell>
          <cell r="AE151">
            <v>0</v>
          </cell>
          <cell r="AF151" t="str">
            <v>input</v>
          </cell>
          <cell r="AG151">
            <v>0</v>
          </cell>
          <cell r="AH151">
            <v>0</v>
          </cell>
          <cell r="AI151">
            <v>0</v>
          </cell>
          <cell r="AJ151" t="e">
            <v>#VALUE!</v>
          </cell>
          <cell r="AK151">
            <v>0</v>
          </cell>
          <cell r="AL151">
            <v>0</v>
          </cell>
          <cell r="AM151">
            <v>0</v>
          </cell>
          <cell r="AN151">
            <v>0</v>
          </cell>
          <cell r="AO151">
            <v>0</v>
          </cell>
          <cell r="AP151">
            <v>0</v>
          </cell>
          <cell r="AQ151">
            <v>0</v>
          </cell>
          <cell r="AR151">
            <v>0</v>
          </cell>
          <cell r="AS151">
            <v>0</v>
          </cell>
          <cell r="AT151">
            <v>5</v>
          </cell>
          <cell r="AU151">
            <v>41262</v>
          </cell>
          <cell r="AV151">
            <v>0</v>
          </cell>
          <cell r="AW151">
            <v>22.7</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row>
        <row r="152">
          <cell r="A152" t="str">
            <v>tsx:CUF.UN__2011</v>
          </cell>
          <cell r="B152" t="str">
            <v>tsx:CUF.UN</v>
          </cell>
          <cell r="C152" t="str">
            <v>Cominar REIT</v>
          </cell>
          <cell r="D152">
            <v>2011</v>
          </cell>
          <cell r="E152">
            <v>0</v>
          </cell>
          <cell r="F152" t="str">
            <v>CAD</v>
          </cell>
          <cell r="G152">
            <v>1</v>
          </cell>
          <cell r="H152">
            <v>0</v>
          </cell>
          <cell r="I152">
            <v>0</v>
          </cell>
          <cell r="J152">
            <v>0</v>
          </cell>
          <cell r="K152">
            <v>2408.2908600000001</v>
          </cell>
          <cell r="L152">
            <v>5690.7308599999997</v>
          </cell>
          <cell r="M152">
            <v>0</v>
          </cell>
          <cell r="N152" t="str">
            <v>input</v>
          </cell>
          <cell r="O152">
            <v>0</v>
          </cell>
          <cell r="P152">
            <v>0</v>
          </cell>
          <cell r="Q152" t="str">
            <v>input</v>
          </cell>
          <cell r="R152" t="str">
            <v>input</v>
          </cell>
          <cell r="S152">
            <v>0</v>
          </cell>
          <cell r="T152">
            <v>0</v>
          </cell>
          <cell r="U152">
            <v>0</v>
          </cell>
          <cell r="V152">
            <v>0</v>
          </cell>
          <cell r="W152">
            <v>0</v>
          </cell>
          <cell r="X152">
            <v>0</v>
          </cell>
          <cell r="Y152">
            <v>0</v>
          </cell>
          <cell r="Z152">
            <v>0</v>
          </cell>
          <cell r="AA152">
            <v>0</v>
          </cell>
          <cell r="AB152">
            <v>0</v>
          </cell>
          <cell r="AC152" t="str">
            <v>input</v>
          </cell>
          <cell r="AD152">
            <v>0</v>
          </cell>
          <cell r="AE152">
            <v>0</v>
          </cell>
          <cell r="AF152" t="str">
            <v>input</v>
          </cell>
          <cell r="AG152">
            <v>0</v>
          </cell>
          <cell r="AH152">
            <v>0</v>
          </cell>
          <cell r="AI152">
            <v>0</v>
          </cell>
          <cell r="AJ152" t="e">
            <v>#VALUE!</v>
          </cell>
          <cell r="AK152">
            <v>0</v>
          </cell>
          <cell r="AL152">
            <v>0</v>
          </cell>
          <cell r="AM152">
            <v>0</v>
          </cell>
          <cell r="AN152">
            <v>0</v>
          </cell>
          <cell r="AO152">
            <v>0</v>
          </cell>
          <cell r="AP152">
            <v>0</v>
          </cell>
          <cell r="AQ152">
            <v>0</v>
          </cell>
          <cell r="AR152">
            <v>0</v>
          </cell>
          <cell r="AS152">
            <v>0</v>
          </cell>
          <cell r="AT152">
            <v>5</v>
          </cell>
          <cell r="AU152">
            <v>41152</v>
          </cell>
          <cell r="AV152">
            <v>0</v>
          </cell>
          <cell r="AW152">
            <v>21.8</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row>
        <row r="153">
          <cell r="A153" t="str">
            <v>tsx:CUF.UN_COO_Target</v>
          </cell>
          <cell r="B153" t="str">
            <v>tsx:CUF.UN</v>
          </cell>
          <cell r="C153" t="str">
            <v>Cominar REIT</v>
          </cell>
          <cell r="D153" t="str">
            <v>Target</v>
          </cell>
          <cell r="E153">
            <v>12</v>
          </cell>
          <cell r="F153" t="str">
            <v>CAD</v>
          </cell>
          <cell r="G153">
            <v>1</v>
          </cell>
          <cell r="H153" t="str">
            <v>Sylvain Cossette</v>
          </cell>
          <cell r="I153" t="str">
            <v>EVP and COO</v>
          </cell>
          <cell r="J153" t="str">
            <v>COO</v>
          </cell>
          <cell r="K153">
            <v>2408.2908600000001</v>
          </cell>
          <cell r="L153">
            <v>5690.7308599999997</v>
          </cell>
          <cell r="M153">
            <v>412000</v>
          </cell>
          <cell r="N153">
            <v>412000</v>
          </cell>
          <cell r="O153">
            <v>412000</v>
          </cell>
          <cell r="P153">
            <v>192148</v>
          </cell>
          <cell r="Q153">
            <v>192148</v>
          </cell>
          <cell r="R153">
            <v>0.46637864077669905</v>
          </cell>
          <cell r="S153">
            <v>0.5</v>
          </cell>
          <cell r="T153">
            <v>206000</v>
          </cell>
          <cell r="U153">
            <v>604148</v>
          </cell>
          <cell r="V153">
            <v>618000</v>
          </cell>
          <cell r="W153" t="str">
            <v>input</v>
          </cell>
          <cell r="X153" t="str">
            <v>input</v>
          </cell>
          <cell r="Y153">
            <v>31080</v>
          </cell>
          <cell r="Z153">
            <v>169375</v>
          </cell>
          <cell r="AA153" t="str">
            <v>input</v>
          </cell>
          <cell r="AB153">
            <v>200455</v>
          </cell>
          <cell r="AC153">
            <v>0.4865412621359223</v>
          </cell>
          <cell r="AD153">
            <v>0.7</v>
          </cell>
          <cell r="AE153">
            <v>200455</v>
          </cell>
          <cell r="AF153">
            <v>804603</v>
          </cell>
          <cell r="AG153">
            <v>818455</v>
          </cell>
          <cell r="AH153">
            <v>0</v>
          </cell>
          <cell r="AI153">
            <v>0</v>
          </cell>
          <cell r="AJ153">
            <v>804603</v>
          </cell>
          <cell r="AK153" t="str">
            <v>targets disclosed</v>
          </cell>
          <cell r="AL153" t="str">
            <v>targets disclosed</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row>
        <row r="154">
          <cell r="A154" t="str">
            <v>tsx:CUF.UN_COO_Target</v>
          </cell>
          <cell r="B154" t="str">
            <v>tsx:CUF.UN</v>
          </cell>
          <cell r="C154" t="str">
            <v>Cominar REIT</v>
          </cell>
          <cell r="D154" t="str">
            <v>Target</v>
          </cell>
          <cell r="E154">
            <v>12</v>
          </cell>
          <cell r="F154" t="str">
            <v>CAD</v>
          </cell>
          <cell r="G154">
            <v>1</v>
          </cell>
          <cell r="H154" t="str">
            <v>Sylvain Cossette</v>
          </cell>
          <cell r="I154" t="str">
            <v>EVP and COO</v>
          </cell>
          <cell r="J154" t="str">
            <v>COO</v>
          </cell>
          <cell r="K154">
            <v>2408.2908600000001</v>
          </cell>
          <cell r="L154">
            <v>5690.7308599999997</v>
          </cell>
          <cell r="M154">
            <v>412000</v>
          </cell>
          <cell r="N154">
            <v>412000</v>
          </cell>
          <cell r="O154">
            <v>412000</v>
          </cell>
          <cell r="P154">
            <v>192148</v>
          </cell>
          <cell r="Q154">
            <v>192148</v>
          </cell>
          <cell r="R154">
            <v>0.46637864077669905</v>
          </cell>
          <cell r="S154">
            <v>0.5</v>
          </cell>
          <cell r="T154">
            <v>206000</v>
          </cell>
          <cell r="U154">
            <v>604148</v>
          </cell>
          <cell r="V154">
            <v>618000</v>
          </cell>
          <cell r="W154" t="str">
            <v>input</v>
          </cell>
          <cell r="X154" t="str">
            <v>input</v>
          </cell>
          <cell r="Y154">
            <v>31080</v>
          </cell>
          <cell r="Z154">
            <v>169375</v>
          </cell>
          <cell r="AA154" t="str">
            <v>input</v>
          </cell>
          <cell r="AB154">
            <v>200455</v>
          </cell>
          <cell r="AC154">
            <v>0.4865412621359223</v>
          </cell>
          <cell r="AD154">
            <v>0.7</v>
          </cell>
          <cell r="AE154">
            <v>200455</v>
          </cell>
          <cell r="AF154">
            <v>804603</v>
          </cell>
          <cell r="AG154">
            <v>818455</v>
          </cell>
          <cell r="AH154">
            <v>0</v>
          </cell>
          <cell r="AI154">
            <v>0</v>
          </cell>
          <cell r="AJ154">
            <v>804603</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row>
        <row r="155">
          <cell r="A155" t="str">
            <v>tsx:REF.UN__2013</v>
          </cell>
          <cell r="B155" t="str">
            <v>tsx:REF.UN</v>
          </cell>
          <cell r="C155" t="str">
            <v>Canadian REIT</v>
          </cell>
          <cell r="D155">
            <v>2013</v>
          </cell>
          <cell r="E155">
            <v>12</v>
          </cell>
          <cell r="F155" t="str">
            <v>CAD</v>
          </cell>
          <cell r="G155">
            <v>1</v>
          </cell>
          <cell r="H155" t="str">
            <v>Stephen Johnson</v>
          </cell>
          <cell r="I155" t="str">
            <v>President and CEO</v>
          </cell>
          <cell r="J155">
            <v>0</v>
          </cell>
          <cell r="K155">
            <v>3190.3508000000002</v>
          </cell>
          <cell r="L155">
            <v>5067.7758000000003</v>
          </cell>
          <cell r="M155">
            <v>687500</v>
          </cell>
          <cell r="N155">
            <v>687500</v>
          </cell>
          <cell r="O155">
            <v>687500</v>
          </cell>
          <cell r="P155">
            <v>825000</v>
          </cell>
          <cell r="Q155">
            <v>825000</v>
          </cell>
          <cell r="R155">
            <v>1.2</v>
          </cell>
          <cell r="S155">
            <v>1.1217813000795562</v>
          </cell>
          <cell r="T155">
            <v>771224.64380469488</v>
          </cell>
          <cell r="U155">
            <v>1512500</v>
          </cell>
          <cell r="V155">
            <v>1458724.643804695</v>
          </cell>
          <cell r="W155">
            <v>1486949</v>
          </cell>
          <cell r="X155">
            <v>0</v>
          </cell>
          <cell r="Y155">
            <v>0</v>
          </cell>
          <cell r="Z155">
            <v>0</v>
          </cell>
          <cell r="AA155">
            <v>0</v>
          </cell>
          <cell r="AB155">
            <v>1486949</v>
          </cell>
          <cell r="AC155">
            <v>2.1628349090909089</v>
          </cell>
          <cell r="AD155">
            <v>1.9297764663833921</v>
          </cell>
          <cell r="AE155">
            <v>1486949</v>
          </cell>
          <cell r="AF155">
            <v>2999449</v>
          </cell>
          <cell r="AG155">
            <v>0</v>
          </cell>
          <cell r="AH155">
            <v>16180</v>
          </cell>
          <cell r="AI155">
            <v>33155</v>
          </cell>
          <cell r="AJ155">
            <v>3048784</v>
          </cell>
          <cell r="AK155" t="str">
            <v>***</v>
          </cell>
          <cell r="AL155" t="str">
            <v>***</v>
          </cell>
          <cell r="AM155">
            <v>0</v>
          </cell>
          <cell r="AN155">
            <v>41724</v>
          </cell>
          <cell r="AO155">
            <v>33649</v>
          </cell>
          <cell r="AP155">
            <v>44.19</v>
          </cell>
          <cell r="AR155">
            <v>0</v>
          </cell>
          <cell r="AS155">
            <v>0</v>
          </cell>
          <cell r="AT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row>
        <row r="156">
          <cell r="A156" t="str">
            <v>tsx:REF.UN__2012</v>
          </cell>
          <cell r="B156" t="str">
            <v>tsx:REF.UN</v>
          </cell>
          <cell r="C156" t="str">
            <v>Canadian REIT</v>
          </cell>
          <cell r="D156">
            <v>2012</v>
          </cell>
          <cell r="E156">
            <v>12</v>
          </cell>
          <cell r="F156" t="str">
            <v>CAD</v>
          </cell>
          <cell r="G156">
            <v>1</v>
          </cell>
          <cell r="H156" t="str">
            <v>Stephen Johnson</v>
          </cell>
          <cell r="I156" t="str">
            <v>President and CEO</v>
          </cell>
          <cell r="J156">
            <v>0</v>
          </cell>
          <cell r="K156">
            <v>3190.3508000000002</v>
          </cell>
          <cell r="L156">
            <v>5067.7758000000003</v>
          </cell>
          <cell r="M156">
            <v>670000</v>
          </cell>
          <cell r="N156">
            <v>670000</v>
          </cell>
          <cell r="O156">
            <v>0</v>
          </cell>
          <cell r="P156">
            <v>810000</v>
          </cell>
          <cell r="Q156">
            <v>810000</v>
          </cell>
          <cell r="R156">
            <v>1.208955223880597</v>
          </cell>
          <cell r="S156">
            <v>0</v>
          </cell>
          <cell r="T156">
            <v>0</v>
          </cell>
          <cell r="U156">
            <v>0</v>
          </cell>
          <cell r="V156">
            <v>0</v>
          </cell>
          <cell r="W156">
            <v>1316280</v>
          </cell>
          <cell r="X156">
            <v>0</v>
          </cell>
          <cell r="Y156">
            <v>0</v>
          </cell>
          <cell r="Z156">
            <v>0</v>
          </cell>
          <cell r="AA156">
            <v>0</v>
          </cell>
          <cell r="AB156">
            <v>1316280</v>
          </cell>
          <cell r="AC156">
            <v>1.9645970149253731</v>
          </cell>
          <cell r="AD156">
            <v>0</v>
          </cell>
          <cell r="AE156">
            <v>1316280</v>
          </cell>
          <cell r="AF156">
            <v>2796280</v>
          </cell>
          <cell r="AG156">
            <v>0</v>
          </cell>
          <cell r="AH156">
            <v>15880</v>
          </cell>
          <cell r="AI156">
            <v>31851</v>
          </cell>
          <cell r="AJ156">
            <v>2844011</v>
          </cell>
          <cell r="AK156">
            <v>0</v>
          </cell>
          <cell r="AL156">
            <v>0</v>
          </cell>
          <cell r="AM156">
            <v>0</v>
          </cell>
          <cell r="AN156">
            <v>41333</v>
          </cell>
          <cell r="AO156">
            <v>28000</v>
          </cell>
          <cell r="AP156">
            <v>47.01</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row>
        <row r="157">
          <cell r="A157" t="str">
            <v>tsx:REF.UN__2011</v>
          </cell>
          <cell r="B157" t="str">
            <v>tsx:REF.UN</v>
          </cell>
          <cell r="C157" t="str">
            <v>Canadian REIT</v>
          </cell>
          <cell r="D157">
            <v>2011</v>
          </cell>
          <cell r="E157">
            <v>12</v>
          </cell>
          <cell r="F157" t="str">
            <v>CAD</v>
          </cell>
          <cell r="G157">
            <v>1</v>
          </cell>
          <cell r="H157" t="str">
            <v>Stephen Johnson</v>
          </cell>
          <cell r="I157" t="str">
            <v>President and CEO</v>
          </cell>
          <cell r="J157">
            <v>0</v>
          </cell>
          <cell r="K157">
            <v>3190.3508000000002</v>
          </cell>
          <cell r="L157">
            <v>5067.7758000000003</v>
          </cell>
          <cell r="M157">
            <v>653500</v>
          </cell>
          <cell r="N157">
            <v>653500</v>
          </cell>
          <cell r="O157">
            <v>0</v>
          </cell>
          <cell r="P157">
            <v>625000</v>
          </cell>
          <cell r="Q157">
            <v>625000</v>
          </cell>
          <cell r="R157">
            <v>0.9563886763580719</v>
          </cell>
          <cell r="S157">
            <v>0</v>
          </cell>
          <cell r="T157">
            <v>0</v>
          </cell>
          <cell r="U157">
            <v>0</v>
          </cell>
          <cell r="V157">
            <v>0</v>
          </cell>
          <cell r="W157">
            <v>1086050</v>
          </cell>
          <cell r="X157">
            <v>0</v>
          </cell>
          <cell r="Y157">
            <v>0</v>
          </cell>
          <cell r="Z157">
            <v>0</v>
          </cell>
          <cell r="AA157">
            <v>0</v>
          </cell>
          <cell r="AB157">
            <v>1086050</v>
          </cell>
          <cell r="AC157">
            <v>1.6618974751338944</v>
          </cell>
          <cell r="AD157">
            <v>0</v>
          </cell>
          <cell r="AE157">
            <v>1086050</v>
          </cell>
          <cell r="AF157">
            <v>2364550</v>
          </cell>
          <cell r="AG157">
            <v>0</v>
          </cell>
          <cell r="AH157">
            <v>15313</v>
          </cell>
          <cell r="AI157">
            <v>30572</v>
          </cell>
          <cell r="AJ157">
            <v>2410435</v>
          </cell>
          <cell r="AK157">
            <v>0</v>
          </cell>
          <cell r="AL157">
            <v>0</v>
          </cell>
          <cell r="AM157">
            <v>0</v>
          </cell>
          <cell r="AN157">
            <v>40994</v>
          </cell>
          <cell r="AO157">
            <v>29000</v>
          </cell>
          <cell r="AP157">
            <v>37.450000000000003</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row>
        <row r="158">
          <cell r="A158" t="str">
            <v>tsx:REF.UN_CEO_Target</v>
          </cell>
          <cell r="B158" t="str">
            <v>tsx:REF.UN</v>
          </cell>
          <cell r="C158" t="str">
            <v>Canadian REIT</v>
          </cell>
          <cell r="D158" t="str">
            <v>Target</v>
          </cell>
          <cell r="E158">
            <v>12</v>
          </cell>
          <cell r="F158" t="str">
            <v>CAD</v>
          </cell>
          <cell r="G158">
            <v>1</v>
          </cell>
          <cell r="H158" t="str">
            <v>Stephen Johnson</v>
          </cell>
          <cell r="I158" t="str">
            <v>President and CEO</v>
          </cell>
          <cell r="J158" t="str">
            <v>CEO</v>
          </cell>
          <cell r="K158">
            <v>3190.3508000000002</v>
          </cell>
          <cell r="L158">
            <v>5067.7758000000003</v>
          </cell>
          <cell r="M158">
            <v>687500</v>
          </cell>
          <cell r="N158">
            <v>687500</v>
          </cell>
          <cell r="O158">
            <v>687500</v>
          </cell>
          <cell r="P158">
            <v>825000</v>
          </cell>
          <cell r="Q158">
            <v>825000</v>
          </cell>
          <cell r="R158">
            <v>1.2</v>
          </cell>
          <cell r="S158">
            <v>1.1217813000795562</v>
          </cell>
          <cell r="T158">
            <v>771224.64380469488</v>
          </cell>
          <cell r="U158">
            <v>1512500</v>
          </cell>
          <cell r="V158">
            <v>1458724.643804695</v>
          </cell>
          <cell r="W158">
            <v>1296426.3333333333</v>
          </cell>
          <cell r="X158" t="str">
            <v>input</v>
          </cell>
          <cell r="Y158" t="str">
            <v>input</v>
          </cell>
          <cell r="Z158" t="str">
            <v>input</v>
          </cell>
          <cell r="AA158" t="str">
            <v>input</v>
          </cell>
          <cell r="AB158">
            <v>1486949</v>
          </cell>
          <cell r="AC158">
            <v>1.9297764663833921</v>
          </cell>
          <cell r="AD158">
            <v>1.9297764663833921</v>
          </cell>
          <cell r="AE158">
            <v>1326721.3206385821</v>
          </cell>
          <cell r="AF158">
            <v>2999449</v>
          </cell>
          <cell r="AG158">
            <v>2785445.9644432771</v>
          </cell>
          <cell r="AH158">
            <v>16180</v>
          </cell>
          <cell r="AI158">
            <v>0</v>
          </cell>
          <cell r="AJ158">
            <v>3015629</v>
          </cell>
          <cell r="AK158" t="str">
            <v>***</v>
          </cell>
          <cell r="AL158" t="str">
            <v>***</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row>
        <row r="159">
          <cell r="A159" t="str">
            <v>tsx:REF.UN_CEO_Target</v>
          </cell>
          <cell r="B159" t="str">
            <v>tsx:REF.UN</v>
          </cell>
          <cell r="C159" t="str">
            <v>Canadian REIT</v>
          </cell>
          <cell r="D159" t="str">
            <v>Target</v>
          </cell>
          <cell r="E159">
            <v>12</v>
          </cell>
          <cell r="F159" t="str">
            <v>CAD</v>
          </cell>
          <cell r="G159">
            <v>1</v>
          </cell>
          <cell r="H159" t="str">
            <v>Stephen Johnson</v>
          </cell>
          <cell r="I159" t="str">
            <v>President and CEO</v>
          </cell>
          <cell r="J159" t="str">
            <v>CEO</v>
          </cell>
          <cell r="K159">
            <v>3190.3508000000002</v>
          </cell>
          <cell r="L159">
            <v>5067.7758000000003</v>
          </cell>
          <cell r="M159">
            <v>687500</v>
          </cell>
          <cell r="N159">
            <v>687500</v>
          </cell>
          <cell r="O159">
            <v>687500</v>
          </cell>
          <cell r="P159">
            <v>825000</v>
          </cell>
          <cell r="Q159">
            <v>825000</v>
          </cell>
          <cell r="R159">
            <v>1.2</v>
          </cell>
          <cell r="S159">
            <v>1.1217813000795562</v>
          </cell>
          <cell r="T159">
            <v>771224.64380469488</v>
          </cell>
          <cell r="U159">
            <v>1512500</v>
          </cell>
          <cell r="V159">
            <v>1458724.643804695</v>
          </cell>
          <cell r="W159">
            <v>1296426.3333333333</v>
          </cell>
          <cell r="X159" t="str">
            <v>input</v>
          </cell>
          <cell r="Y159" t="str">
            <v>input</v>
          </cell>
          <cell r="Z159" t="str">
            <v>input</v>
          </cell>
          <cell r="AA159" t="str">
            <v>input</v>
          </cell>
          <cell r="AB159">
            <v>1486949</v>
          </cell>
          <cell r="AC159">
            <v>1.9297764663833921</v>
          </cell>
          <cell r="AD159">
            <v>1.9297764663833921</v>
          </cell>
          <cell r="AE159">
            <v>1326721.3206385821</v>
          </cell>
          <cell r="AF159">
            <v>2999449</v>
          </cell>
          <cell r="AG159">
            <v>2785445.9644432771</v>
          </cell>
          <cell r="AH159">
            <v>16180</v>
          </cell>
          <cell r="AI159">
            <v>0</v>
          </cell>
          <cell r="AJ159">
            <v>3015629</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row>
        <row r="160">
          <cell r="A160" t="str">
            <v>tsx:REF.UN__2013</v>
          </cell>
          <cell r="B160" t="str">
            <v>tsx:REF.UN</v>
          </cell>
          <cell r="C160" t="str">
            <v>Canadian REIT</v>
          </cell>
          <cell r="D160">
            <v>2013</v>
          </cell>
          <cell r="E160">
            <v>12</v>
          </cell>
          <cell r="F160" t="str">
            <v>CAD</v>
          </cell>
          <cell r="G160">
            <v>1</v>
          </cell>
          <cell r="H160" t="str">
            <v>Rael Diamond</v>
          </cell>
          <cell r="I160" t="str">
            <v>EVP, Investment and Leasing</v>
          </cell>
          <cell r="J160">
            <v>0</v>
          </cell>
          <cell r="K160">
            <v>3190.3508000000002</v>
          </cell>
          <cell r="L160">
            <v>5067.7758000000003</v>
          </cell>
          <cell r="M160">
            <v>400000</v>
          </cell>
          <cell r="N160">
            <v>400000</v>
          </cell>
          <cell r="O160">
            <v>400000</v>
          </cell>
          <cell r="P160">
            <v>294000</v>
          </cell>
          <cell r="Q160">
            <v>294000</v>
          </cell>
          <cell r="R160">
            <v>0.73499999999999999</v>
          </cell>
          <cell r="S160">
            <v>0.77168307692307692</v>
          </cell>
          <cell r="T160">
            <v>308673.23076923075</v>
          </cell>
          <cell r="U160">
            <v>694000</v>
          </cell>
          <cell r="V160">
            <v>708673.23076923075</v>
          </cell>
          <cell r="W160">
            <v>599791</v>
          </cell>
          <cell r="X160">
            <v>0</v>
          </cell>
          <cell r="Y160">
            <v>0</v>
          </cell>
          <cell r="Z160">
            <v>0</v>
          </cell>
          <cell r="AA160">
            <v>0</v>
          </cell>
          <cell r="AB160">
            <v>599791</v>
          </cell>
          <cell r="AC160">
            <v>1.4994775</v>
          </cell>
          <cell r="AD160">
            <v>1.5186292521367522</v>
          </cell>
          <cell r="AE160">
            <v>599791</v>
          </cell>
          <cell r="AF160">
            <v>1293791</v>
          </cell>
          <cell r="AG160">
            <v>0</v>
          </cell>
          <cell r="AH160">
            <v>16000</v>
          </cell>
          <cell r="AI160">
            <v>16355</v>
          </cell>
          <cell r="AJ160">
            <v>1326146</v>
          </cell>
          <cell r="AK160" t="str">
            <v>***</v>
          </cell>
          <cell r="AL160" t="str">
            <v>***</v>
          </cell>
          <cell r="AM160">
            <v>0</v>
          </cell>
          <cell r="AN160">
            <v>41724</v>
          </cell>
          <cell r="AO160">
            <v>11876</v>
          </cell>
          <cell r="AP160">
            <v>44.19</v>
          </cell>
          <cell r="AR160">
            <v>0</v>
          </cell>
          <cell r="AS160">
            <v>0</v>
          </cell>
          <cell r="AT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row>
        <row r="161">
          <cell r="A161" t="str">
            <v>tsx:REF.UN__2012</v>
          </cell>
          <cell r="B161" t="str">
            <v>tsx:REF.UN</v>
          </cell>
          <cell r="C161" t="str">
            <v>Canadian REIT</v>
          </cell>
          <cell r="D161">
            <v>2012</v>
          </cell>
          <cell r="E161">
            <v>12</v>
          </cell>
          <cell r="F161" t="str">
            <v>CAD</v>
          </cell>
          <cell r="G161">
            <v>1</v>
          </cell>
          <cell r="H161" t="str">
            <v>Rael Diamond</v>
          </cell>
          <cell r="I161" t="str">
            <v>EVP, Investment and Leasing</v>
          </cell>
          <cell r="J161">
            <v>0</v>
          </cell>
          <cell r="K161">
            <v>3190.3508000000002</v>
          </cell>
          <cell r="L161">
            <v>5067.7758000000003</v>
          </cell>
          <cell r="M161">
            <v>375000</v>
          </cell>
          <cell r="N161">
            <v>325000</v>
          </cell>
          <cell r="O161">
            <v>0</v>
          </cell>
          <cell r="P161">
            <v>262719</v>
          </cell>
          <cell r="Q161">
            <v>262719</v>
          </cell>
          <cell r="R161">
            <v>0.80836615384615385</v>
          </cell>
          <cell r="S161">
            <v>0</v>
          </cell>
          <cell r="T161">
            <v>0</v>
          </cell>
          <cell r="U161">
            <v>0</v>
          </cell>
          <cell r="V161">
            <v>0</v>
          </cell>
          <cell r="W161">
            <v>587625</v>
          </cell>
          <cell r="X161">
            <v>0</v>
          </cell>
          <cell r="Y161">
            <v>0</v>
          </cell>
          <cell r="Z161">
            <v>0</v>
          </cell>
          <cell r="AA161">
            <v>0</v>
          </cell>
          <cell r="AB161">
            <v>587625</v>
          </cell>
          <cell r="AC161">
            <v>1.8080769230769231</v>
          </cell>
          <cell r="AD161">
            <v>0</v>
          </cell>
          <cell r="AE161">
            <v>587625</v>
          </cell>
          <cell r="AF161">
            <v>1175344</v>
          </cell>
          <cell r="AG161">
            <v>0</v>
          </cell>
          <cell r="AH161">
            <v>15000</v>
          </cell>
          <cell r="AI161">
            <v>10251</v>
          </cell>
          <cell r="AJ161">
            <v>1200595</v>
          </cell>
          <cell r="AK161">
            <v>0</v>
          </cell>
          <cell r="AL161">
            <v>0</v>
          </cell>
          <cell r="AM161">
            <v>0</v>
          </cell>
          <cell r="AN161">
            <v>41333</v>
          </cell>
          <cell r="AO161">
            <v>29300</v>
          </cell>
          <cell r="AP161">
            <v>47.01</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row>
        <row r="162">
          <cell r="A162" t="str">
            <v>tsx:REF.UN__2011</v>
          </cell>
          <cell r="B162" t="str">
            <v>tsx:REF.UN</v>
          </cell>
          <cell r="C162" t="str">
            <v>Canadian REIT</v>
          </cell>
          <cell r="D162">
            <v>2011</v>
          </cell>
          <cell r="E162">
            <v>12</v>
          </cell>
          <cell r="F162" t="str">
            <v>CAD</v>
          </cell>
          <cell r="G162">
            <v>1</v>
          </cell>
          <cell r="H162">
            <v>0</v>
          </cell>
          <cell r="I162">
            <v>0</v>
          </cell>
          <cell r="J162">
            <v>0</v>
          </cell>
          <cell r="K162">
            <v>3190.3508000000002</v>
          </cell>
          <cell r="L162">
            <v>5067.7758000000003</v>
          </cell>
          <cell r="M162">
            <v>300000</v>
          </cell>
          <cell r="N162">
            <v>300000</v>
          </cell>
          <cell r="O162">
            <v>0</v>
          </cell>
          <cell r="P162">
            <v>208125</v>
          </cell>
          <cell r="Q162">
            <v>208125</v>
          </cell>
          <cell r="R162">
            <v>0.69374999999999998</v>
          </cell>
          <cell r="S162">
            <v>0</v>
          </cell>
          <cell r="T162">
            <v>0</v>
          </cell>
          <cell r="U162">
            <v>0</v>
          </cell>
          <cell r="V162">
            <v>0</v>
          </cell>
          <cell r="W162">
            <v>374500</v>
          </cell>
          <cell r="X162">
            <v>0</v>
          </cell>
          <cell r="Y162">
            <v>0</v>
          </cell>
          <cell r="Z162">
            <v>0</v>
          </cell>
          <cell r="AA162">
            <v>0</v>
          </cell>
          <cell r="AB162">
            <v>374500</v>
          </cell>
          <cell r="AC162">
            <v>1.2483333333333333</v>
          </cell>
          <cell r="AD162">
            <v>0</v>
          </cell>
          <cell r="AE162">
            <v>374500</v>
          </cell>
          <cell r="AF162">
            <v>882625</v>
          </cell>
          <cell r="AG162">
            <v>0</v>
          </cell>
          <cell r="AH162">
            <v>12000</v>
          </cell>
          <cell r="AI162">
            <v>4172</v>
          </cell>
          <cell r="AJ162">
            <v>898797</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row>
        <row r="163">
          <cell r="A163" t="str">
            <v>tsx:REF.UN_EVP, Investment and Leasing_Target</v>
          </cell>
          <cell r="B163" t="str">
            <v>tsx:REF.UN</v>
          </cell>
          <cell r="C163" t="str">
            <v>Canadian REIT</v>
          </cell>
          <cell r="D163" t="str">
            <v>Target</v>
          </cell>
          <cell r="E163">
            <v>12</v>
          </cell>
          <cell r="F163" t="str">
            <v>CAD</v>
          </cell>
          <cell r="G163">
            <v>1</v>
          </cell>
          <cell r="H163" t="str">
            <v>Rael Diamond</v>
          </cell>
          <cell r="I163" t="str">
            <v>EVP, Investment and Leasing</v>
          </cell>
          <cell r="J163" t="str">
            <v>EVP, Investment and Leasing</v>
          </cell>
          <cell r="K163">
            <v>3190.3508000000002</v>
          </cell>
          <cell r="L163">
            <v>5067.7758000000003</v>
          </cell>
          <cell r="M163">
            <v>400000</v>
          </cell>
          <cell r="N163">
            <v>400000</v>
          </cell>
          <cell r="O163">
            <v>400000</v>
          </cell>
          <cell r="P163">
            <v>294000</v>
          </cell>
          <cell r="Q163">
            <v>294000</v>
          </cell>
          <cell r="R163">
            <v>0.73499999999999999</v>
          </cell>
          <cell r="S163">
            <v>0.77168307692307692</v>
          </cell>
          <cell r="T163">
            <v>308673.23076923075</v>
          </cell>
          <cell r="U163">
            <v>694000</v>
          </cell>
          <cell r="V163">
            <v>708673.23076923075</v>
          </cell>
          <cell r="W163">
            <v>520638.66666666669</v>
          </cell>
          <cell r="X163" t="str">
            <v>input</v>
          </cell>
          <cell r="Y163" t="str">
            <v>input</v>
          </cell>
          <cell r="Z163" t="str">
            <v>input</v>
          </cell>
          <cell r="AA163" t="str">
            <v>input</v>
          </cell>
          <cell r="AB163">
            <v>599791</v>
          </cell>
          <cell r="AC163">
            <v>1.5186292521367522</v>
          </cell>
          <cell r="AD163">
            <v>1.5186292521367522</v>
          </cell>
          <cell r="AE163">
            <v>607451.70085470087</v>
          </cell>
          <cell r="AF163">
            <v>1293791</v>
          </cell>
          <cell r="AG163">
            <v>1316124.9316239315</v>
          </cell>
          <cell r="AH163">
            <v>16000</v>
          </cell>
          <cell r="AI163">
            <v>0</v>
          </cell>
          <cell r="AJ163">
            <v>1309791</v>
          </cell>
          <cell r="AK163" t="str">
            <v>***</v>
          </cell>
          <cell r="AL163" t="str">
            <v>***</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row>
        <row r="164">
          <cell r="A164" t="str">
            <v>tsx:REF.UN_EVP, Investment and Leasing_Target</v>
          </cell>
          <cell r="B164" t="str">
            <v>tsx:REF.UN</v>
          </cell>
          <cell r="C164" t="str">
            <v>Canadian REIT</v>
          </cell>
          <cell r="D164" t="str">
            <v>Target</v>
          </cell>
          <cell r="E164">
            <v>12</v>
          </cell>
          <cell r="F164" t="str">
            <v>CAD</v>
          </cell>
          <cell r="G164">
            <v>1</v>
          </cell>
          <cell r="H164" t="str">
            <v>Rael Diamond</v>
          </cell>
          <cell r="I164" t="str">
            <v>EVP, Investment and Leasing</v>
          </cell>
          <cell r="J164" t="str">
            <v>EVP, Investment and Leasing</v>
          </cell>
          <cell r="K164">
            <v>3190.3508000000002</v>
          </cell>
          <cell r="L164">
            <v>5067.7758000000003</v>
          </cell>
          <cell r="M164">
            <v>400000</v>
          </cell>
          <cell r="N164">
            <v>400000</v>
          </cell>
          <cell r="O164">
            <v>400000</v>
          </cell>
          <cell r="P164">
            <v>294000</v>
          </cell>
          <cell r="Q164">
            <v>294000</v>
          </cell>
          <cell r="R164">
            <v>0.73499999999999999</v>
          </cell>
          <cell r="S164">
            <v>0.77168307692307692</v>
          </cell>
          <cell r="T164">
            <v>308673.23076923075</v>
          </cell>
          <cell r="U164">
            <v>694000</v>
          </cell>
          <cell r="V164">
            <v>708673.23076923075</v>
          </cell>
          <cell r="W164">
            <v>520638.66666666669</v>
          </cell>
          <cell r="X164" t="str">
            <v>input</v>
          </cell>
          <cell r="Y164" t="str">
            <v>input</v>
          </cell>
          <cell r="Z164" t="str">
            <v>input</v>
          </cell>
          <cell r="AA164" t="str">
            <v>input</v>
          </cell>
          <cell r="AB164">
            <v>599791</v>
          </cell>
          <cell r="AC164">
            <v>1.5186292521367522</v>
          </cell>
          <cell r="AD164">
            <v>1.5186292521367522</v>
          </cell>
          <cell r="AE164">
            <v>607451.70085470087</v>
          </cell>
          <cell r="AF164">
            <v>1293791</v>
          </cell>
          <cell r="AG164">
            <v>1316124.9316239315</v>
          </cell>
          <cell r="AH164">
            <v>16000</v>
          </cell>
          <cell r="AI164">
            <v>0</v>
          </cell>
          <cell r="AJ164">
            <v>1309791</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row>
        <row r="165">
          <cell r="A165" t="str">
            <v>tsx:CRT.UN__2013</v>
          </cell>
          <cell r="B165" t="str">
            <v>tsx:CRT.UN</v>
          </cell>
          <cell r="C165" t="str">
            <v>CT Real Estate Investment Trust (REIT)</v>
          </cell>
          <cell r="D165">
            <v>2013</v>
          </cell>
          <cell r="E165">
            <v>12</v>
          </cell>
          <cell r="F165" t="str">
            <v>CAD</v>
          </cell>
          <cell r="G165">
            <v>1</v>
          </cell>
          <cell r="H165" t="str">
            <v>Ken Silver</v>
          </cell>
          <cell r="I165" t="str">
            <v>CEO</v>
          </cell>
          <cell r="J165">
            <v>0</v>
          </cell>
          <cell r="K165">
            <v>2030.1998000000001</v>
          </cell>
          <cell r="L165">
            <v>4760.7608</v>
          </cell>
          <cell r="M165">
            <v>94231</v>
          </cell>
          <cell r="N165">
            <v>94231</v>
          </cell>
          <cell r="O165">
            <v>94231</v>
          </cell>
          <cell r="P165">
            <v>74712</v>
          </cell>
          <cell r="Q165">
            <v>74712</v>
          </cell>
          <cell r="R165">
            <v>0.79286009911812461</v>
          </cell>
          <cell r="S165">
            <v>0.7</v>
          </cell>
          <cell r="T165">
            <v>65961.7</v>
          </cell>
          <cell r="U165">
            <v>168943</v>
          </cell>
          <cell r="V165">
            <v>160192.69999999998</v>
          </cell>
          <cell r="W165">
            <v>0</v>
          </cell>
          <cell r="X165">
            <v>0</v>
          </cell>
          <cell r="Y165">
            <v>0</v>
          </cell>
          <cell r="Z165">
            <v>0</v>
          </cell>
          <cell r="AA165">
            <v>0</v>
          </cell>
          <cell r="AB165">
            <v>0</v>
          </cell>
          <cell r="AC165">
            <v>0</v>
          </cell>
          <cell r="AD165">
            <v>0.85</v>
          </cell>
          <cell r="AE165">
            <v>0</v>
          </cell>
          <cell r="AF165">
            <v>168943</v>
          </cell>
          <cell r="AG165">
            <v>0</v>
          </cell>
          <cell r="AH165">
            <v>0</v>
          </cell>
          <cell r="AI165">
            <v>250000</v>
          </cell>
          <cell r="AJ165">
            <v>418943</v>
          </cell>
          <cell r="AK165" t="str">
            <v>targets disclosed</v>
          </cell>
          <cell r="AL165" t="str">
            <v>targets disclosed</v>
          </cell>
          <cell r="AM165" t="str">
            <v>Received a special RU grant of $250,000 for establishing CT REIT</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row>
        <row r="166">
          <cell r="A166" t="str">
            <v>tsx:CRT.UN__2012</v>
          </cell>
          <cell r="B166" t="str">
            <v>tsx:CRT.UN</v>
          </cell>
          <cell r="C166" t="str">
            <v>CT Real Estate Investment Trust (REIT)</v>
          </cell>
          <cell r="D166">
            <v>2012</v>
          </cell>
          <cell r="E166">
            <v>12</v>
          </cell>
          <cell r="F166" t="str">
            <v>CAD</v>
          </cell>
          <cell r="G166">
            <v>1</v>
          </cell>
          <cell r="H166">
            <v>0</v>
          </cell>
          <cell r="I166">
            <v>0</v>
          </cell>
          <cell r="J166">
            <v>0</v>
          </cell>
          <cell r="K166">
            <v>2030.1998000000001</v>
          </cell>
          <cell r="L166">
            <v>4760.7608</v>
          </cell>
          <cell r="M166">
            <v>0</v>
          </cell>
          <cell r="N166">
            <v>0</v>
          </cell>
          <cell r="O166">
            <v>0</v>
          </cell>
          <cell r="P166">
            <v>0</v>
          </cell>
          <cell r="Q166">
            <v>0</v>
          </cell>
          <cell r="R166" t="str">
            <v>input</v>
          </cell>
          <cell r="S166">
            <v>0</v>
          </cell>
          <cell r="T166">
            <v>0</v>
          </cell>
          <cell r="U166">
            <v>0</v>
          </cell>
          <cell r="V166">
            <v>0</v>
          </cell>
          <cell r="W166">
            <v>0</v>
          </cell>
          <cell r="X166">
            <v>0</v>
          </cell>
          <cell r="Y166">
            <v>0</v>
          </cell>
          <cell r="Z166">
            <v>0</v>
          </cell>
          <cell r="AA166">
            <v>0</v>
          </cell>
          <cell r="AB166">
            <v>0</v>
          </cell>
          <cell r="AC166" t="str">
            <v>input</v>
          </cell>
          <cell r="AD166">
            <v>0</v>
          </cell>
          <cell r="AE166">
            <v>0</v>
          </cell>
          <cell r="AF166">
            <v>0</v>
          </cell>
          <cell r="AG166">
            <v>0</v>
          </cell>
          <cell r="AH166">
            <v>0</v>
          </cell>
          <cell r="AI166">
            <v>0</v>
          </cell>
          <cell r="AJ166">
            <v>0</v>
          </cell>
          <cell r="AK166">
            <v>0</v>
          </cell>
          <cell r="AL166">
            <v>0</v>
          </cell>
          <cell r="AM166" t="str">
            <v>External property management</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row>
        <row r="167">
          <cell r="A167" t="str">
            <v>tsx:CRT.UN__2011</v>
          </cell>
          <cell r="B167" t="str">
            <v>tsx:CRT.UN</v>
          </cell>
          <cell r="C167" t="str">
            <v>CT Real Estate Investment Trust (REIT)</v>
          </cell>
          <cell r="D167">
            <v>2011</v>
          </cell>
          <cell r="E167">
            <v>12</v>
          </cell>
          <cell r="F167" t="str">
            <v>CAD</v>
          </cell>
          <cell r="G167">
            <v>1</v>
          </cell>
          <cell r="H167">
            <v>0</v>
          </cell>
          <cell r="I167">
            <v>0</v>
          </cell>
          <cell r="J167">
            <v>0</v>
          </cell>
          <cell r="K167">
            <v>2030.1998000000001</v>
          </cell>
          <cell r="L167">
            <v>4760.7608</v>
          </cell>
          <cell r="M167">
            <v>0</v>
          </cell>
          <cell r="N167">
            <v>0</v>
          </cell>
          <cell r="O167">
            <v>0</v>
          </cell>
          <cell r="P167">
            <v>0</v>
          </cell>
          <cell r="Q167">
            <v>0</v>
          </cell>
          <cell r="R167" t="str">
            <v>input</v>
          </cell>
          <cell r="S167">
            <v>0</v>
          </cell>
          <cell r="T167">
            <v>0</v>
          </cell>
          <cell r="U167">
            <v>0</v>
          </cell>
          <cell r="V167">
            <v>0</v>
          </cell>
          <cell r="W167">
            <v>0</v>
          </cell>
          <cell r="X167">
            <v>0</v>
          </cell>
          <cell r="Y167">
            <v>0</v>
          </cell>
          <cell r="Z167">
            <v>0</v>
          </cell>
          <cell r="AA167">
            <v>0</v>
          </cell>
          <cell r="AB167">
            <v>0</v>
          </cell>
          <cell r="AC167" t="str">
            <v>input</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row>
        <row r="168">
          <cell r="A168" t="str">
            <v>tsx:CRT.UN_CEO_Target</v>
          </cell>
          <cell r="B168" t="str">
            <v>tsx:CRT.UN</v>
          </cell>
          <cell r="C168" t="str">
            <v>CT Real Estate Investment Trust (REIT)</v>
          </cell>
          <cell r="D168" t="str">
            <v>Target</v>
          </cell>
          <cell r="E168">
            <v>12</v>
          </cell>
          <cell r="F168" t="str">
            <v>CAD</v>
          </cell>
          <cell r="G168">
            <v>1</v>
          </cell>
          <cell r="H168" t="str">
            <v>Ken Silver</v>
          </cell>
          <cell r="I168" t="str">
            <v>CEO</v>
          </cell>
          <cell r="J168" t="str">
            <v>CEO</v>
          </cell>
          <cell r="K168">
            <v>2030.1998000000001</v>
          </cell>
          <cell r="L168">
            <v>4760.7608</v>
          </cell>
          <cell r="M168">
            <v>94231</v>
          </cell>
          <cell r="N168">
            <v>94231</v>
          </cell>
          <cell r="O168">
            <v>94231</v>
          </cell>
          <cell r="P168">
            <v>74712</v>
          </cell>
          <cell r="Q168">
            <v>74712</v>
          </cell>
          <cell r="R168">
            <v>0.79286009911812461</v>
          </cell>
          <cell r="S168">
            <v>0.7</v>
          </cell>
          <cell r="T168">
            <v>65961.7</v>
          </cell>
          <cell r="U168">
            <v>168943</v>
          </cell>
          <cell r="V168">
            <v>160192.69999999998</v>
          </cell>
          <cell r="W168" t="str">
            <v>input</v>
          </cell>
          <cell r="X168" t="str">
            <v>input</v>
          </cell>
          <cell r="Y168" t="str">
            <v>input</v>
          </cell>
          <cell r="Z168" t="str">
            <v>input</v>
          </cell>
          <cell r="AA168" t="str">
            <v>input</v>
          </cell>
          <cell r="AB168">
            <v>0</v>
          </cell>
          <cell r="AC168">
            <v>0</v>
          </cell>
          <cell r="AD168">
            <v>0.85</v>
          </cell>
          <cell r="AE168">
            <v>0</v>
          </cell>
          <cell r="AF168">
            <v>168943</v>
          </cell>
          <cell r="AG168">
            <v>160192.70000000001</v>
          </cell>
          <cell r="AH168">
            <v>0</v>
          </cell>
          <cell r="AI168">
            <v>0</v>
          </cell>
          <cell r="AJ168">
            <v>168943</v>
          </cell>
          <cell r="AK168" t="str">
            <v>targets disclosed</v>
          </cell>
          <cell r="AL168" t="str">
            <v>targets disclosed</v>
          </cell>
          <cell r="AM168" t="str">
            <v>Received a special RU grant of $250,000 for establishing CT REIT</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row>
        <row r="169">
          <cell r="A169" t="str">
            <v>tsx:CRT.UN_CEO_Target</v>
          </cell>
          <cell r="B169" t="str">
            <v>tsx:CRT.UN</v>
          </cell>
          <cell r="C169" t="str">
            <v>CT Real Estate Investment Trust (REIT)</v>
          </cell>
          <cell r="D169" t="str">
            <v>Target</v>
          </cell>
          <cell r="E169">
            <v>12</v>
          </cell>
          <cell r="F169" t="str">
            <v>CAD</v>
          </cell>
          <cell r="G169">
            <v>1</v>
          </cell>
          <cell r="H169" t="str">
            <v>Ken Silver</v>
          </cell>
          <cell r="I169" t="str">
            <v>CEO</v>
          </cell>
          <cell r="J169" t="str">
            <v>CEO</v>
          </cell>
          <cell r="K169">
            <v>2030.1998000000001</v>
          </cell>
          <cell r="L169">
            <v>4760.7608</v>
          </cell>
          <cell r="M169">
            <v>94231</v>
          </cell>
          <cell r="N169">
            <v>94231</v>
          </cell>
          <cell r="O169">
            <v>94231</v>
          </cell>
          <cell r="P169">
            <v>74712</v>
          </cell>
          <cell r="Q169">
            <v>74712</v>
          </cell>
          <cell r="R169">
            <v>0.79286009911812461</v>
          </cell>
          <cell r="S169">
            <v>0.7</v>
          </cell>
          <cell r="T169">
            <v>65961.7</v>
          </cell>
          <cell r="U169">
            <v>168943</v>
          </cell>
          <cell r="V169">
            <v>160192.69999999998</v>
          </cell>
          <cell r="W169" t="str">
            <v>input</v>
          </cell>
          <cell r="X169" t="str">
            <v>input</v>
          </cell>
          <cell r="Y169" t="str">
            <v>input</v>
          </cell>
          <cell r="Z169" t="str">
            <v>input</v>
          </cell>
          <cell r="AA169" t="str">
            <v>input</v>
          </cell>
          <cell r="AB169">
            <v>0</v>
          </cell>
          <cell r="AC169">
            <v>0</v>
          </cell>
          <cell r="AD169">
            <v>0.85</v>
          </cell>
          <cell r="AE169">
            <v>0</v>
          </cell>
          <cell r="AF169">
            <v>168943</v>
          </cell>
          <cell r="AG169">
            <v>160192.70000000001</v>
          </cell>
          <cell r="AH169">
            <v>0</v>
          </cell>
          <cell r="AI169">
            <v>0</v>
          </cell>
          <cell r="AJ169">
            <v>168943</v>
          </cell>
          <cell r="AK169">
            <v>0</v>
          </cell>
          <cell r="AL169">
            <v>0</v>
          </cell>
          <cell r="AM169" t="str">
            <v>Received a special RU grant of $250,000 for establishing CT REIT</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row>
        <row r="170">
          <cell r="A170" t="str">
            <v>tsx:CRT.UN__2013</v>
          </cell>
          <cell r="B170" t="str">
            <v>tsx:CRT.UN</v>
          </cell>
          <cell r="C170" t="str">
            <v>CT Real Estate Investment Trust (REIT)</v>
          </cell>
          <cell r="D170">
            <v>2013</v>
          </cell>
          <cell r="E170">
            <v>12</v>
          </cell>
          <cell r="F170" t="str">
            <v>CAD</v>
          </cell>
          <cell r="G170">
            <v>1</v>
          </cell>
          <cell r="H170" t="str">
            <v>Louis Forbes</v>
          </cell>
          <cell r="I170" t="str">
            <v>CFO</v>
          </cell>
          <cell r="J170">
            <v>0</v>
          </cell>
          <cell r="K170">
            <v>2030.1998000000001</v>
          </cell>
          <cell r="L170">
            <v>4760.7608</v>
          </cell>
          <cell r="M170">
            <v>70673</v>
          </cell>
          <cell r="N170">
            <v>70673</v>
          </cell>
          <cell r="O170">
            <v>70673</v>
          </cell>
          <cell r="P170">
            <v>48029</v>
          </cell>
          <cell r="Q170">
            <v>48029</v>
          </cell>
          <cell r="R170">
            <v>0.67959475330041175</v>
          </cell>
          <cell r="S170">
            <v>0.6</v>
          </cell>
          <cell r="T170">
            <v>42403.799999999996</v>
          </cell>
          <cell r="U170">
            <v>118702</v>
          </cell>
          <cell r="V170">
            <v>113076.8</v>
          </cell>
          <cell r="W170">
            <v>0</v>
          </cell>
          <cell r="X170">
            <v>0</v>
          </cell>
          <cell r="Y170">
            <v>0</v>
          </cell>
          <cell r="Z170">
            <v>0</v>
          </cell>
          <cell r="AA170">
            <v>0</v>
          </cell>
          <cell r="AB170">
            <v>0</v>
          </cell>
          <cell r="AC170">
            <v>0</v>
          </cell>
          <cell r="AD170">
            <v>0.55000000000000004</v>
          </cell>
          <cell r="AE170">
            <v>0</v>
          </cell>
          <cell r="AF170">
            <v>118702</v>
          </cell>
          <cell r="AG170">
            <v>0</v>
          </cell>
          <cell r="AH170">
            <v>0</v>
          </cell>
          <cell r="AI170">
            <v>0</v>
          </cell>
          <cell r="AJ170">
            <v>118702</v>
          </cell>
          <cell r="AK170" t="str">
            <v>targets disclosed</v>
          </cell>
          <cell r="AL170" t="str">
            <v>targets disclosed</v>
          </cell>
          <cell r="AM170">
            <v>0</v>
          </cell>
          <cell r="AO170">
            <v>0</v>
          </cell>
          <cell r="AP170">
            <v>0</v>
          </cell>
          <cell r="AR170">
            <v>0</v>
          </cell>
          <cell r="AS170">
            <v>0</v>
          </cell>
          <cell r="AT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row>
        <row r="171">
          <cell r="A171" t="str">
            <v>tsx:CRT.UN__2012</v>
          </cell>
          <cell r="B171" t="str">
            <v>tsx:CRT.UN</v>
          </cell>
          <cell r="C171" t="str">
            <v>CT Real Estate Investment Trust (REIT)</v>
          </cell>
          <cell r="D171">
            <v>2012</v>
          </cell>
          <cell r="E171">
            <v>12</v>
          </cell>
          <cell r="F171" t="str">
            <v>CAD</v>
          </cell>
          <cell r="G171">
            <v>1</v>
          </cell>
          <cell r="H171">
            <v>0</v>
          </cell>
          <cell r="I171">
            <v>0</v>
          </cell>
          <cell r="J171">
            <v>0</v>
          </cell>
          <cell r="K171">
            <v>2030.1998000000001</v>
          </cell>
          <cell r="L171">
            <v>4760.7608</v>
          </cell>
          <cell r="M171">
            <v>0</v>
          </cell>
          <cell r="N171">
            <v>0</v>
          </cell>
          <cell r="O171">
            <v>0</v>
          </cell>
          <cell r="P171">
            <v>0</v>
          </cell>
          <cell r="Q171">
            <v>0</v>
          </cell>
          <cell r="R171" t="str">
            <v>input</v>
          </cell>
          <cell r="S171">
            <v>0</v>
          </cell>
          <cell r="T171">
            <v>0</v>
          </cell>
          <cell r="U171">
            <v>0</v>
          </cell>
          <cell r="V171">
            <v>0</v>
          </cell>
          <cell r="W171">
            <v>0</v>
          </cell>
          <cell r="X171">
            <v>0</v>
          </cell>
          <cell r="Y171">
            <v>0</v>
          </cell>
          <cell r="Z171">
            <v>0</v>
          </cell>
          <cell r="AA171">
            <v>0</v>
          </cell>
          <cell r="AB171">
            <v>0</v>
          </cell>
          <cell r="AC171" t="str">
            <v>input</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row>
        <row r="172">
          <cell r="A172" t="str">
            <v>tsx:CRT.UN__2011</v>
          </cell>
          <cell r="B172" t="str">
            <v>tsx:CRT.UN</v>
          </cell>
          <cell r="C172" t="str">
            <v>CT Real Estate Investment Trust (REIT)</v>
          </cell>
          <cell r="D172">
            <v>2011</v>
          </cell>
          <cell r="E172">
            <v>12</v>
          </cell>
          <cell r="F172" t="str">
            <v>CAD</v>
          </cell>
          <cell r="G172">
            <v>1</v>
          </cell>
          <cell r="H172">
            <v>0</v>
          </cell>
          <cell r="I172">
            <v>0</v>
          </cell>
          <cell r="J172">
            <v>0</v>
          </cell>
          <cell r="K172">
            <v>2030.1998000000001</v>
          </cell>
          <cell r="L172">
            <v>4760.7608</v>
          </cell>
          <cell r="M172">
            <v>0</v>
          </cell>
          <cell r="N172">
            <v>0</v>
          </cell>
          <cell r="O172">
            <v>0</v>
          </cell>
          <cell r="P172">
            <v>0</v>
          </cell>
          <cell r="Q172">
            <v>0</v>
          </cell>
          <cell r="R172" t="str">
            <v>input</v>
          </cell>
          <cell r="S172">
            <v>0</v>
          </cell>
          <cell r="T172">
            <v>0</v>
          </cell>
          <cell r="U172">
            <v>0</v>
          </cell>
          <cell r="V172">
            <v>0</v>
          </cell>
          <cell r="W172">
            <v>0</v>
          </cell>
          <cell r="X172">
            <v>0</v>
          </cell>
          <cell r="Y172">
            <v>0</v>
          </cell>
          <cell r="Z172">
            <v>0</v>
          </cell>
          <cell r="AA172">
            <v>0</v>
          </cell>
          <cell r="AB172">
            <v>0</v>
          </cell>
          <cell r="AC172" t="str">
            <v>input</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row>
        <row r="173">
          <cell r="A173" t="str">
            <v>tsx:CRT.UN_CFO_Target</v>
          </cell>
          <cell r="B173" t="str">
            <v>tsx:CRT.UN</v>
          </cell>
          <cell r="C173" t="str">
            <v>CT Real Estate Investment Trust (REIT)</v>
          </cell>
          <cell r="D173" t="str">
            <v>Target</v>
          </cell>
          <cell r="E173">
            <v>12</v>
          </cell>
          <cell r="F173" t="str">
            <v>CAD</v>
          </cell>
          <cell r="G173">
            <v>1</v>
          </cell>
          <cell r="H173" t="str">
            <v>Louis Forbes</v>
          </cell>
          <cell r="I173" t="str">
            <v>CFO</v>
          </cell>
          <cell r="J173" t="str">
            <v>CFO</v>
          </cell>
          <cell r="K173">
            <v>2030.1998000000001</v>
          </cell>
          <cell r="L173">
            <v>4760.7608</v>
          </cell>
          <cell r="M173">
            <v>70673</v>
          </cell>
          <cell r="N173">
            <v>70673</v>
          </cell>
          <cell r="O173">
            <v>70673</v>
          </cell>
          <cell r="P173">
            <v>48029</v>
          </cell>
          <cell r="Q173">
            <v>48029</v>
          </cell>
          <cell r="R173">
            <v>0.67959475330041175</v>
          </cell>
          <cell r="S173">
            <v>0.6</v>
          </cell>
          <cell r="T173">
            <v>42403.799999999996</v>
          </cell>
          <cell r="U173">
            <v>118702</v>
          </cell>
          <cell r="V173">
            <v>113076.8</v>
          </cell>
          <cell r="W173" t="str">
            <v>input</v>
          </cell>
          <cell r="X173" t="str">
            <v>input</v>
          </cell>
          <cell r="Y173" t="str">
            <v>input</v>
          </cell>
          <cell r="Z173" t="str">
            <v>input</v>
          </cell>
          <cell r="AA173" t="str">
            <v>input</v>
          </cell>
          <cell r="AB173">
            <v>0</v>
          </cell>
          <cell r="AC173">
            <v>0</v>
          </cell>
          <cell r="AD173">
            <v>0.55000000000000004</v>
          </cell>
          <cell r="AE173">
            <v>0</v>
          </cell>
          <cell r="AF173">
            <v>118702</v>
          </cell>
          <cell r="AG173">
            <v>113076.79999999999</v>
          </cell>
          <cell r="AH173">
            <v>0</v>
          </cell>
          <cell r="AI173">
            <v>0</v>
          </cell>
          <cell r="AJ173">
            <v>118702</v>
          </cell>
          <cell r="AK173" t="str">
            <v>targets disclosed</v>
          </cell>
          <cell r="AL173" t="str">
            <v>targets disclosed</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row>
        <row r="174">
          <cell r="A174" t="str">
            <v>tsx:CRT.UN_CFO_Target</v>
          </cell>
          <cell r="B174" t="str">
            <v>tsx:CRT.UN</v>
          </cell>
          <cell r="C174" t="str">
            <v>CT Real Estate Investment Trust (REIT)</v>
          </cell>
          <cell r="D174" t="str">
            <v>Target</v>
          </cell>
          <cell r="E174">
            <v>12</v>
          </cell>
          <cell r="F174" t="str">
            <v>CAD</v>
          </cell>
          <cell r="G174">
            <v>1</v>
          </cell>
          <cell r="H174" t="str">
            <v>Louis Forbes</v>
          </cell>
          <cell r="I174" t="str">
            <v>CFO</v>
          </cell>
          <cell r="J174" t="str">
            <v>CFO</v>
          </cell>
          <cell r="K174">
            <v>2030.1998000000001</v>
          </cell>
          <cell r="L174">
            <v>4760.7608</v>
          </cell>
          <cell r="M174">
            <v>70673</v>
          </cell>
          <cell r="N174">
            <v>70673</v>
          </cell>
          <cell r="O174">
            <v>70673</v>
          </cell>
          <cell r="P174">
            <v>48029</v>
          </cell>
          <cell r="Q174">
            <v>48029</v>
          </cell>
          <cell r="R174">
            <v>0.67959475330041175</v>
          </cell>
          <cell r="S174">
            <v>0.6</v>
          </cell>
          <cell r="T174">
            <v>42403.799999999996</v>
          </cell>
          <cell r="U174">
            <v>118702</v>
          </cell>
          <cell r="V174">
            <v>113076.8</v>
          </cell>
          <cell r="W174" t="str">
            <v>input</v>
          </cell>
          <cell r="X174" t="str">
            <v>input</v>
          </cell>
          <cell r="Y174" t="str">
            <v>input</v>
          </cell>
          <cell r="Z174" t="str">
            <v>input</v>
          </cell>
          <cell r="AA174" t="str">
            <v>input</v>
          </cell>
          <cell r="AB174">
            <v>0</v>
          </cell>
          <cell r="AC174">
            <v>0</v>
          </cell>
          <cell r="AD174">
            <v>0.55000000000000004</v>
          </cell>
          <cell r="AE174">
            <v>0</v>
          </cell>
          <cell r="AF174">
            <v>118702</v>
          </cell>
          <cell r="AG174">
            <v>113076.79999999999</v>
          </cell>
          <cell r="AH174">
            <v>0</v>
          </cell>
          <cell r="AI174">
            <v>0</v>
          </cell>
          <cell r="AJ174">
            <v>118702</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row>
        <row r="175">
          <cell r="A175" t="str">
            <v>tsx:AP.UN__2013</v>
          </cell>
          <cell r="B175" t="str">
            <v>tsx:AP.UN</v>
          </cell>
          <cell r="C175" t="str">
            <v>Allied Properties REIT</v>
          </cell>
          <cell r="D175">
            <v>2013</v>
          </cell>
          <cell r="E175">
            <v>12</v>
          </cell>
          <cell r="F175" t="str">
            <v>CAD</v>
          </cell>
          <cell r="G175">
            <v>1</v>
          </cell>
          <cell r="H175" t="str">
            <v>Michael Emory</v>
          </cell>
          <cell r="I175" t="str">
            <v>President and CEO</v>
          </cell>
          <cell r="J175">
            <v>0</v>
          </cell>
          <cell r="K175">
            <v>2417.76584</v>
          </cell>
          <cell r="L175">
            <v>3801.05384</v>
          </cell>
          <cell r="M175">
            <v>650000</v>
          </cell>
          <cell r="N175">
            <v>650000</v>
          </cell>
          <cell r="O175">
            <v>650000</v>
          </cell>
          <cell r="P175">
            <v>780000</v>
          </cell>
          <cell r="Q175">
            <v>780000</v>
          </cell>
          <cell r="R175">
            <v>1.2</v>
          </cell>
          <cell r="S175">
            <v>1</v>
          </cell>
          <cell r="T175">
            <v>650000</v>
          </cell>
          <cell r="U175">
            <v>1430000</v>
          </cell>
          <cell r="V175">
            <v>1300000</v>
          </cell>
          <cell r="W175">
            <v>390008</v>
          </cell>
          <cell r="X175">
            <v>0</v>
          </cell>
          <cell r="Y175">
            <v>389998</v>
          </cell>
          <cell r="Z175">
            <v>0</v>
          </cell>
          <cell r="AA175">
            <v>0</v>
          </cell>
          <cell r="AB175">
            <v>780006</v>
          </cell>
          <cell r="AC175">
            <v>1.2000092307692307</v>
          </cell>
          <cell r="AD175">
            <v>1</v>
          </cell>
          <cell r="AE175">
            <v>780006</v>
          </cell>
          <cell r="AF175">
            <v>2210006</v>
          </cell>
          <cell r="AG175">
            <v>0</v>
          </cell>
          <cell r="AH175">
            <v>32500</v>
          </cell>
          <cell r="AI175">
            <v>0</v>
          </cell>
          <cell r="AJ175">
            <v>2242506</v>
          </cell>
          <cell r="AK175" t="str">
            <v>targets disclosed</v>
          </cell>
          <cell r="AL175" t="str">
            <v>targets disclosed</v>
          </cell>
          <cell r="AM175">
            <v>0</v>
          </cell>
          <cell r="AO175">
            <v>0</v>
          </cell>
          <cell r="AP175">
            <v>0</v>
          </cell>
          <cell r="AR175">
            <v>0</v>
          </cell>
          <cell r="AS175">
            <v>0</v>
          </cell>
          <cell r="AT175">
            <v>5</v>
          </cell>
          <cell r="AU175">
            <v>41338</v>
          </cell>
          <cell r="AV175">
            <v>106668.27650980392</v>
          </cell>
          <cell r="AW175">
            <v>34.25</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row>
        <row r="176">
          <cell r="A176" t="str">
            <v>tsx:AP.UN__2012</v>
          </cell>
          <cell r="B176" t="str">
            <v>tsx:AP.UN</v>
          </cell>
          <cell r="C176" t="str">
            <v>Allied Properties REIT</v>
          </cell>
          <cell r="D176">
            <v>2012</v>
          </cell>
          <cell r="E176">
            <v>12</v>
          </cell>
          <cell r="F176" t="str">
            <v>CAD</v>
          </cell>
          <cell r="G176">
            <v>1</v>
          </cell>
          <cell r="H176" t="str">
            <v>Michael Emory</v>
          </cell>
          <cell r="I176" t="str">
            <v>President and CEO</v>
          </cell>
          <cell r="J176">
            <v>0</v>
          </cell>
          <cell r="K176">
            <v>2417.76584</v>
          </cell>
          <cell r="L176">
            <v>3801.05384</v>
          </cell>
          <cell r="M176">
            <v>540000</v>
          </cell>
          <cell r="N176">
            <v>540000</v>
          </cell>
          <cell r="O176">
            <v>0</v>
          </cell>
          <cell r="P176">
            <v>648000</v>
          </cell>
          <cell r="Q176">
            <v>648000</v>
          </cell>
          <cell r="R176">
            <v>1.2</v>
          </cell>
          <cell r="S176">
            <v>0</v>
          </cell>
          <cell r="T176">
            <v>0</v>
          </cell>
          <cell r="U176">
            <v>0</v>
          </cell>
          <cell r="V176">
            <v>0</v>
          </cell>
          <cell r="W176">
            <v>268167</v>
          </cell>
          <cell r="X176">
            <v>0</v>
          </cell>
          <cell r="Y176">
            <v>269999</v>
          </cell>
          <cell r="Z176">
            <v>0</v>
          </cell>
          <cell r="AA176">
            <v>0</v>
          </cell>
          <cell r="AB176">
            <v>538166</v>
          </cell>
          <cell r="AC176">
            <v>0.99660370370370366</v>
          </cell>
          <cell r="AD176">
            <v>0</v>
          </cell>
          <cell r="AE176">
            <v>538166</v>
          </cell>
          <cell r="AF176">
            <v>1726166</v>
          </cell>
          <cell r="AG176">
            <v>0</v>
          </cell>
          <cell r="AH176">
            <v>27000</v>
          </cell>
          <cell r="AI176">
            <v>0</v>
          </cell>
          <cell r="AJ176">
            <v>1753166</v>
          </cell>
          <cell r="AK176">
            <v>0</v>
          </cell>
          <cell r="AL176">
            <v>0</v>
          </cell>
          <cell r="AM176">
            <v>0</v>
          </cell>
          <cell r="AN176">
            <v>0</v>
          </cell>
          <cell r="AO176">
            <v>0</v>
          </cell>
          <cell r="AP176">
            <v>0</v>
          </cell>
          <cell r="AQ176">
            <v>0</v>
          </cell>
          <cell r="AR176">
            <v>0</v>
          </cell>
          <cell r="AS176">
            <v>0</v>
          </cell>
          <cell r="AT176">
            <v>5</v>
          </cell>
          <cell r="AU176">
            <v>40974</v>
          </cell>
          <cell r="AV176">
            <v>96150.258059842527</v>
          </cell>
          <cell r="AW176">
            <v>26.51</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row>
        <row r="177">
          <cell r="A177" t="str">
            <v>tsx:AP.UN__2011</v>
          </cell>
          <cell r="B177" t="str">
            <v>tsx:AP.UN</v>
          </cell>
          <cell r="C177" t="str">
            <v>Allied Properties REIT</v>
          </cell>
          <cell r="D177">
            <v>2011</v>
          </cell>
          <cell r="E177">
            <v>12</v>
          </cell>
          <cell r="F177" t="str">
            <v>CAD</v>
          </cell>
          <cell r="G177">
            <v>1</v>
          </cell>
          <cell r="H177" t="str">
            <v>Michael Emory</v>
          </cell>
          <cell r="I177" t="str">
            <v>President and CEO</v>
          </cell>
          <cell r="J177">
            <v>0</v>
          </cell>
          <cell r="K177">
            <v>2417.76584</v>
          </cell>
          <cell r="L177">
            <v>3801.05384</v>
          </cell>
          <cell r="M177">
            <v>540000</v>
          </cell>
          <cell r="N177">
            <v>540000</v>
          </cell>
          <cell r="O177">
            <v>0</v>
          </cell>
          <cell r="P177">
            <v>604800</v>
          </cell>
          <cell r="Q177">
            <v>604800</v>
          </cell>
          <cell r="R177">
            <v>1.1200000000000001</v>
          </cell>
          <cell r="S177">
            <v>0</v>
          </cell>
          <cell r="T177">
            <v>0</v>
          </cell>
          <cell r="U177">
            <v>0</v>
          </cell>
          <cell r="V177">
            <v>0</v>
          </cell>
          <cell r="W177">
            <v>242213</v>
          </cell>
          <cell r="X177">
            <v>0</v>
          </cell>
          <cell r="Y177">
            <v>252001</v>
          </cell>
          <cell r="Z177">
            <v>0</v>
          </cell>
          <cell r="AA177">
            <v>0</v>
          </cell>
          <cell r="AB177">
            <v>494214</v>
          </cell>
          <cell r="AC177">
            <v>0.91521111111111109</v>
          </cell>
          <cell r="AD177">
            <v>0</v>
          </cell>
          <cell r="AE177">
            <v>494214</v>
          </cell>
          <cell r="AF177">
            <v>1639014</v>
          </cell>
          <cell r="AG177">
            <v>0</v>
          </cell>
          <cell r="AH177">
            <v>27000</v>
          </cell>
          <cell r="AI177">
            <v>0</v>
          </cell>
          <cell r="AJ177">
            <v>1666014</v>
          </cell>
          <cell r="AK177">
            <v>0</v>
          </cell>
          <cell r="AL177">
            <v>0</v>
          </cell>
          <cell r="AM177">
            <v>0</v>
          </cell>
          <cell r="AN177">
            <v>0</v>
          </cell>
          <cell r="AO177">
            <v>0</v>
          </cell>
          <cell r="AP177">
            <v>0</v>
          </cell>
          <cell r="AQ177">
            <v>0</v>
          </cell>
          <cell r="AR177">
            <v>0</v>
          </cell>
          <cell r="AS177">
            <v>0</v>
          </cell>
          <cell r="AT177">
            <v>5</v>
          </cell>
          <cell r="AU177">
            <v>40633</v>
          </cell>
          <cell r="AV177">
            <v>104541.20692362094</v>
          </cell>
          <cell r="AW177">
            <v>21.91</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row>
        <row r="178">
          <cell r="A178" t="str">
            <v>tsx:AP.UN_CEO_Target</v>
          </cell>
          <cell r="B178" t="str">
            <v>tsx:AP.UN</v>
          </cell>
          <cell r="C178" t="str">
            <v>Allied Properties REIT</v>
          </cell>
          <cell r="D178" t="str">
            <v>Target</v>
          </cell>
          <cell r="E178">
            <v>12</v>
          </cell>
          <cell r="F178" t="str">
            <v>CAD</v>
          </cell>
          <cell r="G178">
            <v>1</v>
          </cell>
          <cell r="H178" t="str">
            <v>Michael Emory</v>
          </cell>
          <cell r="I178" t="str">
            <v>President and CEO</v>
          </cell>
          <cell r="J178" t="str">
            <v>CEO</v>
          </cell>
          <cell r="K178">
            <v>2417.76584</v>
          </cell>
          <cell r="L178">
            <v>3801.05384</v>
          </cell>
          <cell r="M178">
            <v>650000</v>
          </cell>
          <cell r="N178">
            <v>650000</v>
          </cell>
          <cell r="O178">
            <v>650000</v>
          </cell>
          <cell r="P178">
            <v>780000</v>
          </cell>
          <cell r="Q178">
            <v>780000</v>
          </cell>
          <cell r="R178">
            <v>1.2</v>
          </cell>
          <cell r="S178">
            <v>1</v>
          </cell>
          <cell r="T178">
            <v>650000</v>
          </cell>
          <cell r="U178">
            <v>1430000</v>
          </cell>
          <cell r="V178">
            <v>1300000</v>
          </cell>
          <cell r="W178">
            <v>300129.33333333331</v>
          </cell>
          <cell r="X178" t="str">
            <v>input</v>
          </cell>
          <cell r="Y178">
            <v>303999.33333333331</v>
          </cell>
          <cell r="Z178" t="str">
            <v>input</v>
          </cell>
          <cell r="AA178" t="str">
            <v>input</v>
          </cell>
          <cell r="AB178">
            <v>780006</v>
          </cell>
          <cell r="AC178">
            <v>1.0372746818613485</v>
          </cell>
          <cell r="AD178">
            <v>1</v>
          </cell>
          <cell r="AE178">
            <v>674228.54320987652</v>
          </cell>
          <cell r="AF178">
            <v>2210006</v>
          </cell>
          <cell r="AG178">
            <v>1974228.5432098764</v>
          </cell>
          <cell r="AH178">
            <v>32500</v>
          </cell>
          <cell r="AI178">
            <v>0</v>
          </cell>
          <cell r="AJ178">
            <v>2242506</v>
          </cell>
          <cell r="AK178" t="str">
            <v>targets disclosed</v>
          </cell>
          <cell r="AL178" t="str">
            <v>targets disclosed</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row>
        <row r="179">
          <cell r="A179" t="str">
            <v>tsx:AP.UN_CEO_Target</v>
          </cell>
          <cell r="B179" t="str">
            <v>tsx:AP.UN</v>
          </cell>
          <cell r="C179" t="str">
            <v>Allied Properties REIT</v>
          </cell>
          <cell r="D179" t="str">
            <v>Target</v>
          </cell>
          <cell r="E179">
            <v>12</v>
          </cell>
          <cell r="F179" t="str">
            <v>CAD</v>
          </cell>
          <cell r="G179">
            <v>1</v>
          </cell>
          <cell r="H179" t="str">
            <v>Michael Emory</v>
          </cell>
          <cell r="I179" t="str">
            <v>President and CEO</v>
          </cell>
          <cell r="J179" t="str">
            <v>CEO</v>
          </cell>
          <cell r="K179">
            <v>2417.76584</v>
          </cell>
          <cell r="L179">
            <v>3801.05384</v>
          </cell>
          <cell r="M179">
            <v>650000</v>
          </cell>
          <cell r="N179">
            <v>650000</v>
          </cell>
          <cell r="O179">
            <v>650000</v>
          </cell>
          <cell r="P179">
            <v>780000</v>
          </cell>
          <cell r="Q179">
            <v>780000</v>
          </cell>
          <cell r="R179">
            <v>1.2</v>
          </cell>
          <cell r="S179">
            <v>1</v>
          </cell>
          <cell r="T179">
            <v>650000</v>
          </cell>
          <cell r="U179">
            <v>1430000</v>
          </cell>
          <cell r="V179">
            <v>1300000</v>
          </cell>
          <cell r="W179">
            <v>300129.33333333331</v>
          </cell>
          <cell r="X179" t="str">
            <v>input</v>
          </cell>
          <cell r="Y179">
            <v>303999.33333333331</v>
          </cell>
          <cell r="Z179" t="str">
            <v>input</v>
          </cell>
          <cell r="AA179" t="str">
            <v>input</v>
          </cell>
          <cell r="AB179">
            <v>780006</v>
          </cell>
          <cell r="AC179">
            <v>1.0372746818613485</v>
          </cell>
          <cell r="AD179">
            <v>1</v>
          </cell>
          <cell r="AE179">
            <v>674228.54320987652</v>
          </cell>
          <cell r="AF179">
            <v>2210006</v>
          </cell>
          <cell r="AG179">
            <v>1974228.5432098764</v>
          </cell>
          <cell r="AH179">
            <v>32500</v>
          </cell>
          <cell r="AI179">
            <v>0</v>
          </cell>
          <cell r="AJ179">
            <v>2242506</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row>
        <row r="180">
          <cell r="A180" t="str">
            <v>tsx:AP.UN__2013</v>
          </cell>
          <cell r="B180" t="str">
            <v>tsx:AP.UN</v>
          </cell>
          <cell r="C180" t="str">
            <v>Allied Properties REIT</v>
          </cell>
          <cell r="D180">
            <v>2013</v>
          </cell>
          <cell r="E180">
            <v>12</v>
          </cell>
          <cell r="F180" t="str">
            <v>CAD</v>
          </cell>
          <cell r="G180">
            <v>1</v>
          </cell>
          <cell r="H180" t="str">
            <v>Thomas Burns</v>
          </cell>
          <cell r="I180" t="str">
            <v>COO</v>
          </cell>
          <cell r="J180">
            <v>0</v>
          </cell>
          <cell r="K180">
            <v>2417.76584</v>
          </cell>
          <cell r="L180">
            <v>3801.05384</v>
          </cell>
          <cell r="M180">
            <v>450000</v>
          </cell>
          <cell r="N180">
            <v>450000</v>
          </cell>
          <cell r="O180">
            <v>450000</v>
          </cell>
          <cell r="P180">
            <v>450000</v>
          </cell>
          <cell r="Q180">
            <v>450000</v>
          </cell>
          <cell r="R180">
            <v>1</v>
          </cell>
          <cell r="S180">
            <v>0.6</v>
          </cell>
          <cell r="T180">
            <v>270000</v>
          </cell>
          <cell r="U180">
            <v>900000</v>
          </cell>
          <cell r="V180">
            <v>720000</v>
          </cell>
          <cell r="W180">
            <v>225001</v>
          </cell>
          <cell r="X180">
            <v>0</v>
          </cell>
          <cell r="Y180">
            <v>224999</v>
          </cell>
          <cell r="Z180">
            <v>0</v>
          </cell>
          <cell r="AA180">
            <v>0</v>
          </cell>
          <cell r="AB180">
            <v>450000</v>
          </cell>
          <cell r="AC180">
            <v>1</v>
          </cell>
          <cell r="AD180">
            <v>0.85</v>
          </cell>
          <cell r="AE180">
            <v>450000</v>
          </cell>
          <cell r="AF180">
            <v>1350000</v>
          </cell>
          <cell r="AG180">
            <v>0</v>
          </cell>
          <cell r="AH180">
            <v>22500</v>
          </cell>
          <cell r="AI180">
            <v>0</v>
          </cell>
          <cell r="AJ180">
            <v>1372500</v>
          </cell>
          <cell r="AK180" t="str">
            <v>targets disclosed</v>
          </cell>
          <cell r="AL180" t="str">
            <v>targets disclosed</v>
          </cell>
          <cell r="AM180">
            <v>0</v>
          </cell>
          <cell r="AO180">
            <v>0</v>
          </cell>
          <cell r="AP180">
            <v>0</v>
          </cell>
          <cell r="AR180">
            <v>0</v>
          </cell>
          <cell r="AS180">
            <v>0</v>
          </cell>
          <cell r="AT180">
            <v>5</v>
          </cell>
          <cell r="AU180">
            <v>41338</v>
          </cell>
          <cell r="AV180">
            <v>61539.432372549018</v>
          </cell>
          <cell r="AW180">
            <v>34.25</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row>
        <row r="181">
          <cell r="A181" t="str">
            <v>tsx:AP.UN__2012</v>
          </cell>
          <cell r="B181" t="str">
            <v>tsx:AP.UN</v>
          </cell>
          <cell r="C181" t="str">
            <v>Allied Properties REIT</v>
          </cell>
          <cell r="D181">
            <v>2012</v>
          </cell>
          <cell r="E181">
            <v>12</v>
          </cell>
          <cell r="F181" t="str">
            <v>CAD</v>
          </cell>
          <cell r="G181">
            <v>1</v>
          </cell>
          <cell r="H181" t="str">
            <v>Thomas Burns</v>
          </cell>
          <cell r="I181" t="str">
            <v>COO</v>
          </cell>
          <cell r="J181">
            <v>0</v>
          </cell>
          <cell r="K181">
            <v>2417.76584</v>
          </cell>
          <cell r="L181">
            <v>3801.05384</v>
          </cell>
          <cell r="M181">
            <v>450000</v>
          </cell>
          <cell r="N181">
            <v>450000</v>
          </cell>
          <cell r="O181">
            <v>0</v>
          </cell>
          <cell r="P181">
            <v>450000</v>
          </cell>
          <cell r="Q181">
            <v>450000</v>
          </cell>
          <cell r="R181">
            <v>1</v>
          </cell>
          <cell r="S181">
            <v>0</v>
          </cell>
          <cell r="T181">
            <v>0</v>
          </cell>
          <cell r="U181">
            <v>0</v>
          </cell>
          <cell r="V181">
            <v>0</v>
          </cell>
          <cell r="W181">
            <v>201117</v>
          </cell>
          <cell r="X181">
            <v>0</v>
          </cell>
          <cell r="Y181">
            <v>202502</v>
          </cell>
          <cell r="Z181">
            <v>0</v>
          </cell>
          <cell r="AA181">
            <v>0</v>
          </cell>
          <cell r="AB181">
            <v>403619</v>
          </cell>
          <cell r="AC181">
            <v>0.89693111111111112</v>
          </cell>
          <cell r="AD181">
            <v>0</v>
          </cell>
          <cell r="AE181">
            <v>403619</v>
          </cell>
          <cell r="AF181">
            <v>1303619</v>
          </cell>
          <cell r="AG181">
            <v>0</v>
          </cell>
          <cell r="AH181">
            <v>22500</v>
          </cell>
          <cell r="AI181">
            <v>0</v>
          </cell>
          <cell r="AJ181">
            <v>1326119</v>
          </cell>
          <cell r="AK181">
            <v>0</v>
          </cell>
          <cell r="AL181">
            <v>0</v>
          </cell>
          <cell r="AM181">
            <v>0</v>
          </cell>
          <cell r="AN181">
            <v>0</v>
          </cell>
          <cell r="AO181">
            <v>0</v>
          </cell>
          <cell r="AP181">
            <v>0</v>
          </cell>
          <cell r="AQ181">
            <v>0</v>
          </cell>
          <cell r="AR181">
            <v>0</v>
          </cell>
          <cell r="AS181">
            <v>0</v>
          </cell>
          <cell r="AT181">
            <v>5</v>
          </cell>
          <cell r="AU181">
            <v>40974</v>
          </cell>
          <cell r="AV181">
            <v>72113.672856692923</v>
          </cell>
          <cell r="AW181">
            <v>26.51</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row>
        <row r="182">
          <cell r="A182" t="str">
            <v>tsx:AP.UN__2011</v>
          </cell>
          <cell r="B182" t="str">
            <v>tsx:AP.UN</v>
          </cell>
          <cell r="C182" t="str">
            <v>Allied Properties REIT</v>
          </cell>
          <cell r="D182">
            <v>2011</v>
          </cell>
          <cell r="E182">
            <v>12</v>
          </cell>
          <cell r="F182" t="str">
            <v>CAD</v>
          </cell>
          <cell r="G182">
            <v>1</v>
          </cell>
          <cell r="H182" t="str">
            <v>Thomas Burns</v>
          </cell>
          <cell r="I182" t="str">
            <v>COO</v>
          </cell>
          <cell r="J182">
            <v>0</v>
          </cell>
          <cell r="K182">
            <v>2417.76584</v>
          </cell>
          <cell r="L182">
            <v>3801.05384</v>
          </cell>
          <cell r="M182">
            <v>350000</v>
          </cell>
          <cell r="N182">
            <v>350000</v>
          </cell>
          <cell r="O182">
            <v>0</v>
          </cell>
          <cell r="P182">
            <v>226625</v>
          </cell>
          <cell r="Q182">
            <v>226625</v>
          </cell>
          <cell r="R182">
            <v>0.64749999999999996</v>
          </cell>
          <cell r="S182">
            <v>0</v>
          </cell>
          <cell r="T182">
            <v>0</v>
          </cell>
          <cell r="U182">
            <v>0</v>
          </cell>
          <cell r="V182">
            <v>0</v>
          </cell>
          <cell r="W182">
            <v>108902</v>
          </cell>
          <cell r="X182">
            <v>0</v>
          </cell>
          <cell r="Y182">
            <v>113313</v>
          </cell>
          <cell r="Z182">
            <v>0</v>
          </cell>
          <cell r="AA182">
            <v>0</v>
          </cell>
          <cell r="AB182">
            <v>222215</v>
          </cell>
          <cell r="AC182">
            <v>0.63490000000000002</v>
          </cell>
          <cell r="AD182">
            <v>0</v>
          </cell>
          <cell r="AE182">
            <v>222215</v>
          </cell>
          <cell r="AF182">
            <v>798840</v>
          </cell>
          <cell r="AG182">
            <v>0</v>
          </cell>
          <cell r="AH182">
            <v>17500</v>
          </cell>
          <cell r="AI182">
            <v>0</v>
          </cell>
          <cell r="AJ182">
            <v>816340</v>
          </cell>
          <cell r="AK182">
            <v>0</v>
          </cell>
          <cell r="AL182">
            <v>0</v>
          </cell>
          <cell r="AM182">
            <v>0</v>
          </cell>
          <cell r="AN182">
            <v>0</v>
          </cell>
          <cell r="AO182">
            <v>0</v>
          </cell>
          <cell r="AP182">
            <v>0</v>
          </cell>
          <cell r="AQ182">
            <v>0</v>
          </cell>
          <cell r="AR182">
            <v>0</v>
          </cell>
          <cell r="AS182">
            <v>0</v>
          </cell>
          <cell r="AT182">
            <v>5</v>
          </cell>
          <cell r="AU182">
            <v>40633</v>
          </cell>
          <cell r="AV182">
            <v>47007.264971711462</v>
          </cell>
          <cell r="AW182">
            <v>21.91</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row>
        <row r="183">
          <cell r="A183" t="str">
            <v>tsx:AP.UN_COO_Target</v>
          </cell>
          <cell r="B183" t="str">
            <v>tsx:AP.UN</v>
          </cell>
          <cell r="C183" t="str">
            <v>Allied Properties REIT</v>
          </cell>
          <cell r="D183" t="str">
            <v>Target</v>
          </cell>
          <cell r="E183">
            <v>12</v>
          </cell>
          <cell r="F183" t="str">
            <v>CAD</v>
          </cell>
          <cell r="G183">
            <v>1</v>
          </cell>
          <cell r="H183" t="str">
            <v>Thomas Burns</v>
          </cell>
          <cell r="I183" t="str">
            <v>COO</v>
          </cell>
          <cell r="J183" t="str">
            <v>COO</v>
          </cell>
          <cell r="K183">
            <v>2417.76584</v>
          </cell>
          <cell r="L183">
            <v>3801.05384</v>
          </cell>
          <cell r="M183">
            <v>450000</v>
          </cell>
          <cell r="N183">
            <v>450000</v>
          </cell>
          <cell r="O183">
            <v>450000</v>
          </cell>
          <cell r="P183">
            <v>450000</v>
          </cell>
          <cell r="Q183">
            <v>450000</v>
          </cell>
          <cell r="R183">
            <v>1</v>
          </cell>
          <cell r="S183">
            <v>0.6</v>
          </cell>
          <cell r="T183">
            <v>270000</v>
          </cell>
          <cell r="U183">
            <v>900000</v>
          </cell>
          <cell r="V183">
            <v>720000</v>
          </cell>
          <cell r="W183">
            <v>178340</v>
          </cell>
          <cell r="X183" t="str">
            <v>input</v>
          </cell>
          <cell r="Y183">
            <v>180271.33333333334</v>
          </cell>
          <cell r="Z183" t="str">
            <v>input</v>
          </cell>
          <cell r="AA183" t="str">
            <v>input</v>
          </cell>
          <cell r="AB183">
            <v>450000</v>
          </cell>
          <cell r="AC183">
            <v>0.84394370370370364</v>
          </cell>
          <cell r="AD183">
            <v>0.85</v>
          </cell>
          <cell r="AE183">
            <v>379774.66666666663</v>
          </cell>
          <cell r="AF183">
            <v>1350000</v>
          </cell>
          <cell r="AG183">
            <v>1099774.6666666665</v>
          </cell>
          <cell r="AH183">
            <v>22500</v>
          </cell>
          <cell r="AI183">
            <v>0</v>
          </cell>
          <cell r="AJ183">
            <v>1372500</v>
          </cell>
          <cell r="AK183" t="str">
            <v>targets disclosed</v>
          </cell>
          <cell r="AL183" t="str">
            <v>targets disclosed</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row>
        <row r="184">
          <cell r="A184" t="str">
            <v>tsx:AP.UN_COO_Target</v>
          </cell>
          <cell r="B184" t="str">
            <v>tsx:AP.UN</v>
          </cell>
          <cell r="C184" t="str">
            <v>Allied Properties REIT</v>
          </cell>
          <cell r="D184" t="str">
            <v>Target</v>
          </cell>
          <cell r="E184">
            <v>12</v>
          </cell>
          <cell r="F184" t="str">
            <v>CAD</v>
          </cell>
          <cell r="G184">
            <v>1</v>
          </cell>
          <cell r="H184" t="str">
            <v>Thomas Burns</v>
          </cell>
          <cell r="I184" t="str">
            <v>COO</v>
          </cell>
          <cell r="J184" t="str">
            <v>COO</v>
          </cell>
          <cell r="K184">
            <v>2417.76584</v>
          </cell>
          <cell r="L184">
            <v>3801.05384</v>
          </cell>
          <cell r="M184">
            <v>450000</v>
          </cell>
          <cell r="N184">
            <v>450000</v>
          </cell>
          <cell r="O184">
            <v>450000</v>
          </cell>
          <cell r="P184">
            <v>450000</v>
          </cell>
          <cell r="Q184">
            <v>450000</v>
          </cell>
          <cell r="R184">
            <v>1</v>
          </cell>
          <cell r="S184">
            <v>0.6</v>
          </cell>
          <cell r="T184">
            <v>270000</v>
          </cell>
          <cell r="U184">
            <v>900000</v>
          </cell>
          <cell r="V184">
            <v>720000</v>
          </cell>
          <cell r="W184">
            <v>178340</v>
          </cell>
          <cell r="X184" t="str">
            <v>input</v>
          </cell>
          <cell r="Y184">
            <v>180271.33333333334</v>
          </cell>
          <cell r="Z184" t="str">
            <v>input</v>
          </cell>
          <cell r="AA184" t="str">
            <v>input</v>
          </cell>
          <cell r="AB184">
            <v>450000</v>
          </cell>
          <cell r="AC184">
            <v>0.84394370370370364</v>
          </cell>
          <cell r="AD184">
            <v>0.85</v>
          </cell>
          <cell r="AE184">
            <v>379774.66666666663</v>
          </cell>
          <cell r="AF184">
            <v>1350000</v>
          </cell>
          <cell r="AG184">
            <v>1099774.6666666665</v>
          </cell>
          <cell r="AH184">
            <v>22500</v>
          </cell>
          <cell r="AI184">
            <v>0</v>
          </cell>
          <cell r="AJ184">
            <v>1372500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2">
          <cell r="B22" t="str">
            <v>Board Meeting Fees</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per vs. hudbay"/>
      <sheetName val="_CIQHiddenCacheSheet"/>
    </sheetNames>
    <sheetDataSet>
      <sheetData sheetId="0">
        <row r="4">
          <cell r="A4">
            <v>45659</v>
          </cell>
        </row>
        <row r="5">
          <cell r="A5">
            <v>45660</v>
          </cell>
        </row>
        <row r="6">
          <cell r="A6">
            <v>45663</v>
          </cell>
        </row>
        <row r="7">
          <cell r="A7">
            <v>45664</v>
          </cell>
        </row>
        <row r="8">
          <cell r="A8">
            <v>45665</v>
          </cell>
        </row>
        <row r="9">
          <cell r="A9">
            <v>45666</v>
          </cell>
        </row>
        <row r="10">
          <cell r="A10">
            <v>45667</v>
          </cell>
        </row>
        <row r="11">
          <cell r="A11">
            <v>45670</v>
          </cell>
        </row>
        <row r="12">
          <cell r="A12">
            <v>45671</v>
          </cell>
        </row>
        <row r="13">
          <cell r="A13">
            <v>45672</v>
          </cell>
        </row>
        <row r="14">
          <cell r="A14">
            <v>45673</v>
          </cell>
        </row>
        <row r="15">
          <cell r="A15">
            <v>45674</v>
          </cell>
        </row>
        <row r="16">
          <cell r="A16">
            <v>45678</v>
          </cell>
        </row>
        <row r="17">
          <cell r="A17">
            <v>45679</v>
          </cell>
        </row>
        <row r="18">
          <cell r="A18">
            <v>45680</v>
          </cell>
        </row>
        <row r="19">
          <cell r="A19">
            <v>45681</v>
          </cell>
        </row>
        <row r="20">
          <cell r="A20">
            <v>45684</v>
          </cell>
        </row>
        <row r="21">
          <cell r="A21">
            <v>45685</v>
          </cell>
        </row>
        <row r="22">
          <cell r="A22">
            <v>45686</v>
          </cell>
        </row>
        <row r="23">
          <cell r="A23">
            <v>45687</v>
          </cell>
        </row>
        <row r="24">
          <cell r="A24">
            <v>45688</v>
          </cell>
        </row>
        <row r="25">
          <cell r="A25">
            <v>45691</v>
          </cell>
        </row>
        <row r="26">
          <cell r="A26">
            <v>45692</v>
          </cell>
        </row>
        <row r="27">
          <cell r="A27">
            <v>45693</v>
          </cell>
        </row>
        <row r="28">
          <cell r="A28">
            <v>45694</v>
          </cell>
        </row>
        <row r="29">
          <cell r="A29">
            <v>45695</v>
          </cell>
        </row>
        <row r="30">
          <cell r="A30">
            <v>45698</v>
          </cell>
        </row>
        <row r="31">
          <cell r="A31">
            <v>45699</v>
          </cell>
        </row>
        <row r="32">
          <cell r="A32">
            <v>45700</v>
          </cell>
        </row>
        <row r="33">
          <cell r="A33">
            <v>45701</v>
          </cell>
        </row>
        <row r="34">
          <cell r="A34">
            <v>45702</v>
          </cell>
        </row>
        <row r="35">
          <cell r="A35">
            <v>45706</v>
          </cell>
        </row>
        <row r="36">
          <cell r="A36">
            <v>45707</v>
          </cell>
        </row>
        <row r="37">
          <cell r="A37">
            <v>45708</v>
          </cell>
        </row>
        <row r="38">
          <cell r="A38">
            <v>45709</v>
          </cell>
        </row>
        <row r="39">
          <cell r="A39">
            <v>45712</v>
          </cell>
        </row>
        <row r="40">
          <cell r="A40">
            <v>45713</v>
          </cell>
        </row>
        <row r="41">
          <cell r="A41">
            <v>45714</v>
          </cell>
        </row>
        <row r="42">
          <cell r="A42">
            <v>45715</v>
          </cell>
        </row>
        <row r="43">
          <cell r="A43">
            <v>45716</v>
          </cell>
        </row>
        <row r="44">
          <cell r="A44">
            <v>45719</v>
          </cell>
        </row>
        <row r="45">
          <cell r="A45">
            <v>45720</v>
          </cell>
        </row>
        <row r="46">
          <cell r="A46">
            <v>45721</v>
          </cell>
        </row>
        <row r="47">
          <cell r="A47">
            <v>45722</v>
          </cell>
        </row>
        <row r="48">
          <cell r="A48">
            <v>45723</v>
          </cell>
        </row>
        <row r="49">
          <cell r="A49">
            <v>45726</v>
          </cell>
        </row>
        <row r="50">
          <cell r="A50">
            <v>45727</v>
          </cell>
        </row>
        <row r="51">
          <cell r="A51">
            <v>45728</v>
          </cell>
        </row>
        <row r="52">
          <cell r="A52">
            <v>45729</v>
          </cell>
        </row>
        <row r="53">
          <cell r="A53">
            <v>45730</v>
          </cell>
        </row>
        <row r="54">
          <cell r="A54">
            <v>45733</v>
          </cell>
        </row>
        <row r="55">
          <cell r="A55">
            <v>45734</v>
          </cell>
        </row>
        <row r="56">
          <cell r="A56">
            <v>45735</v>
          </cell>
        </row>
        <row r="57">
          <cell r="A57">
            <v>45736</v>
          </cell>
        </row>
        <row r="58">
          <cell r="A58">
            <v>45737</v>
          </cell>
        </row>
        <row r="59">
          <cell r="A59">
            <v>45740</v>
          </cell>
        </row>
        <row r="60">
          <cell r="A60">
            <v>45741</v>
          </cell>
        </row>
        <row r="61">
          <cell r="A61">
            <v>45742</v>
          </cell>
        </row>
        <row r="62">
          <cell r="A62">
            <v>45743</v>
          </cell>
        </row>
        <row r="63">
          <cell r="A63">
            <v>45744</v>
          </cell>
        </row>
        <row r="64">
          <cell r="A64">
            <v>45747</v>
          </cell>
        </row>
        <row r="65">
          <cell r="A65">
            <v>45748</v>
          </cell>
        </row>
        <row r="66">
          <cell r="A66">
            <v>45749</v>
          </cell>
        </row>
        <row r="67">
          <cell r="A67">
            <v>45750</v>
          </cell>
        </row>
        <row r="68">
          <cell r="A68">
            <v>45751</v>
          </cell>
        </row>
        <row r="69">
          <cell r="A69">
            <v>45754</v>
          </cell>
        </row>
        <row r="70">
          <cell r="A70">
            <v>45755</v>
          </cell>
        </row>
        <row r="71">
          <cell r="A71">
            <v>45756</v>
          </cell>
        </row>
        <row r="72">
          <cell r="A72">
            <v>45757</v>
          </cell>
        </row>
        <row r="73">
          <cell r="A73">
            <v>45758</v>
          </cell>
        </row>
        <row r="74">
          <cell r="A74">
            <v>45761</v>
          </cell>
        </row>
        <row r="75">
          <cell r="A75">
            <v>45762</v>
          </cell>
        </row>
        <row r="76">
          <cell r="A76">
            <v>45763</v>
          </cell>
        </row>
        <row r="77">
          <cell r="A77">
            <v>45764</v>
          </cell>
        </row>
        <row r="78">
          <cell r="A78">
            <v>45768</v>
          </cell>
        </row>
        <row r="79">
          <cell r="A79">
            <v>45769</v>
          </cell>
        </row>
        <row r="80">
          <cell r="A80">
            <v>45770</v>
          </cell>
        </row>
        <row r="81">
          <cell r="A81">
            <v>45771</v>
          </cell>
        </row>
        <row r="82">
          <cell r="A82">
            <v>45772</v>
          </cell>
        </row>
        <row r="83">
          <cell r="A83">
            <v>45775</v>
          </cell>
        </row>
        <row r="84">
          <cell r="A84">
            <v>45776</v>
          </cell>
        </row>
        <row r="85">
          <cell r="A85">
            <v>45777</v>
          </cell>
        </row>
        <row r="86">
          <cell r="A86">
            <v>45778</v>
          </cell>
        </row>
        <row r="87">
          <cell r="A87">
            <v>45779</v>
          </cell>
        </row>
        <row r="88">
          <cell r="A88">
            <v>45782</v>
          </cell>
        </row>
        <row r="89">
          <cell r="A89">
            <v>45783</v>
          </cell>
        </row>
        <row r="90">
          <cell r="A90">
            <v>45784</v>
          </cell>
        </row>
        <row r="91">
          <cell r="A91">
            <v>45785</v>
          </cell>
        </row>
        <row r="92">
          <cell r="A92">
            <v>45786</v>
          </cell>
        </row>
        <row r="93">
          <cell r="A93">
            <v>45789</v>
          </cell>
        </row>
        <row r="94">
          <cell r="A94">
            <v>45790</v>
          </cell>
        </row>
        <row r="95">
          <cell r="A95">
            <v>45791</v>
          </cell>
        </row>
        <row r="96">
          <cell r="A96">
            <v>45792</v>
          </cell>
        </row>
        <row r="97">
          <cell r="A97">
            <v>45793</v>
          </cell>
        </row>
        <row r="98">
          <cell r="A98">
            <v>45796</v>
          </cell>
        </row>
        <row r="99">
          <cell r="A99">
            <v>45797</v>
          </cell>
        </row>
        <row r="100">
          <cell r="A100">
            <v>45798</v>
          </cell>
        </row>
        <row r="101">
          <cell r="A101">
            <v>45799</v>
          </cell>
        </row>
        <row r="102">
          <cell r="A102">
            <v>45800</v>
          </cell>
        </row>
        <row r="103">
          <cell r="A103">
            <v>45804</v>
          </cell>
        </row>
        <row r="104">
          <cell r="A104">
            <v>45805</v>
          </cell>
        </row>
        <row r="105">
          <cell r="A105">
            <v>45806</v>
          </cell>
        </row>
        <row r="106">
          <cell r="A106">
            <v>45807</v>
          </cell>
        </row>
        <row r="107">
          <cell r="A107">
            <v>45810</v>
          </cell>
        </row>
        <row r="108">
          <cell r="A108">
            <v>45811</v>
          </cell>
        </row>
        <row r="109">
          <cell r="A109">
            <v>45812</v>
          </cell>
        </row>
        <row r="110">
          <cell r="A110">
            <v>45813</v>
          </cell>
        </row>
        <row r="111">
          <cell r="A111">
            <v>45814</v>
          </cell>
        </row>
        <row r="112">
          <cell r="A112">
            <v>45817</v>
          </cell>
        </row>
        <row r="113">
          <cell r="A113">
            <v>45818</v>
          </cell>
        </row>
        <row r="114">
          <cell r="A114">
            <v>45819</v>
          </cell>
        </row>
        <row r="115">
          <cell r="A115">
            <v>45820</v>
          </cell>
        </row>
        <row r="116">
          <cell r="A116">
            <v>45821</v>
          </cell>
        </row>
        <row r="117">
          <cell r="A117">
            <v>45824</v>
          </cell>
        </row>
        <row r="118">
          <cell r="A118">
            <v>45825</v>
          </cell>
        </row>
        <row r="119">
          <cell r="A119">
            <v>45826</v>
          </cell>
        </row>
        <row r="120">
          <cell r="A120">
            <v>45828</v>
          </cell>
        </row>
        <row r="121">
          <cell r="A121">
            <v>45831</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Yr TSR"/>
      <sheetName val="Trailing 3 yr TSR"/>
      <sheetName val="1 Yr TSR"/>
      <sheetName val="_CIQHiddenCacheSheet"/>
      <sheetName val="Trailing 1 yr TSR"/>
      <sheetName val="5 YR TSR"/>
      <sheetName val="Trailing 5 yr TSR"/>
      <sheetName val="Other Metrics"/>
    </sheetNames>
    <sheetDataSet>
      <sheetData sheetId="0" refreshError="1"/>
      <sheetData sheetId="1"/>
      <sheetData sheetId="2" refreshError="1"/>
      <sheetData sheetId="3"/>
      <sheetData sheetId="4"/>
      <sheetData sheetId="5" refreshError="1"/>
      <sheetData sheetId="6">
        <row r="5">
          <cell r="A5">
            <v>40305</v>
          </cell>
        </row>
        <row r="6">
          <cell r="A6">
            <v>40312</v>
          </cell>
        </row>
        <row r="7">
          <cell r="A7">
            <v>40319</v>
          </cell>
        </row>
        <row r="8">
          <cell r="A8">
            <v>40326</v>
          </cell>
        </row>
        <row r="9">
          <cell r="A9">
            <v>40333</v>
          </cell>
        </row>
        <row r="10">
          <cell r="A10">
            <v>40340</v>
          </cell>
        </row>
        <row r="11">
          <cell r="A11">
            <v>40347</v>
          </cell>
        </row>
        <row r="12">
          <cell r="A12">
            <v>40354</v>
          </cell>
        </row>
        <row r="13">
          <cell r="A13">
            <v>40361</v>
          </cell>
        </row>
        <row r="14">
          <cell r="A14">
            <v>40368</v>
          </cell>
        </row>
        <row r="15">
          <cell r="A15">
            <v>40375</v>
          </cell>
        </row>
        <row r="16">
          <cell r="A16">
            <v>40382</v>
          </cell>
        </row>
        <row r="17">
          <cell r="A17">
            <v>40389</v>
          </cell>
        </row>
        <row r="18">
          <cell r="A18">
            <v>40396</v>
          </cell>
        </row>
        <row r="19">
          <cell r="A19">
            <v>40403</v>
          </cell>
        </row>
        <row r="20">
          <cell r="A20">
            <v>40410</v>
          </cell>
        </row>
        <row r="21">
          <cell r="A21">
            <v>40417</v>
          </cell>
        </row>
        <row r="22">
          <cell r="A22">
            <v>40424</v>
          </cell>
        </row>
        <row r="23">
          <cell r="A23">
            <v>40431</v>
          </cell>
        </row>
        <row r="24">
          <cell r="A24">
            <v>40438</v>
          </cell>
        </row>
        <row r="25">
          <cell r="A25">
            <v>40445</v>
          </cell>
        </row>
        <row r="26">
          <cell r="A26">
            <v>40452</v>
          </cell>
        </row>
        <row r="27">
          <cell r="A27">
            <v>40459</v>
          </cell>
        </row>
        <row r="28">
          <cell r="A28">
            <v>40466</v>
          </cell>
        </row>
        <row r="29">
          <cell r="A29">
            <v>40473</v>
          </cell>
        </row>
        <row r="30">
          <cell r="A30">
            <v>40480</v>
          </cell>
        </row>
        <row r="31">
          <cell r="A31">
            <v>40487</v>
          </cell>
        </row>
        <row r="32">
          <cell r="A32">
            <v>40494</v>
          </cell>
        </row>
        <row r="33">
          <cell r="A33">
            <v>40501</v>
          </cell>
        </row>
        <row r="34">
          <cell r="A34">
            <v>40508</v>
          </cell>
        </row>
        <row r="35">
          <cell r="A35">
            <v>40515</v>
          </cell>
        </row>
        <row r="36">
          <cell r="A36">
            <v>40522</v>
          </cell>
        </row>
        <row r="37">
          <cell r="A37">
            <v>40529</v>
          </cell>
        </row>
        <row r="38">
          <cell r="A38">
            <v>40535</v>
          </cell>
        </row>
        <row r="39">
          <cell r="A39">
            <v>40543</v>
          </cell>
        </row>
        <row r="40">
          <cell r="A40">
            <v>40550</v>
          </cell>
        </row>
        <row r="41">
          <cell r="A41">
            <v>40557</v>
          </cell>
        </row>
        <row r="42">
          <cell r="A42">
            <v>40564</v>
          </cell>
        </row>
        <row r="43">
          <cell r="A43">
            <v>40571</v>
          </cell>
        </row>
        <row r="44">
          <cell r="A44">
            <v>40578</v>
          </cell>
        </row>
        <row r="45">
          <cell r="A45">
            <v>40585</v>
          </cell>
        </row>
        <row r="46">
          <cell r="A46">
            <v>40592</v>
          </cell>
        </row>
        <row r="47">
          <cell r="A47">
            <v>40599</v>
          </cell>
        </row>
        <row r="48">
          <cell r="A48">
            <v>40606</v>
          </cell>
        </row>
        <row r="49">
          <cell r="A49">
            <v>40613</v>
          </cell>
        </row>
        <row r="50">
          <cell r="A50">
            <v>40620</v>
          </cell>
        </row>
        <row r="51">
          <cell r="A51">
            <v>40627</v>
          </cell>
        </row>
        <row r="52">
          <cell r="A52">
            <v>40634</v>
          </cell>
        </row>
        <row r="53">
          <cell r="A53">
            <v>40641</v>
          </cell>
        </row>
        <row r="54">
          <cell r="A54">
            <v>40648</v>
          </cell>
        </row>
        <row r="55">
          <cell r="A55">
            <v>40654</v>
          </cell>
        </row>
        <row r="56">
          <cell r="A56">
            <v>40662</v>
          </cell>
        </row>
        <row r="57">
          <cell r="A57">
            <v>40669</v>
          </cell>
        </row>
        <row r="58">
          <cell r="A58">
            <v>40676</v>
          </cell>
        </row>
        <row r="59">
          <cell r="A59">
            <v>40683</v>
          </cell>
        </row>
        <row r="60">
          <cell r="A60">
            <v>40690</v>
          </cell>
        </row>
        <row r="61">
          <cell r="A61">
            <v>40697</v>
          </cell>
        </row>
        <row r="62">
          <cell r="A62">
            <v>40704</v>
          </cell>
        </row>
        <row r="63">
          <cell r="A63">
            <v>40711</v>
          </cell>
        </row>
        <row r="64">
          <cell r="A64">
            <v>40718</v>
          </cell>
        </row>
        <row r="65">
          <cell r="A65">
            <v>40725</v>
          </cell>
        </row>
        <row r="66">
          <cell r="A66">
            <v>40732</v>
          </cell>
        </row>
        <row r="67">
          <cell r="A67">
            <v>40739</v>
          </cell>
        </row>
        <row r="68">
          <cell r="A68">
            <v>40746</v>
          </cell>
        </row>
        <row r="69">
          <cell r="A69">
            <v>40753</v>
          </cell>
        </row>
        <row r="70">
          <cell r="A70">
            <v>40760</v>
          </cell>
        </row>
        <row r="71">
          <cell r="A71">
            <v>40767</v>
          </cell>
        </row>
        <row r="72">
          <cell r="A72">
            <v>40774</v>
          </cell>
        </row>
        <row r="73">
          <cell r="A73">
            <v>40781</v>
          </cell>
        </row>
        <row r="74">
          <cell r="A74">
            <v>40788</v>
          </cell>
        </row>
        <row r="75">
          <cell r="A75">
            <v>40795</v>
          </cell>
        </row>
        <row r="76">
          <cell r="A76">
            <v>40802</v>
          </cell>
        </row>
        <row r="77">
          <cell r="A77">
            <v>40809</v>
          </cell>
        </row>
        <row r="78">
          <cell r="A78">
            <v>40816</v>
          </cell>
        </row>
        <row r="79">
          <cell r="A79">
            <v>40823</v>
          </cell>
        </row>
        <row r="80">
          <cell r="A80">
            <v>40830</v>
          </cell>
        </row>
        <row r="81">
          <cell r="A81">
            <v>40837</v>
          </cell>
        </row>
        <row r="82">
          <cell r="A82">
            <v>40844</v>
          </cell>
        </row>
        <row r="83">
          <cell r="A83">
            <v>40851</v>
          </cell>
        </row>
        <row r="84">
          <cell r="A84">
            <v>40858</v>
          </cell>
        </row>
        <row r="85">
          <cell r="A85">
            <v>40865</v>
          </cell>
        </row>
        <row r="86">
          <cell r="A86">
            <v>40872</v>
          </cell>
        </row>
        <row r="87">
          <cell r="A87">
            <v>40879</v>
          </cell>
        </row>
        <row r="88">
          <cell r="A88">
            <v>40886</v>
          </cell>
        </row>
        <row r="89">
          <cell r="A89">
            <v>40893</v>
          </cell>
        </row>
        <row r="90">
          <cell r="A90">
            <v>40900</v>
          </cell>
        </row>
        <row r="91">
          <cell r="A91">
            <v>40907</v>
          </cell>
        </row>
        <row r="92">
          <cell r="A92">
            <v>40914</v>
          </cell>
        </row>
        <row r="93">
          <cell r="A93">
            <v>40921</v>
          </cell>
        </row>
        <row r="94">
          <cell r="A94">
            <v>40928</v>
          </cell>
        </row>
        <row r="95">
          <cell r="A95">
            <v>40935</v>
          </cell>
        </row>
        <row r="96">
          <cell r="A96">
            <v>40942</v>
          </cell>
        </row>
        <row r="97">
          <cell r="A97">
            <v>40949</v>
          </cell>
        </row>
        <row r="98">
          <cell r="A98">
            <v>40956</v>
          </cell>
        </row>
        <row r="99">
          <cell r="A99">
            <v>40963</v>
          </cell>
        </row>
        <row r="100">
          <cell r="A100">
            <v>40970</v>
          </cell>
        </row>
        <row r="101">
          <cell r="A101">
            <v>40977</v>
          </cell>
        </row>
        <row r="102">
          <cell r="A102">
            <v>40984</v>
          </cell>
        </row>
        <row r="103">
          <cell r="A103">
            <v>40991</v>
          </cell>
        </row>
        <row r="104">
          <cell r="A104">
            <v>40998</v>
          </cell>
        </row>
        <row r="105">
          <cell r="A105">
            <v>41004</v>
          </cell>
        </row>
        <row r="106">
          <cell r="A106">
            <v>41012</v>
          </cell>
        </row>
        <row r="107">
          <cell r="A107">
            <v>41019</v>
          </cell>
        </row>
        <row r="108">
          <cell r="A108">
            <v>41026</v>
          </cell>
        </row>
        <row r="109">
          <cell r="A109">
            <v>41033</v>
          </cell>
        </row>
        <row r="110">
          <cell r="A110">
            <v>41040</v>
          </cell>
        </row>
        <row r="111">
          <cell r="A111">
            <v>41047</v>
          </cell>
        </row>
        <row r="112">
          <cell r="A112">
            <v>41054</v>
          </cell>
        </row>
        <row r="113">
          <cell r="A113">
            <v>41061</v>
          </cell>
        </row>
        <row r="114">
          <cell r="A114">
            <v>41068</v>
          </cell>
        </row>
        <row r="115">
          <cell r="A115">
            <v>41075</v>
          </cell>
        </row>
        <row r="116">
          <cell r="A116">
            <v>41082</v>
          </cell>
        </row>
        <row r="117">
          <cell r="A117">
            <v>41089</v>
          </cell>
        </row>
        <row r="118">
          <cell r="A118">
            <v>41096</v>
          </cell>
        </row>
        <row r="119">
          <cell r="A119">
            <v>41103</v>
          </cell>
        </row>
        <row r="120">
          <cell r="A120">
            <v>41110</v>
          </cell>
        </row>
        <row r="121">
          <cell r="A121">
            <v>41117</v>
          </cell>
        </row>
        <row r="122">
          <cell r="A122">
            <v>41124</v>
          </cell>
        </row>
        <row r="123">
          <cell r="A123">
            <v>41131</v>
          </cell>
        </row>
        <row r="124">
          <cell r="A124">
            <v>41138</v>
          </cell>
        </row>
        <row r="125">
          <cell r="A125">
            <v>41145</v>
          </cell>
        </row>
        <row r="126">
          <cell r="A126">
            <v>41152</v>
          </cell>
        </row>
        <row r="127">
          <cell r="A127">
            <v>41159</v>
          </cell>
        </row>
        <row r="128">
          <cell r="A128">
            <v>41166</v>
          </cell>
        </row>
        <row r="129">
          <cell r="A129">
            <v>41173</v>
          </cell>
        </row>
        <row r="130">
          <cell r="A130">
            <v>41180</v>
          </cell>
        </row>
        <row r="131">
          <cell r="A131">
            <v>41187</v>
          </cell>
        </row>
        <row r="132">
          <cell r="A132">
            <v>41194</v>
          </cell>
        </row>
        <row r="133">
          <cell r="A133">
            <v>41201</v>
          </cell>
        </row>
        <row r="134">
          <cell r="A134">
            <v>41208</v>
          </cell>
        </row>
        <row r="135">
          <cell r="A135">
            <v>41215</v>
          </cell>
        </row>
        <row r="136">
          <cell r="A136">
            <v>41222</v>
          </cell>
        </row>
        <row r="137">
          <cell r="A137">
            <v>41229</v>
          </cell>
        </row>
        <row r="138">
          <cell r="A138">
            <v>41236</v>
          </cell>
        </row>
        <row r="139">
          <cell r="A139">
            <v>41243</v>
          </cell>
        </row>
        <row r="140">
          <cell r="A140">
            <v>41250</v>
          </cell>
        </row>
        <row r="141">
          <cell r="A141">
            <v>41257</v>
          </cell>
        </row>
        <row r="142">
          <cell r="A142">
            <v>41264</v>
          </cell>
        </row>
        <row r="143">
          <cell r="A143">
            <v>41271</v>
          </cell>
        </row>
        <row r="144">
          <cell r="A144">
            <v>41278</v>
          </cell>
        </row>
        <row r="145">
          <cell r="A145">
            <v>41285</v>
          </cell>
        </row>
        <row r="146">
          <cell r="A146">
            <v>41292</v>
          </cell>
        </row>
        <row r="147">
          <cell r="A147">
            <v>41299</v>
          </cell>
        </row>
        <row r="148">
          <cell r="A148">
            <v>41306</v>
          </cell>
        </row>
        <row r="149">
          <cell r="A149">
            <v>41313</v>
          </cell>
        </row>
        <row r="150">
          <cell r="A150">
            <v>41320</v>
          </cell>
        </row>
        <row r="151">
          <cell r="A151">
            <v>41327</v>
          </cell>
        </row>
        <row r="152">
          <cell r="A152">
            <v>41334</v>
          </cell>
        </row>
        <row r="153">
          <cell r="A153">
            <v>41341</v>
          </cell>
        </row>
        <row r="154">
          <cell r="A154">
            <v>41348</v>
          </cell>
        </row>
        <row r="155">
          <cell r="A155">
            <v>41355</v>
          </cell>
        </row>
        <row r="156">
          <cell r="A156">
            <v>41361</v>
          </cell>
        </row>
        <row r="157">
          <cell r="A157">
            <v>41369</v>
          </cell>
        </row>
        <row r="158">
          <cell r="A158">
            <v>41376</v>
          </cell>
        </row>
        <row r="159">
          <cell r="A159">
            <v>41383</v>
          </cell>
        </row>
        <row r="160">
          <cell r="A160">
            <v>41390</v>
          </cell>
        </row>
        <row r="161">
          <cell r="A161">
            <v>41397</v>
          </cell>
        </row>
        <row r="162">
          <cell r="A162">
            <v>41404</v>
          </cell>
        </row>
        <row r="163">
          <cell r="A163">
            <v>41411</v>
          </cell>
        </row>
        <row r="164">
          <cell r="A164">
            <v>41418</v>
          </cell>
        </row>
        <row r="165">
          <cell r="A165">
            <v>41425</v>
          </cell>
        </row>
        <row r="166">
          <cell r="A166">
            <v>41432</v>
          </cell>
        </row>
        <row r="167">
          <cell r="A167">
            <v>41439</v>
          </cell>
        </row>
        <row r="168">
          <cell r="A168">
            <v>41446</v>
          </cell>
        </row>
        <row r="169">
          <cell r="A169">
            <v>41453</v>
          </cell>
        </row>
        <row r="170">
          <cell r="A170">
            <v>41460</v>
          </cell>
        </row>
        <row r="171">
          <cell r="A171">
            <v>41467</v>
          </cell>
        </row>
        <row r="172">
          <cell r="A172">
            <v>41474</v>
          </cell>
        </row>
        <row r="173">
          <cell r="A173">
            <v>41481</v>
          </cell>
        </row>
        <row r="174">
          <cell r="A174">
            <v>41488</v>
          </cell>
        </row>
        <row r="175">
          <cell r="A175">
            <v>41495</v>
          </cell>
        </row>
        <row r="176">
          <cell r="A176">
            <v>41502</v>
          </cell>
        </row>
        <row r="177">
          <cell r="A177">
            <v>41509</v>
          </cell>
        </row>
        <row r="178">
          <cell r="A178">
            <v>41516</v>
          </cell>
        </row>
        <row r="179">
          <cell r="A179">
            <v>41523</v>
          </cell>
        </row>
        <row r="180">
          <cell r="A180">
            <v>41530</v>
          </cell>
        </row>
        <row r="181">
          <cell r="A181">
            <v>41537</v>
          </cell>
        </row>
        <row r="182">
          <cell r="A182">
            <v>41544</v>
          </cell>
        </row>
        <row r="183">
          <cell r="A183">
            <v>41551</v>
          </cell>
        </row>
        <row r="184">
          <cell r="A184">
            <v>41558</v>
          </cell>
        </row>
        <row r="185">
          <cell r="A185">
            <v>41565</v>
          </cell>
        </row>
        <row r="186">
          <cell r="A186">
            <v>41572</v>
          </cell>
        </row>
        <row r="187">
          <cell r="A187">
            <v>41579</v>
          </cell>
        </row>
        <row r="188">
          <cell r="A188">
            <v>41586</v>
          </cell>
        </row>
        <row r="189">
          <cell r="A189">
            <v>41593</v>
          </cell>
        </row>
        <row r="190">
          <cell r="A190">
            <v>41600</v>
          </cell>
        </row>
        <row r="191">
          <cell r="A191">
            <v>41607</v>
          </cell>
        </row>
        <row r="192">
          <cell r="A192">
            <v>41614</v>
          </cell>
        </row>
        <row r="193">
          <cell r="A193">
            <v>41621</v>
          </cell>
        </row>
        <row r="194">
          <cell r="A194">
            <v>41628</v>
          </cell>
        </row>
        <row r="195">
          <cell r="A195">
            <v>41635</v>
          </cell>
        </row>
        <row r="196">
          <cell r="A196">
            <v>41642</v>
          </cell>
        </row>
        <row r="197">
          <cell r="A197">
            <v>41649</v>
          </cell>
        </row>
        <row r="198">
          <cell r="A198">
            <v>41656</v>
          </cell>
        </row>
        <row r="199">
          <cell r="A199">
            <v>41663</v>
          </cell>
        </row>
        <row r="200">
          <cell r="A200">
            <v>41670</v>
          </cell>
        </row>
        <row r="201">
          <cell r="A201">
            <v>41677</v>
          </cell>
        </row>
        <row r="202">
          <cell r="A202">
            <v>41684</v>
          </cell>
        </row>
        <row r="203">
          <cell r="A203">
            <v>41691</v>
          </cell>
        </row>
        <row r="204">
          <cell r="A204">
            <v>41698</v>
          </cell>
        </row>
        <row r="205">
          <cell r="A205">
            <v>41705</v>
          </cell>
        </row>
        <row r="206">
          <cell r="A206">
            <v>41712</v>
          </cell>
        </row>
        <row r="207">
          <cell r="A207">
            <v>41719</v>
          </cell>
        </row>
        <row r="208">
          <cell r="A208">
            <v>41726</v>
          </cell>
        </row>
        <row r="209">
          <cell r="A209">
            <v>41733</v>
          </cell>
        </row>
        <row r="210">
          <cell r="A210">
            <v>41740</v>
          </cell>
        </row>
        <row r="211">
          <cell r="A211">
            <v>41746</v>
          </cell>
        </row>
        <row r="212">
          <cell r="A212">
            <v>41754</v>
          </cell>
        </row>
        <row r="213">
          <cell r="A213">
            <v>41761</v>
          </cell>
        </row>
        <row r="214">
          <cell r="A214">
            <v>41768</v>
          </cell>
        </row>
        <row r="215">
          <cell r="A215">
            <v>41775</v>
          </cell>
        </row>
        <row r="216">
          <cell r="A216">
            <v>41782</v>
          </cell>
        </row>
        <row r="217">
          <cell r="A217">
            <v>41789</v>
          </cell>
        </row>
        <row r="218">
          <cell r="A218">
            <v>41796</v>
          </cell>
        </row>
        <row r="219">
          <cell r="A219">
            <v>41803</v>
          </cell>
        </row>
        <row r="220">
          <cell r="A220">
            <v>41810</v>
          </cell>
        </row>
        <row r="221">
          <cell r="A221">
            <v>41817</v>
          </cell>
        </row>
        <row r="222">
          <cell r="A222">
            <v>41823</v>
          </cell>
        </row>
        <row r="223">
          <cell r="A223">
            <v>41831</v>
          </cell>
        </row>
        <row r="224">
          <cell r="A224">
            <v>41838</v>
          </cell>
        </row>
        <row r="225">
          <cell r="A225">
            <v>41845</v>
          </cell>
        </row>
        <row r="226">
          <cell r="A226">
            <v>41852</v>
          </cell>
        </row>
        <row r="227">
          <cell r="A227">
            <v>41859</v>
          </cell>
        </row>
        <row r="228">
          <cell r="A228">
            <v>41866</v>
          </cell>
        </row>
        <row r="229">
          <cell r="A229">
            <v>41873</v>
          </cell>
        </row>
        <row r="230">
          <cell r="A230">
            <v>41880</v>
          </cell>
        </row>
        <row r="231">
          <cell r="A231">
            <v>41887</v>
          </cell>
        </row>
        <row r="232">
          <cell r="A232">
            <v>41894</v>
          </cell>
        </row>
        <row r="233">
          <cell r="A233">
            <v>41901</v>
          </cell>
        </row>
        <row r="234">
          <cell r="A234">
            <v>41908</v>
          </cell>
        </row>
        <row r="235">
          <cell r="A235">
            <v>41915</v>
          </cell>
        </row>
        <row r="236">
          <cell r="A236">
            <v>41922</v>
          </cell>
        </row>
        <row r="237">
          <cell r="A237">
            <v>41929</v>
          </cell>
        </row>
        <row r="238">
          <cell r="A238">
            <v>41936</v>
          </cell>
        </row>
        <row r="239">
          <cell r="A239">
            <v>41943</v>
          </cell>
        </row>
        <row r="240">
          <cell r="A240">
            <v>41950</v>
          </cell>
        </row>
        <row r="241">
          <cell r="A241">
            <v>41957</v>
          </cell>
        </row>
        <row r="242">
          <cell r="A242">
            <v>41964</v>
          </cell>
        </row>
        <row r="243">
          <cell r="A243">
            <v>41971</v>
          </cell>
        </row>
        <row r="244">
          <cell r="A244">
            <v>41978</v>
          </cell>
        </row>
        <row r="245">
          <cell r="A245">
            <v>41985</v>
          </cell>
        </row>
        <row r="246">
          <cell r="A246">
            <v>41992</v>
          </cell>
        </row>
        <row r="247">
          <cell r="A247">
            <v>41999</v>
          </cell>
        </row>
        <row r="248">
          <cell r="A248">
            <v>42006</v>
          </cell>
        </row>
        <row r="249">
          <cell r="A249">
            <v>42013</v>
          </cell>
        </row>
        <row r="250">
          <cell r="A250">
            <v>42020</v>
          </cell>
        </row>
        <row r="251">
          <cell r="A251">
            <v>42027</v>
          </cell>
        </row>
        <row r="252">
          <cell r="A252">
            <v>42034</v>
          </cell>
        </row>
        <row r="253">
          <cell r="A253">
            <v>42041</v>
          </cell>
        </row>
        <row r="254">
          <cell r="A254">
            <v>42048</v>
          </cell>
        </row>
        <row r="255">
          <cell r="A255">
            <v>42055</v>
          </cell>
        </row>
        <row r="256">
          <cell r="A256">
            <v>42062</v>
          </cell>
        </row>
        <row r="257">
          <cell r="A257">
            <v>42069</v>
          </cell>
        </row>
        <row r="258">
          <cell r="A258">
            <v>42076</v>
          </cell>
        </row>
        <row r="259">
          <cell r="A259">
            <v>42083</v>
          </cell>
        </row>
        <row r="260">
          <cell r="A260">
            <v>42090</v>
          </cell>
        </row>
        <row r="261">
          <cell r="A261">
            <v>42096</v>
          </cell>
        </row>
        <row r="262">
          <cell r="A262">
            <v>42104</v>
          </cell>
        </row>
        <row r="263">
          <cell r="A263">
            <v>42111</v>
          </cell>
        </row>
        <row r="264">
          <cell r="A264">
            <v>42118</v>
          </cell>
        </row>
        <row r="265">
          <cell r="A265">
            <v>42124</v>
          </cell>
        </row>
      </sheetData>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sheetName val="CEO"/>
      <sheetName val="CFO"/>
      <sheetName val="NEO 1"/>
      <sheetName val="NEO 2"/>
      <sheetName val="NEO 3"/>
      <sheetName val="STIP"/>
      <sheetName val="LTIP Design"/>
      <sheetName val="STIP Detail"/>
      <sheetName val="LTIP Perf. Metrics"/>
      <sheetName val="Sheet3"/>
      <sheetName val="Base Salary Data and Chart"/>
      <sheetName val="TCC Data and Chart"/>
      <sheetName val="TDC Data and Chart"/>
      <sheetName val="Draft Comp Structure - Exec Sum"/>
      <sheetName val="Draft Comp Structure"/>
      <sheetName val="Summary of BS, TCC, &amp; TDC"/>
      <sheetName val="_CIQHiddenCacheSheet"/>
      <sheetName val="Key Financials"/>
      <sheetName val="Pay Mix"/>
      <sheetName val="Observations"/>
      <sheetName val="P50&amp;P75 w. and w.o. TC and ENB"/>
      <sheetName val="CEO - no TC or ENB"/>
      <sheetName val="CFO - no TC or ENB"/>
      <sheetName val="NEO 1 - no TC or ENB"/>
      <sheetName val="NEO 2 - no TC or ENB"/>
      <sheetName val="NEO 3 - no TC or ENB"/>
      <sheetName val="Input"/>
      <sheetName val="CEO - old peer group"/>
      <sheetName val="CEO - Charts"/>
      <sheetName val="CIQ_LinkingNames"/>
      <sheetName val="CEO - new peer group"/>
      <sheetName val="CEO - Charts (2)"/>
      <sheetName val="Master - Charts"/>
      <sheetName val="Master - LTI Review"/>
      <sheetName val="Tab-Sort"/>
    </sheetNames>
    <sheetDataSet>
      <sheetData sheetId="0">
        <row r="1">
          <cell r="B1" t="str">
            <v>Date</v>
          </cell>
          <cell r="C1">
            <v>41540</v>
          </cell>
        </row>
        <row r="2">
          <cell r="B2" t="str">
            <v>Currency</v>
          </cell>
          <cell r="C2" t="str">
            <v>CAD</v>
          </cell>
          <cell r="T2">
            <v>0.44999999999999996</v>
          </cell>
          <cell r="U2">
            <v>0.375</v>
          </cell>
        </row>
        <row r="3">
          <cell r="A3">
            <v>0.375</v>
          </cell>
          <cell r="B3" t="str">
            <v>FX</v>
          </cell>
          <cell r="C3">
            <v>1</v>
          </cell>
          <cell r="D3">
            <v>1</v>
          </cell>
          <cell r="E3">
            <v>1</v>
          </cell>
          <cell r="F3">
            <v>1</v>
          </cell>
          <cell r="G3">
            <v>1</v>
          </cell>
          <cell r="H3">
            <v>1</v>
          </cell>
          <cell r="I3">
            <v>1</v>
          </cell>
          <cell r="J3">
            <v>1</v>
          </cell>
          <cell r="K3" t="str">
            <v>Base Salary</v>
          </cell>
          <cell r="L3">
            <v>1</v>
          </cell>
          <cell r="M3">
            <v>1</v>
          </cell>
          <cell r="N3" t="str">
            <v>STIP</v>
          </cell>
          <cell r="O3">
            <v>1</v>
          </cell>
          <cell r="P3">
            <v>1</v>
          </cell>
          <cell r="Q3">
            <v>1</v>
          </cell>
          <cell r="R3">
            <v>1</v>
          </cell>
          <cell r="S3">
            <v>1</v>
          </cell>
          <cell r="T3">
            <v>0.83</v>
          </cell>
          <cell r="U3">
            <v>0.82999992370605469</v>
          </cell>
          <cell r="V3" t="str">
            <v>Long-Term Incentives</v>
          </cell>
          <cell r="W3">
            <v>0.82999992370605469</v>
          </cell>
          <cell r="X3">
            <v>0.82999992370605469</v>
          </cell>
          <cell r="Y3">
            <v>0.82999992370605469</v>
          </cell>
          <cell r="Z3">
            <v>0.82999992370605469</v>
          </cell>
          <cell r="AA3">
            <v>0.82999992370605469</v>
          </cell>
          <cell r="AB3">
            <v>0.82999992370605469</v>
          </cell>
          <cell r="AC3">
            <v>0.82999992370605469</v>
          </cell>
          <cell r="AD3">
            <v>0.82999992370605469</v>
          </cell>
          <cell r="AE3">
            <v>0.82999992370605469</v>
          </cell>
          <cell r="AF3">
            <v>0.82999992370605469</v>
          </cell>
          <cell r="AG3" t="str">
            <v>Total Direct Compensation</v>
          </cell>
          <cell r="AH3">
            <v>0.82999992370605469</v>
          </cell>
          <cell r="AI3">
            <v>0.82999992370605469</v>
          </cell>
          <cell r="AJ3">
            <v>0.82999992370605469</v>
          </cell>
        </row>
        <row r="4">
          <cell r="A4">
            <v>0</v>
          </cell>
          <cell r="B4" t="str">
            <v>Ticker</v>
          </cell>
          <cell r="C4" t="str">
            <v>Company</v>
          </cell>
          <cell r="D4" t="str">
            <v>Year</v>
          </cell>
          <cell r="E4" t="str">
            <v>Months</v>
          </cell>
          <cell r="F4" t="str">
            <v>Currency of Disclosure</v>
          </cell>
          <cell r="G4" t="str">
            <v>FX Rate</v>
          </cell>
          <cell r="H4" t="str">
            <v>Position Match</v>
          </cell>
          <cell r="I4" t="str">
            <v>Position Title</v>
          </cell>
          <cell r="J4" t="str">
            <v>Incumbent</v>
          </cell>
          <cell r="K4" t="str">
            <v>Actual Paid</v>
          </cell>
          <cell r="L4" t="str">
            <v>Annualized / Converted</v>
          </cell>
          <cell r="M4" t="str">
            <v>Latest (if disclosed)</v>
          </cell>
          <cell r="N4" t="str">
            <v>Actual $</v>
          </cell>
          <cell r="O4" t="str">
            <v>Annualized/ Converted</v>
          </cell>
          <cell r="P4" t="str">
            <v>Actual STI %</v>
          </cell>
          <cell r="Q4" t="str">
            <v>3 Year Average STIP %</v>
          </cell>
          <cell r="R4" t="str">
            <v>Target STI %</v>
          </cell>
          <cell r="S4" t="str">
            <v>Target STI $</v>
          </cell>
          <cell r="T4" t="str">
            <v>Actual TCC</v>
          </cell>
          <cell r="U4" t="str">
            <v>Target TCC</v>
          </cell>
          <cell r="V4" t="str">
            <v>RSUs</v>
          </cell>
          <cell r="W4" t="str">
            <v>PSUs</v>
          </cell>
          <cell r="X4" t="str">
            <v>Stock Options</v>
          </cell>
          <cell r="Y4" t="str">
            <v>DSUs</v>
          </cell>
          <cell r="Z4" t="str">
            <v>LT Cash</v>
          </cell>
          <cell r="AA4" t="str">
            <v>Total LTI $</v>
          </cell>
          <cell r="AB4" t="str">
            <v>3 Year Average LTIP %</v>
          </cell>
          <cell r="AC4" t="str">
            <v>Total LTI %</v>
          </cell>
          <cell r="AD4" t="str">
            <v>Target LTI %</v>
          </cell>
          <cell r="AE4" t="str">
            <v>Target LTI $</v>
          </cell>
          <cell r="AF4" t="str">
            <v>Total LTI
(Converted)</v>
          </cell>
          <cell r="AG4" t="str">
            <v>Actual 
(base + actual bonus + actual LTIP)</v>
          </cell>
          <cell r="AH4" t="str">
            <v>Target 
(base + target bonus + Target LTIP)</v>
          </cell>
          <cell r="AI4" t="str">
            <v>Pension</v>
          </cell>
          <cell r="AJ4" t="str">
            <v>Other</v>
          </cell>
        </row>
        <row r="5">
          <cell r="A5">
            <v>1</v>
          </cell>
          <cell r="B5">
            <v>2</v>
          </cell>
          <cell r="C5">
            <v>3</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33</v>
          </cell>
          <cell r="AI5">
            <v>34</v>
          </cell>
          <cell r="AJ5">
            <v>0</v>
          </cell>
        </row>
        <row r="6">
          <cell r="A6" t="str">
            <v>Vlookup</v>
          </cell>
          <cell r="B6" t="str">
            <v>Ticker</v>
          </cell>
          <cell r="C6" t="str">
            <v>Company</v>
          </cell>
          <cell r="D6" t="str">
            <v>Year</v>
          </cell>
          <cell r="E6" t="str">
            <v>months</v>
          </cell>
          <cell r="F6" t="str">
            <v>Currency of disclosure</v>
          </cell>
          <cell r="G6" t="str">
            <v>FX rate</v>
          </cell>
          <cell r="H6" t="str">
            <v>Incumbent</v>
          </cell>
          <cell r="I6" t="str">
            <v>Position Title</v>
          </cell>
          <cell r="J6" t="str">
            <v>Position Match</v>
          </cell>
          <cell r="K6" t="str">
            <v>Market Cap</v>
          </cell>
          <cell r="L6" t="str">
            <v>TEV</v>
          </cell>
          <cell r="M6" t="str">
            <v>Base Salary</v>
          </cell>
          <cell r="N6">
            <v>0</v>
          </cell>
          <cell r="O6">
            <v>0</v>
          </cell>
          <cell r="P6" t="str">
            <v>STIP</v>
          </cell>
          <cell r="Q6">
            <v>0</v>
          </cell>
          <cell r="R6">
            <v>0</v>
          </cell>
          <cell r="S6">
            <v>0</v>
          </cell>
          <cell r="T6">
            <v>0</v>
          </cell>
          <cell r="U6">
            <v>0</v>
          </cell>
          <cell r="V6" t="str">
            <v>Total Cash Compensation</v>
          </cell>
          <cell r="W6">
            <v>0</v>
          </cell>
          <cell r="X6">
            <v>0</v>
          </cell>
          <cell r="Y6" t="str">
            <v>Long-Term Incentives</v>
          </cell>
          <cell r="Z6">
            <v>0</v>
          </cell>
          <cell r="AA6">
            <v>0</v>
          </cell>
          <cell r="AB6">
            <v>0</v>
          </cell>
          <cell r="AC6">
            <v>0</v>
          </cell>
          <cell r="AD6" t="str">
            <v>Total Direct Compensation</v>
          </cell>
          <cell r="AE6">
            <v>0</v>
          </cell>
          <cell r="AF6" t="str">
            <v>Notes:</v>
          </cell>
          <cell r="AG6" t="str">
            <v>General Company Notes:</v>
          </cell>
          <cell r="AH6" t="str">
            <v>Share Ownership Requirements</v>
          </cell>
          <cell r="AI6" t="str">
            <v>Years to reach SOR</v>
          </cell>
          <cell r="AJ6" t="str">
            <v>SOG Notes</v>
          </cell>
        </row>
        <row r="7">
          <cell r="A7">
            <v>0</v>
          </cell>
          <cell r="B7">
            <v>0</v>
          </cell>
          <cell r="C7">
            <v>0</v>
          </cell>
          <cell r="D7">
            <v>0</v>
          </cell>
          <cell r="E7">
            <v>0</v>
          </cell>
          <cell r="F7">
            <v>0</v>
          </cell>
          <cell r="G7">
            <v>0</v>
          </cell>
          <cell r="H7">
            <v>0</v>
          </cell>
          <cell r="I7">
            <v>0</v>
          </cell>
          <cell r="J7">
            <v>0</v>
          </cell>
          <cell r="K7">
            <v>0</v>
          </cell>
          <cell r="L7">
            <v>0</v>
          </cell>
          <cell r="M7" t="str">
            <v>Actual Paid</v>
          </cell>
          <cell r="N7" t="str">
            <v>Annualized / Converted</v>
          </cell>
          <cell r="O7" t="str">
            <v>Latest 
(if disclosed)</v>
          </cell>
          <cell r="P7" t="str">
            <v>Actual $</v>
          </cell>
          <cell r="Q7" t="str">
            <v>Annualized / Converted $</v>
          </cell>
          <cell r="R7" t="str">
            <v xml:space="preserve">Actual % </v>
          </cell>
          <cell r="S7" t="str">
            <v>Target %</v>
          </cell>
          <cell r="T7" t="str">
            <v>Max %</v>
          </cell>
          <cell r="U7" t="str">
            <v>Target $</v>
          </cell>
          <cell r="V7" t="str">
            <v>Actual</v>
          </cell>
          <cell r="W7" t="str">
            <v>Target</v>
          </cell>
          <cell r="X7" t="str">
            <v>Max</v>
          </cell>
          <cell r="Y7" t="str">
            <v>RSU/PSU</v>
          </cell>
          <cell r="Z7" t="str">
            <v>Stock Options</v>
          </cell>
          <cell r="AA7" t="str">
            <v>Total LTI
(Actual)</v>
          </cell>
          <cell r="AB7" t="str">
            <v>Total LTI %</v>
          </cell>
          <cell r="AC7" t="str">
            <v>Total LTI
(Converted)</v>
          </cell>
          <cell r="AD7" t="str">
            <v>Actual 
(base + bonus + actual LTIP)</v>
          </cell>
          <cell r="AE7" t="str">
            <v>Target 
(base + target bonus + 3-yr average LTIP)</v>
          </cell>
          <cell r="AF7">
            <v>0</v>
          </cell>
          <cell r="AG7">
            <v>0</v>
          </cell>
          <cell r="AH7">
            <v>0</v>
          </cell>
          <cell r="AI7">
            <v>0</v>
          </cell>
          <cell r="AJ7">
            <v>0</v>
          </cell>
        </row>
        <row r="8">
          <cell r="A8" t="str">
            <v>nyse:elli_2015_CEO</v>
          </cell>
          <cell r="B8" t="str">
            <v>CLIENT</v>
          </cell>
          <cell r="C8" t="str">
            <v>Ellie Mae, Inc.</v>
          </cell>
          <cell r="D8">
            <v>0</v>
          </cell>
          <cell r="E8">
            <v>0</v>
          </cell>
          <cell r="F8">
            <v>0</v>
          </cell>
          <cell r="G8">
            <v>0</v>
          </cell>
          <cell r="H8" t="str">
            <v>CEO</v>
          </cell>
          <cell r="I8" t="str">
            <v>CEO</v>
          </cell>
          <cell r="J8" t="str">
            <v>Jonathan Corr</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2443218.7025000001</v>
          </cell>
          <cell r="AG8">
            <v>0</v>
          </cell>
          <cell r="AH8">
            <v>0</v>
          </cell>
          <cell r="AI8">
            <v>0</v>
          </cell>
          <cell r="AJ8">
            <v>0</v>
          </cell>
        </row>
        <row r="9">
          <cell r="A9" t="str">
            <v>TSX:IPL_CEO_2012</v>
          </cell>
          <cell r="B9" t="str">
            <v>TSX:IPL</v>
          </cell>
          <cell r="C9" t="str">
            <v>Inter Pipeline Ltd.</v>
          </cell>
          <cell r="D9">
            <v>2012</v>
          </cell>
          <cell r="E9">
            <v>12</v>
          </cell>
          <cell r="F9" t="str">
            <v>CAD</v>
          </cell>
          <cell r="G9">
            <v>1</v>
          </cell>
          <cell r="H9" t="str">
            <v>Dave Fesyk</v>
          </cell>
          <cell r="I9" t="str">
            <v>President and CEO</v>
          </cell>
          <cell r="J9" t="str">
            <v>CEO</v>
          </cell>
          <cell r="K9">
            <v>7344.6493600000003</v>
          </cell>
          <cell r="L9">
            <v>10955.889359999999</v>
          </cell>
          <cell r="M9">
            <v>600000</v>
          </cell>
          <cell r="N9">
            <v>600000</v>
          </cell>
          <cell r="O9" t="str">
            <v>n/d</v>
          </cell>
          <cell r="P9">
            <v>1250000</v>
          </cell>
          <cell r="Q9">
            <v>1250000</v>
          </cell>
          <cell r="R9">
            <v>2.0833333333333335</v>
          </cell>
          <cell r="S9" t="str">
            <v>n/d</v>
          </cell>
          <cell r="T9" t="str">
            <v>n/d</v>
          </cell>
          <cell r="U9" t="str">
            <v>input</v>
          </cell>
          <cell r="V9">
            <v>1850000</v>
          </cell>
          <cell r="W9" t="str">
            <v>input</v>
          </cell>
          <cell r="X9" t="str">
            <v>input</v>
          </cell>
          <cell r="Y9">
            <v>2500000</v>
          </cell>
          <cell r="Z9">
            <v>0</v>
          </cell>
          <cell r="AA9">
            <v>2500000</v>
          </cell>
          <cell r="AB9">
            <v>4.166666666666667</v>
          </cell>
          <cell r="AC9">
            <v>2500000</v>
          </cell>
          <cell r="AD9">
            <v>4350000</v>
          </cell>
          <cell r="AE9">
            <v>0</v>
          </cell>
          <cell r="AF9">
            <v>0</v>
          </cell>
          <cell r="AG9" t="str">
            <v>Company's approach to STIP is not formulaic. As such, they do not have any targets in place. Rather, they believe in a more methodical approach.</v>
          </cell>
          <cell r="AH9" t="str">
            <v>n/a</v>
          </cell>
          <cell r="AI9" t="str">
            <v>n/a</v>
          </cell>
          <cell r="AJ9">
            <v>0</v>
          </cell>
        </row>
        <row r="10">
          <cell r="A10" t="str">
            <v>TSX:IPL_CEO_2011</v>
          </cell>
          <cell r="B10" t="str">
            <v>TSX:IPL</v>
          </cell>
          <cell r="C10" t="str">
            <v>Inter Pipeline Ltd.</v>
          </cell>
          <cell r="D10">
            <v>2011</v>
          </cell>
          <cell r="E10">
            <v>12</v>
          </cell>
          <cell r="F10" t="str">
            <v>CAD</v>
          </cell>
          <cell r="G10">
            <v>1</v>
          </cell>
          <cell r="H10" t="str">
            <v>Dave Fesyk</v>
          </cell>
          <cell r="I10" t="str">
            <v>President and CEO</v>
          </cell>
          <cell r="J10" t="str">
            <v>CEO</v>
          </cell>
          <cell r="K10">
            <v>7344.6493600000003</v>
          </cell>
          <cell r="L10">
            <v>10955.889359999999</v>
          </cell>
          <cell r="M10">
            <v>580000</v>
          </cell>
          <cell r="N10">
            <v>580000</v>
          </cell>
          <cell r="O10">
            <v>0</v>
          </cell>
          <cell r="P10">
            <v>1000000</v>
          </cell>
          <cell r="Q10">
            <v>1000000</v>
          </cell>
          <cell r="R10">
            <v>1.7241379310344827</v>
          </cell>
          <cell r="S10">
            <v>0</v>
          </cell>
          <cell r="T10">
            <v>0</v>
          </cell>
          <cell r="U10">
            <v>0</v>
          </cell>
          <cell r="V10">
            <v>0</v>
          </cell>
          <cell r="W10">
            <v>0</v>
          </cell>
          <cell r="X10">
            <v>0</v>
          </cell>
          <cell r="Y10">
            <v>2200000</v>
          </cell>
          <cell r="Z10">
            <v>0</v>
          </cell>
          <cell r="AA10">
            <v>2200000</v>
          </cell>
          <cell r="AB10">
            <v>3.7931034482758621</v>
          </cell>
          <cell r="AC10">
            <v>2200000</v>
          </cell>
          <cell r="AD10">
            <v>3780000</v>
          </cell>
          <cell r="AE10">
            <v>0</v>
          </cell>
          <cell r="AF10">
            <v>0</v>
          </cell>
          <cell r="AG10">
            <v>0</v>
          </cell>
          <cell r="AH10">
            <v>0</v>
          </cell>
          <cell r="AI10">
            <v>0</v>
          </cell>
          <cell r="AJ10">
            <v>0</v>
          </cell>
        </row>
        <row r="11">
          <cell r="A11" t="str">
            <v>TSX:IPL_CEO_2010</v>
          </cell>
          <cell r="B11" t="str">
            <v>TSX:IPL</v>
          </cell>
          <cell r="C11" t="str">
            <v>Inter Pipeline Ltd.</v>
          </cell>
          <cell r="D11">
            <v>2010</v>
          </cell>
          <cell r="E11">
            <v>12</v>
          </cell>
          <cell r="F11" t="str">
            <v>CAD</v>
          </cell>
          <cell r="G11">
            <v>1</v>
          </cell>
          <cell r="H11" t="str">
            <v>Dave Fesyk</v>
          </cell>
          <cell r="I11" t="str">
            <v>President and CEO</v>
          </cell>
          <cell r="J11" t="str">
            <v>CEO</v>
          </cell>
          <cell r="K11">
            <v>7344.6493600000003</v>
          </cell>
          <cell r="L11">
            <v>10955.889359999999</v>
          </cell>
          <cell r="M11">
            <v>570000</v>
          </cell>
          <cell r="N11">
            <v>570000</v>
          </cell>
          <cell r="O11">
            <v>0</v>
          </cell>
          <cell r="P11">
            <v>900000</v>
          </cell>
          <cell r="Q11">
            <v>900000</v>
          </cell>
          <cell r="R11">
            <v>1.5789473684210527</v>
          </cell>
          <cell r="S11">
            <v>0</v>
          </cell>
          <cell r="T11">
            <v>0</v>
          </cell>
          <cell r="U11">
            <v>0</v>
          </cell>
          <cell r="V11">
            <v>0</v>
          </cell>
          <cell r="W11">
            <v>0</v>
          </cell>
          <cell r="X11">
            <v>0</v>
          </cell>
          <cell r="Y11">
            <v>2000000</v>
          </cell>
          <cell r="Z11">
            <v>0</v>
          </cell>
          <cell r="AA11">
            <v>2000000</v>
          </cell>
          <cell r="AB11">
            <v>3.5087719298245612</v>
          </cell>
          <cell r="AC11">
            <v>2000000</v>
          </cell>
          <cell r="AD11">
            <v>3470000</v>
          </cell>
          <cell r="AE11">
            <v>0</v>
          </cell>
          <cell r="AF11">
            <v>0</v>
          </cell>
          <cell r="AG11">
            <v>6424454.9264200004</v>
          </cell>
          <cell r="AH11">
            <v>0</v>
          </cell>
          <cell r="AI11">
            <v>0</v>
          </cell>
          <cell r="AJ11">
            <v>0</v>
          </cell>
        </row>
        <row r="12">
          <cell r="A12" t="str">
            <v>TSX:IPL_CEO_Target</v>
          </cell>
          <cell r="B12" t="str">
            <v>TSX:IPL</v>
          </cell>
          <cell r="C12" t="str">
            <v>Inter Pipeline Ltd.</v>
          </cell>
          <cell r="D12" t="str">
            <v>Target</v>
          </cell>
          <cell r="E12">
            <v>12</v>
          </cell>
          <cell r="F12" t="str">
            <v>CAD</v>
          </cell>
          <cell r="G12">
            <v>1</v>
          </cell>
          <cell r="H12" t="str">
            <v>Dave Fesyk</v>
          </cell>
          <cell r="I12" t="str">
            <v>President and CEO</v>
          </cell>
          <cell r="J12" t="str">
            <v>CEO</v>
          </cell>
          <cell r="K12">
            <v>7344.6493600000003</v>
          </cell>
          <cell r="L12">
            <v>10955.889359999999</v>
          </cell>
          <cell r="M12">
            <v>600000</v>
          </cell>
          <cell r="N12">
            <v>600000</v>
          </cell>
          <cell r="O12" t="str">
            <v>n/d</v>
          </cell>
          <cell r="P12">
            <v>1250000</v>
          </cell>
          <cell r="Q12">
            <v>1250000</v>
          </cell>
          <cell r="R12">
            <v>2.0833333333333335</v>
          </cell>
          <cell r="S12">
            <v>1.7954728775962898</v>
          </cell>
          <cell r="T12" t="str">
            <v>n/d</v>
          </cell>
          <cell r="U12">
            <v>1077283.726557774</v>
          </cell>
          <cell r="V12">
            <v>1850000</v>
          </cell>
          <cell r="W12">
            <v>1677283.726557774</v>
          </cell>
          <cell r="X12" t="str">
            <v>input</v>
          </cell>
          <cell r="Y12">
            <v>2233333.3333333335</v>
          </cell>
          <cell r="Z12" t="str">
            <v>input</v>
          </cell>
          <cell r="AA12">
            <v>0</v>
          </cell>
          <cell r="AB12">
            <v>3.8228473482556971</v>
          </cell>
          <cell r="AC12">
            <v>2293708.408953418</v>
          </cell>
          <cell r="AD12">
            <v>0</v>
          </cell>
          <cell r="AE12">
            <v>3970992.135511192</v>
          </cell>
          <cell r="AF12">
            <v>0</v>
          </cell>
          <cell r="AG12">
            <v>0</v>
          </cell>
          <cell r="AH12">
            <v>0</v>
          </cell>
          <cell r="AI12">
            <v>0</v>
          </cell>
          <cell r="AJ12">
            <v>0</v>
          </cell>
        </row>
        <row r="13">
          <cell r="A13" t="str">
            <v>TSX:IPL_CFO_2012</v>
          </cell>
          <cell r="B13" t="str">
            <v>TSX:IPL</v>
          </cell>
          <cell r="C13" t="str">
            <v>Inter Pipeline Ltd.</v>
          </cell>
          <cell r="D13">
            <v>2012</v>
          </cell>
          <cell r="E13">
            <v>12</v>
          </cell>
          <cell r="F13" t="str">
            <v>CAD</v>
          </cell>
          <cell r="G13">
            <v>1</v>
          </cell>
          <cell r="H13" t="str">
            <v>William van Yzerloo</v>
          </cell>
          <cell r="I13" t="str">
            <v>CFO</v>
          </cell>
          <cell r="J13" t="str">
            <v>CFO</v>
          </cell>
          <cell r="K13">
            <v>7344.6493600000003</v>
          </cell>
          <cell r="L13">
            <v>10955.889359999999</v>
          </cell>
          <cell r="M13">
            <v>385000</v>
          </cell>
          <cell r="N13">
            <v>385000</v>
          </cell>
          <cell r="O13" t="str">
            <v>n/d</v>
          </cell>
          <cell r="P13">
            <v>600000</v>
          </cell>
          <cell r="Q13">
            <v>600000</v>
          </cell>
          <cell r="R13">
            <v>1.5584415584415585</v>
          </cell>
          <cell r="S13" t="str">
            <v>n/d</v>
          </cell>
          <cell r="T13" t="str">
            <v>n/d</v>
          </cell>
          <cell r="U13" t="str">
            <v>input</v>
          </cell>
          <cell r="V13">
            <v>985000</v>
          </cell>
          <cell r="W13" t="str">
            <v>input</v>
          </cell>
          <cell r="X13" t="str">
            <v>input</v>
          </cell>
          <cell r="Y13">
            <v>1225000</v>
          </cell>
          <cell r="Z13">
            <v>0</v>
          </cell>
          <cell r="AA13">
            <v>1225000</v>
          </cell>
          <cell r="AB13">
            <v>3.1818181818181817</v>
          </cell>
          <cell r="AC13">
            <v>1225000</v>
          </cell>
          <cell r="AD13">
            <v>2210000</v>
          </cell>
          <cell r="AE13">
            <v>0</v>
          </cell>
          <cell r="AF13">
            <v>2728263.7650000001</v>
          </cell>
          <cell r="AG13">
            <v>3275207.5465500001</v>
          </cell>
          <cell r="AH13" t="str">
            <v>n/a</v>
          </cell>
          <cell r="AI13" t="str">
            <v>n/a</v>
          </cell>
          <cell r="AJ13">
            <v>3060</v>
          </cell>
        </row>
        <row r="14">
          <cell r="A14" t="str">
            <v>TSX:IPL_CFO_2011</v>
          </cell>
          <cell r="B14" t="str">
            <v>TSX:IPL</v>
          </cell>
          <cell r="C14" t="str">
            <v>Inter Pipeline Ltd.</v>
          </cell>
          <cell r="D14">
            <v>2011</v>
          </cell>
          <cell r="E14">
            <v>12</v>
          </cell>
          <cell r="F14" t="str">
            <v>CAD</v>
          </cell>
          <cell r="G14">
            <v>1</v>
          </cell>
          <cell r="H14" t="str">
            <v>William van Yzerloo</v>
          </cell>
          <cell r="I14" t="str">
            <v>CFO</v>
          </cell>
          <cell r="J14" t="str">
            <v>CFO</v>
          </cell>
          <cell r="K14">
            <v>7344.6493600000003</v>
          </cell>
          <cell r="L14">
            <v>10955.889359999999</v>
          </cell>
          <cell r="M14">
            <v>375000</v>
          </cell>
          <cell r="N14">
            <v>375000</v>
          </cell>
          <cell r="O14">
            <v>0</v>
          </cell>
          <cell r="P14">
            <v>500000</v>
          </cell>
          <cell r="Q14">
            <v>500000</v>
          </cell>
          <cell r="R14">
            <v>1.3333333333333333</v>
          </cell>
          <cell r="S14">
            <v>0</v>
          </cell>
          <cell r="T14">
            <v>0</v>
          </cell>
          <cell r="U14">
            <v>0</v>
          </cell>
          <cell r="V14">
            <v>0</v>
          </cell>
          <cell r="W14">
            <v>0</v>
          </cell>
          <cell r="X14">
            <v>0</v>
          </cell>
          <cell r="Y14">
            <v>1125000</v>
          </cell>
          <cell r="Z14">
            <v>0</v>
          </cell>
          <cell r="AA14">
            <v>1125000</v>
          </cell>
          <cell r="AB14">
            <v>3</v>
          </cell>
          <cell r="AC14">
            <v>1125000</v>
          </cell>
          <cell r="AD14">
            <v>2000000</v>
          </cell>
          <cell r="AE14">
            <v>0</v>
          </cell>
          <cell r="AF14">
            <v>1377392.03238</v>
          </cell>
          <cell r="AG14">
            <v>2928004.7323799999</v>
          </cell>
          <cell r="AH14">
            <v>0</v>
          </cell>
          <cell r="AI14">
            <v>0</v>
          </cell>
          <cell r="AJ14">
            <v>0</v>
          </cell>
        </row>
        <row r="15">
          <cell r="A15" t="str">
            <v>TSX:IPL_CFO_2010</v>
          </cell>
          <cell r="B15" t="str">
            <v>TSX:IPL</v>
          </cell>
          <cell r="C15" t="str">
            <v>Inter Pipeline Ltd.</v>
          </cell>
          <cell r="D15">
            <v>2010</v>
          </cell>
          <cell r="E15">
            <v>12</v>
          </cell>
          <cell r="F15" t="str">
            <v>CAD</v>
          </cell>
          <cell r="G15">
            <v>1</v>
          </cell>
          <cell r="H15" t="str">
            <v>William van Yzerloo</v>
          </cell>
          <cell r="I15" t="str">
            <v>CFO</v>
          </cell>
          <cell r="J15" t="str">
            <v>CFO</v>
          </cell>
          <cell r="K15">
            <v>7344.6493600000003</v>
          </cell>
          <cell r="L15">
            <v>10955.889359999999</v>
          </cell>
          <cell r="M15">
            <v>365000</v>
          </cell>
          <cell r="N15">
            <v>365000</v>
          </cell>
          <cell r="O15">
            <v>0</v>
          </cell>
          <cell r="P15">
            <v>500000</v>
          </cell>
          <cell r="Q15">
            <v>500000</v>
          </cell>
          <cell r="R15">
            <v>1.3698630136986301</v>
          </cell>
          <cell r="S15">
            <v>0</v>
          </cell>
          <cell r="T15">
            <v>0</v>
          </cell>
          <cell r="U15">
            <v>0</v>
          </cell>
          <cell r="V15">
            <v>0</v>
          </cell>
          <cell r="W15">
            <v>0</v>
          </cell>
          <cell r="X15">
            <v>0</v>
          </cell>
          <cell r="Y15">
            <v>1075000</v>
          </cell>
          <cell r="Z15">
            <v>0</v>
          </cell>
          <cell r="AA15">
            <v>1075000</v>
          </cell>
          <cell r="AB15">
            <v>2.9452054794520546</v>
          </cell>
          <cell r="AC15">
            <v>1075000</v>
          </cell>
          <cell r="AD15">
            <v>1940000</v>
          </cell>
          <cell r="AE15">
            <v>0</v>
          </cell>
          <cell r="AF15">
            <v>0</v>
          </cell>
          <cell r="AG15">
            <v>2440449.0737899998</v>
          </cell>
          <cell r="AH15">
            <v>0</v>
          </cell>
          <cell r="AI15">
            <v>0</v>
          </cell>
          <cell r="AJ15">
            <v>0</v>
          </cell>
        </row>
        <row r="16">
          <cell r="A16" t="str">
            <v>TSX:IPL_CFO_Target</v>
          </cell>
          <cell r="B16" t="str">
            <v>TSX:IPL</v>
          </cell>
          <cell r="C16" t="str">
            <v>Inter Pipeline Ltd.</v>
          </cell>
          <cell r="D16" t="str">
            <v>Target</v>
          </cell>
          <cell r="E16">
            <v>12</v>
          </cell>
          <cell r="F16" t="str">
            <v>CAD</v>
          </cell>
          <cell r="G16">
            <v>1</v>
          </cell>
          <cell r="H16" t="str">
            <v>William van Yzerloo</v>
          </cell>
          <cell r="I16" t="str">
            <v>CFO</v>
          </cell>
          <cell r="J16" t="str">
            <v>CFO</v>
          </cell>
          <cell r="K16">
            <v>7344.6493600000003</v>
          </cell>
          <cell r="L16">
            <v>10955.889359999999</v>
          </cell>
          <cell r="M16">
            <v>385000</v>
          </cell>
          <cell r="N16">
            <v>385000</v>
          </cell>
          <cell r="O16" t="str">
            <v>n/d</v>
          </cell>
          <cell r="P16">
            <v>600000</v>
          </cell>
          <cell r="Q16">
            <v>600000</v>
          </cell>
          <cell r="R16">
            <v>1.5584415584415585</v>
          </cell>
          <cell r="S16">
            <v>1.4205459684911741</v>
          </cell>
          <cell r="T16" t="str">
            <v>n/d</v>
          </cell>
          <cell r="U16">
            <v>546910.197869102</v>
          </cell>
          <cell r="V16">
            <v>985000</v>
          </cell>
          <cell r="W16">
            <v>931910.197869102</v>
          </cell>
          <cell r="X16" t="str">
            <v>input</v>
          </cell>
          <cell r="Y16">
            <v>1141666.6666666667</v>
          </cell>
          <cell r="Z16" t="str">
            <v>input</v>
          </cell>
          <cell r="AA16">
            <v>0</v>
          </cell>
          <cell r="AB16">
            <v>3.0423412204234119</v>
          </cell>
          <cell r="AC16">
            <v>1171301.3698630135</v>
          </cell>
          <cell r="AD16">
            <v>0</v>
          </cell>
          <cell r="AE16">
            <v>2103211.5677321153</v>
          </cell>
          <cell r="AF16">
            <v>0</v>
          </cell>
          <cell r="AG16">
            <v>0</v>
          </cell>
          <cell r="AH16">
            <v>0</v>
          </cell>
          <cell r="AI16">
            <v>0</v>
          </cell>
          <cell r="AJ16">
            <v>0</v>
          </cell>
        </row>
        <row r="17">
          <cell r="A17" t="str">
            <v>TSX:IPL_NEO 1_2012</v>
          </cell>
          <cell r="B17" t="str">
            <v>TSX:IPL</v>
          </cell>
          <cell r="C17" t="str">
            <v>Inter Pipeline Ltd.</v>
          </cell>
          <cell r="D17">
            <v>2012</v>
          </cell>
          <cell r="E17">
            <v>12</v>
          </cell>
          <cell r="F17" t="str">
            <v>CAD</v>
          </cell>
          <cell r="G17">
            <v>1</v>
          </cell>
          <cell r="H17" t="str">
            <v>Christian Bayle</v>
          </cell>
          <cell r="I17" t="str">
            <v>COO</v>
          </cell>
          <cell r="J17" t="str">
            <v>NEO 1</v>
          </cell>
          <cell r="K17">
            <v>7344.6493600000003</v>
          </cell>
          <cell r="L17">
            <v>10955.889359999999</v>
          </cell>
          <cell r="M17">
            <v>350000</v>
          </cell>
          <cell r="N17">
            <v>350000</v>
          </cell>
          <cell r="O17" t="str">
            <v>n/d</v>
          </cell>
          <cell r="P17">
            <v>650000</v>
          </cell>
          <cell r="Q17">
            <v>650000</v>
          </cell>
          <cell r="R17">
            <v>1.8571428571428572</v>
          </cell>
          <cell r="S17" t="str">
            <v>n/d</v>
          </cell>
          <cell r="T17" t="str">
            <v>n/d</v>
          </cell>
          <cell r="U17" t="str">
            <v>input</v>
          </cell>
          <cell r="V17">
            <v>1000000</v>
          </cell>
          <cell r="W17" t="str">
            <v>input</v>
          </cell>
          <cell r="X17" t="str">
            <v>input</v>
          </cell>
          <cell r="Y17">
            <v>1100000</v>
          </cell>
          <cell r="Z17">
            <v>0</v>
          </cell>
          <cell r="AA17">
            <v>1100000</v>
          </cell>
          <cell r="AB17">
            <v>3.1428571428571428</v>
          </cell>
          <cell r="AC17">
            <v>1100000</v>
          </cell>
          <cell r="AD17">
            <v>2100000</v>
          </cell>
          <cell r="AE17">
            <v>0</v>
          </cell>
          <cell r="AF17" t="str">
            <v>N/A</v>
          </cell>
          <cell r="AG17">
            <v>2939028</v>
          </cell>
          <cell r="AH17" t="str">
            <v>n/a</v>
          </cell>
          <cell r="AI17" t="str">
            <v>n/a</v>
          </cell>
          <cell r="AJ17">
            <v>2939028</v>
          </cell>
        </row>
        <row r="18">
          <cell r="A18" t="str">
            <v>TSX:IPL_NEO 1_2011</v>
          </cell>
          <cell r="B18" t="str">
            <v>TSX:IPL</v>
          </cell>
          <cell r="C18" t="str">
            <v>Inter Pipeline Ltd.</v>
          </cell>
          <cell r="D18">
            <v>2011</v>
          </cell>
          <cell r="E18">
            <v>10</v>
          </cell>
          <cell r="F18" t="str">
            <v>CAD</v>
          </cell>
          <cell r="G18">
            <v>1</v>
          </cell>
          <cell r="H18" t="str">
            <v>Christian Bayle</v>
          </cell>
          <cell r="I18" t="str">
            <v>COO</v>
          </cell>
          <cell r="J18" t="str">
            <v>NEO 1</v>
          </cell>
          <cell r="K18">
            <v>7344.6493600000003</v>
          </cell>
          <cell r="L18">
            <v>10955.889359999999</v>
          </cell>
          <cell r="M18">
            <v>322500</v>
          </cell>
          <cell r="N18">
            <v>325000</v>
          </cell>
          <cell r="O18">
            <v>0</v>
          </cell>
          <cell r="P18">
            <v>500000</v>
          </cell>
          <cell r="Q18">
            <v>500000</v>
          </cell>
          <cell r="R18">
            <v>1.5384615384615385</v>
          </cell>
          <cell r="S18">
            <v>0</v>
          </cell>
          <cell r="T18">
            <v>0</v>
          </cell>
          <cell r="U18">
            <v>0</v>
          </cell>
          <cell r="V18">
            <v>0</v>
          </cell>
          <cell r="W18">
            <v>0</v>
          </cell>
          <cell r="X18">
            <v>0</v>
          </cell>
          <cell r="Y18">
            <v>900000</v>
          </cell>
          <cell r="Z18">
            <v>0</v>
          </cell>
          <cell r="AA18">
            <v>900000</v>
          </cell>
          <cell r="AB18">
            <v>2.7692307692307692</v>
          </cell>
          <cell r="AC18">
            <v>900000</v>
          </cell>
          <cell r="AD18">
            <v>1725000</v>
          </cell>
          <cell r="AE18">
            <v>0</v>
          </cell>
          <cell r="AF18" t="str">
            <v>Christian Bayle was appointed COO on March 1, 2011. Prior thereto, he was SVP, Corporate Development. As such, STIP and LTIP values prior to 2011 have not been included in taregt calculations. In the 2013 Annual Information Form it is stated Mr. Bayle's salary was adjusted to $325,000 to reflect his promotion.</v>
          </cell>
          <cell r="AG18">
            <v>2506972</v>
          </cell>
          <cell r="AH18">
            <v>0</v>
          </cell>
          <cell r="AI18">
            <v>0</v>
          </cell>
          <cell r="AJ18">
            <v>0</v>
          </cell>
        </row>
        <row r="19">
          <cell r="A19" t="str">
            <v>TSX:IPL__2010</v>
          </cell>
          <cell r="B19" t="str">
            <v>TSX:IPL</v>
          </cell>
          <cell r="C19" t="str">
            <v>Inter Pipeline Ltd.</v>
          </cell>
          <cell r="D19">
            <v>2010</v>
          </cell>
          <cell r="E19">
            <v>12</v>
          </cell>
          <cell r="F19" t="str">
            <v>CAD</v>
          </cell>
          <cell r="G19">
            <v>1</v>
          </cell>
          <cell r="H19" t="str">
            <v>CEO</v>
          </cell>
          <cell r="I19">
            <v>1</v>
          </cell>
          <cell r="J19" t="str">
            <v>-</v>
          </cell>
          <cell r="K19">
            <v>7344.6493600000003</v>
          </cell>
          <cell r="L19">
            <v>10955.889359999999</v>
          </cell>
          <cell r="M19">
            <v>0</v>
          </cell>
          <cell r="N19">
            <v>0</v>
          </cell>
          <cell r="O19">
            <v>0</v>
          </cell>
          <cell r="P19">
            <v>0</v>
          </cell>
          <cell r="Q19">
            <v>0</v>
          </cell>
          <cell r="R19" t="str">
            <v>input</v>
          </cell>
          <cell r="S19">
            <v>0</v>
          </cell>
          <cell r="T19">
            <v>0</v>
          </cell>
          <cell r="U19">
            <v>0</v>
          </cell>
          <cell r="V19">
            <v>0</v>
          </cell>
          <cell r="W19">
            <v>0</v>
          </cell>
          <cell r="X19">
            <v>0</v>
          </cell>
          <cell r="Y19">
            <v>0</v>
          </cell>
          <cell r="Z19">
            <v>0</v>
          </cell>
          <cell r="AA19">
            <v>0</v>
          </cell>
          <cell r="AB19" t="str">
            <v>input</v>
          </cell>
          <cell r="AC19">
            <v>0</v>
          </cell>
          <cell r="AD19">
            <v>0</v>
          </cell>
          <cell r="AE19">
            <v>0</v>
          </cell>
          <cell r="AF19">
            <v>0</v>
          </cell>
          <cell r="AG19">
            <v>2152463</v>
          </cell>
          <cell r="AH19">
            <v>0</v>
          </cell>
          <cell r="AI19">
            <v>0</v>
          </cell>
          <cell r="AJ19">
            <v>0</v>
          </cell>
        </row>
        <row r="20">
          <cell r="A20" t="str">
            <v>TSX:IPL_NEO 1_Target</v>
          </cell>
          <cell r="B20" t="str">
            <v>TSX:IPL</v>
          </cell>
          <cell r="C20" t="str">
            <v>Inter Pipeline Ltd.</v>
          </cell>
          <cell r="D20" t="str">
            <v>Target</v>
          </cell>
          <cell r="E20">
            <v>12</v>
          </cell>
          <cell r="F20" t="str">
            <v>CAD</v>
          </cell>
          <cell r="G20">
            <v>1</v>
          </cell>
          <cell r="H20" t="str">
            <v>Christian Bayle</v>
          </cell>
          <cell r="I20" t="str">
            <v>COO</v>
          </cell>
          <cell r="J20" t="str">
            <v>NEO 1</v>
          </cell>
          <cell r="K20">
            <v>7344.6493600000003</v>
          </cell>
          <cell r="L20">
            <v>10955.889359999999</v>
          </cell>
          <cell r="M20">
            <v>350000</v>
          </cell>
          <cell r="N20">
            <v>350000</v>
          </cell>
          <cell r="O20" t="str">
            <v>n/d</v>
          </cell>
          <cell r="P20">
            <v>650000</v>
          </cell>
          <cell r="Q20">
            <v>650000</v>
          </cell>
          <cell r="R20">
            <v>1.8571428571428572</v>
          </cell>
          <cell r="S20">
            <v>1.697802197802198</v>
          </cell>
          <cell r="T20" t="str">
            <v>n/d</v>
          </cell>
          <cell r="U20">
            <v>594230.76923076925</v>
          </cell>
          <cell r="V20">
            <v>1000000</v>
          </cell>
          <cell r="W20">
            <v>944230.76923076925</v>
          </cell>
          <cell r="X20" t="str">
            <v>input</v>
          </cell>
          <cell r="Y20">
            <v>1000000</v>
          </cell>
          <cell r="Z20" t="str">
            <v>input</v>
          </cell>
          <cell r="AA20">
            <v>0</v>
          </cell>
          <cell r="AB20">
            <v>2.9560439560439562</v>
          </cell>
          <cell r="AC20">
            <v>1034615.3846153846</v>
          </cell>
          <cell r="AD20">
            <v>0</v>
          </cell>
          <cell r="AE20">
            <v>1978846.153846154</v>
          </cell>
          <cell r="AF20">
            <v>0</v>
          </cell>
          <cell r="AG20">
            <v>0</v>
          </cell>
          <cell r="AH20">
            <v>0</v>
          </cell>
          <cell r="AI20">
            <v>0</v>
          </cell>
          <cell r="AJ20">
            <v>0</v>
          </cell>
        </row>
        <row r="21">
          <cell r="A21" t="str">
            <v>TSX:IPL_NEO 2_2012</v>
          </cell>
          <cell r="B21" t="str">
            <v>TSX:IPL</v>
          </cell>
          <cell r="C21" t="str">
            <v>Inter Pipeline Ltd.</v>
          </cell>
          <cell r="D21">
            <v>2012</v>
          </cell>
          <cell r="E21">
            <v>12</v>
          </cell>
          <cell r="F21" t="str">
            <v>CAD</v>
          </cell>
          <cell r="G21">
            <v>1</v>
          </cell>
          <cell r="H21" t="str">
            <v>Jeffrey Marchant</v>
          </cell>
          <cell r="I21" t="str">
            <v>VP, Transportation</v>
          </cell>
          <cell r="J21" t="str">
            <v>NEO 2</v>
          </cell>
          <cell r="K21">
            <v>7344.6493600000003</v>
          </cell>
          <cell r="L21">
            <v>10955.889359999999</v>
          </cell>
          <cell r="M21">
            <v>260000</v>
          </cell>
          <cell r="N21">
            <v>260000</v>
          </cell>
          <cell r="O21" t="str">
            <v>n/d</v>
          </cell>
          <cell r="P21">
            <v>350000</v>
          </cell>
          <cell r="Q21">
            <v>350000</v>
          </cell>
          <cell r="R21">
            <v>1.3461538461538463</v>
          </cell>
          <cell r="S21" t="str">
            <v>n/d</v>
          </cell>
          <cell r="T21" t="str">
            <v>n/d</v>
          </cell>
          <cell r="U21" t="str">
            <v>input</v>
          </cell>
          <cell r="V21">
            <v>610000</v>
          </cell>
          <cell r="W21" t="str">
            <v>input</v>
          </cell>
          <cell r="X21" t="str">
            <v>input</v>
          </cell>
          <cell r="Y21">
            <v>450000</v>
          </cell>
          <cell r="Z21">
            <v>0</v>
          </cell>
          <cell r="AA21">
            <v>450000</v>
          </cell>
          <cell r="AB21">
            <v>1.7307692307692308</v>
          </cell>
          <cell r="AC21">
            <v>450000</v>
          </cell>
          <cell r="AD21">
            <v>1060000</v>
          </cell>
          <cell r="AE21">
            <v>0</v>
          </cell>
          <cell r="AF21">
            <v>1056731.8524</v>
          </cell>
          <cell r="AG21">
            <v>2679775.4894399997</v>
          </cell>
          <cell r="AH21" t="str">
            <v>n/a</v>
          </cell>
          <cell r="AI21" t="str">
            <v>n/a</v>
          </cell>
          <cell r="AJ21">
            <v>340115</v>
          </cell>
        </row>
        <row r="22">
          <cell r="A22" t="str">
            <v>TSX:IPL_NEO 2_2011</v>
          </cell>
          <cell r="B22" t="str">
            <v>TSX:IPL</v>
          </cell>
          <cell r="C22" t="str">
            <v>Inter Pipeline Ltd.</v>
          </cell>
          <cell r="D22">
            <v>2011</v>
          </cell>
          <cell r="E22">
            <v>12</v>
          </cell>
          <cell r="F22" t="str">
            <v>CAD</v>
          </cell>
          <cell r="G22">
            <v>1</v>
          </cell>
          <cell r="H22" t="str">
            <v>Jeffrey Marchant</v>
          </cell>
          <cell r="I22" t="str">
            <v>VP, Transportation</v>
          </cell>
          <cell r="J22" t="str">
            <v>NEO 2</v>
          </cell>
          <cell r="K22">
            <v>7344.6493600000003</v>
          </cell>
          <cell r="L22">
            <v>10955.889359999999</v>
          </cell>
          <cell r="M22">
            <v>245000</v>
          </cell>
          <cell r="N22">
            <v>245000</v>
          </cell>
          <cell r="O22">
            <v>0</v>
          </cell>
          <cell r="P22">
            <v>230000</v>
          </cell>
          <cell r="Q22">
            <v>230000</v>
          </cell>
          <cell r="R22">
            <v>0.93877551020408168</v>
          </cell>
          <cell r="S22">
            <v>0</v>
          </cell>
          <cell r="T22">
            <v>0</v>
          </cell>
          <cell r="U22">
            <v>0</v>
          </cell>
          <cell r="V22">
            <v>0</v>
          </cell>
          <cell r="W22">
            <v>0</v>
          </cell>
          <cell r="X22">
            <v>0</v>
          </cell>
          <cell r="Y22">
            <v>375000</v>
          </cell>
          <cell r="Z22">
            <v>0</v>
          </cell>
          <cell r="AA22">
            <v>375000</v>
          </cell>
          <cell r="AB22">
            <v>1.5306122448979591</v>
          </cell>
          <cell r="AC22">
            <v>375000</v>
          </cell>
          <cell r="AD22">
            <v>850000</v>
          </cell>
          <cell r="AE22">
            <v>0</v>
          </cell>
          <cell r="AF22">
            <v>806887.69200000004</v>
          </cell>
          <cell r="AG22">
            <v>2268138.3048</v>
          </cell>
          <cell r="AH22">
            <v>0</v>
          </cell>
          <cell r="AI22">
            <v>0</v>
          </cell>
          <cell r="AJ22">
            <v>0</v>
          </cell>
        </row>
        <row r="23">
          <cell r="A23" t="str">
            <v>TSX:IPL_NEO 2_2010</v>
          </cell>
          <cell r="B23" t="str">
            <v>TSX:IPL</v>
          </cell>
          <cell r="C23" t="str">
            <v>Inter Pipeline Ltd.</v>
          </cell>
          <cell r="D23">
            <v>2010</v>
          </cell>
          <cell r="E23">
            <v>12</v>
          </cell>
          <cell r="F23" t="str">
            <v>CAD</v>
          </cell>
          <cell r="G23">
            <v>1</v>
          </cell>
          <cell r="H23" t="str">
            <v>Jeffrey Marchant</v>
          </cell>
          <cell r="I23" t="str">
            <v>VP, Transportation</v>
          </cell>
          <cell r="J23" t="str">
            <v>NEO 2</v>
          </cell>
          <cell r="K23">
            <v>7344.6493600000003</v>
          </cell>
          <cell r="L23">
            <v>10955.889359999999</v>
          </cell>
          <cell r="M23">
            <v>230000</v>
          </cell>
          <cell r="N23">
            <v>230000</v>
          </cell>
          <cell r="O23">
            <v>0</v>
          </cell>
          <cell r="P23">
            <v>270000</v>
          </cell>
          <cell r="Q23">
            <v>270000</v>
          </cell>
          <cell r="R23">
            <v>1.173913043478261</v>
          </cell>
          <cell r="S23">
            <v>0</v>
          </cell>
          <cell r="T23">
            <v>0</v>
          </cell>
          <cell r="U23">
            <v>0</v>
          </cell>
          <cell r="V23">
            <v>0</v>
          </cell>
          <cell r="W23">
            <v>0</v>
          </cell>
          <cell r="X23">
            <v>0</v>
          </cell>
          <cell r="Y23">
            <v>300000</v>
          </cell>
          <cell r="Z23">
            <v>0</v>
          </cell>
          <cell r="AA23">
            <v>300000</v>
          </cell>
          <cell r="AB23">
            <v>1.3043478260869565</v>
          </cell>
          <cell r="AC23">
            <v>300000</v>
          </cell>
          <cell r="AD23">
            <v>800000</v>
          </cell>
          <cell r="AE23">
            <v>0</v>
          </cell>
          <cell r="AF23">
            <v>0</v>
          </cell>
          <cell r="AG23">
            <v>3383616.554</v>
          </cell>
          <cell r="AH23">
            <v>0</v>
          </cell>
          <cell r="AI23">
            <v>0</v>
          </cell>
          <cell r="AJ23">
            <v>0</v>
          </cell>
        </row>
        <row r="24">
          <cell r="A24" t="str">
            <v>TSX:IPL_NEO 2_Target</v>
          </cell>
          <cell r="B24" t="str">
            <v>TSX:IPL</v>
          </cell>
          <cell r="C24" t="str">
            <v>Inter Pipeline Ltd.</v>
          </cell>
          <cell r="D24" t="str">
            <v>Target</v>
          </cell>
          <cell r="E24">
            <v>12</v>
          </cell>
          <cell r="F24" t="str">
            <v>CAD</v>
          </cell>
          <cell r="G24">
            <v>1</v>
          </cell>
          <cell r="H24" t="str">
            <v>Jeffrey Marchant</v>
          </cell>
          <cell r="I24" t="str">
            <v>VP, Transportation</v>
          </cell>
          <cell r="J24" t="str">
            <v>NEO 2</v>
          </cell>
          <cell r="K24">
            <v>7344.6493600000003</v>
          </cell>
          <cell r="L24">
            <v>10955.889359999999</v>
          </cell>
          <cell r="M24">
            <v>260000</v>
          </cell>
          <cell r="N24">
            <v>260000</v>
          </cell>
          <cell r="O24" t="str">
            <v>n/d</v>
          </cell>
          <cell r="P24">
            <v>350000</v>
          </cell>
          <cell r="Q24">
            <v>350000</v>
          </cell>
          <cell r="R24">
            <v>1.3461538461538463</v>
          </cell>
          <cell r="S24">
            <v>1.1529474666120629</v>
          </cell>
          <cell r="T24" t="str">
            <v>n/d</v>
          </cell>
          <cell r="U24">
            <v>299766.34131913638</v>
          </cell>
          <cell r="V24">
            <v>610000</v>
          </cell>
          <cell r="W24">
            <v>559766.34131913632</v>
          </cell>
          <cell r="X24" t="str">
            <v>input</v>
          </cell>
          <cell r="Y24">
            <v>375000</v>
          </cell>
          <cell r="Z24" t="str">
            <v>input</v>
          </cell>
          <cell r="AA24">
            <v>0</v>
          </cell>
          <cell r="AB24">
            <v>1.5219097672513822</v>
          </cell>
          <cell r="AC24">
            <v>395696.53948535939</v>
          </cell>
          <cell r="AD24">
            <v>0</v>
          </cell>
          <cell r="AE24">
            <v>955462.88080449565</v>
          </cell>
          <cell r="AF24">
            <v>0</v>
          </cell>
          <cell r="AG24">
            <v>0</v>
          </cell>
          <cell r="AH24">
            <v>0</v>
          </cell>
          <cell r="AI24">
            <v>0</v>
          </cell>
          <cell r="AJ24">
            <v>0</v>
          </cell>
        </row>
        <row r="25">
          <cell r="A25" t="str">
            <v>TSX:IPL_NEO 3_2012</v>
          </cell>
          <cell r="B25" t="str">
            <v>TSX:IPL</v>
          </cell>
          <cell r="C25" t="str">
            <v>Inter Pipeline Ltd.</v>
          </cell>
          <cell r="D25">
            <v>2012</v>
          </cell>
          <cell r="E25">
            <v>12</v>
          </cell>
          <cell r="F25" t="str">
            <v>CAD</v>
          </cell>
          <cell r="G25">
            <v>1</v>
          </cell>
          <cell r="H25" t="str">
            <v>James Madro</v>
          </cell>
          <cell r="I25" t="str">
            <v>VP, Operations</v>
          </cell>
          <cell r="J25" t="str">
            <v>NEO 3</v>
          </cell>
          <cell r="K25">
            <v>7344.6493600000003</v>
          </cell>
          <cell r="L25">
            <v>10955.889359999999</v>
          </cell>
          <cell r="M25">
            <v>255000</v>
          </cell>
          <cell r="N25">
            <v>255000</v>
          </cell>
          <cell r="O25" t="str">
            <v>n/d</v>
          </cell>
          <cell r="P25">
            <v>275000</v>
          </cell>
          <cell r="Q25">
            <v>275000</v>
          </cell>
          <cell r="R25">
            <v>1.0784313725490196</v>
          </cell>
          <cell r="S25" t="str">
            <v>n/d</v>
          </cell>
          <cell r="T25" t="str">
            <v>n/d</v>
          </cell>
          <cell r="U25" t="str">
            <v>input</v>
          </cell>
          <cell r="V25">
            <v>530000</v>
          </cell>
          <cell r="W25" t="str">
            <v>input</v>
          </cell>
          <cell r="X25" t="str">
            <v>input</v>
          </cell>
          <cell r="Y25">
            <v>255000</v>
          </cell>
          <cell r="Z25">
            <v>0</v>
          </cell>
          <cell r="AA25">
            <v>255000</v>
          </cell>
          <cell r="AB25">
            <v>1</v>
          </cell>
          <cell r="AC25">
            <v>255000</v>
          </cell>
          <cell r="AD25">
            <v>785000</v>
          </cell>
          <cell r="AE25">
            <v>0</v>
          </cell>
          <cell r="AF25">
            <v>0</v>
          </cell>
          <cell r="AG25">
            <v>0</v>
          </cell>
          <cell r="AH25" t="str">
            <v>n/a</v>
          </cell>
          <cell r="AI25" t="str">
            <v>n/a</v>
          </cell>
          <cell r="AJ25">
            <v>0</v>
          </cell>
        </row>
        <row r="26">
          <cell r="A26" t="str">
            <v>TSX:IPL_NEO 3_2011</v>
          </cell>
          <cell r="B26" t="str">
            <v>TSX:IPL</v>
          </cell>
          <cell r="C26" t="str">
            <v>Inter Pipeline Ltd.</v>
          </cell>
          <cell r="D26">
            <v>2011</v>
          </cell>
          <cell r="E26">
            <v>12</v>
          </cell>
          <cell r="F26" t="str">
            <v>CAD</v>
          </cell>
          <cell r="G26">
            <v>1</v>
          </cell>
          <cell r="H26" t="str">
            <v>James Madro</v>
          </cell>
          <cell r="I26" t="str">
            <v>VP, Operations</v>
          </cell>
          <cell r="J26" t="str">
            <v>NEO 3</v>
          </cell>
          <cell r="K26">
            <v>7344.6493600000003</v>
          </cell>
          <cell r="L26">
            <v>10955.889359999999</v>
          </cell>
          <cell r="M26">
            <v>245000</v>
          </cell>
          <cell r="N26">
            <v>245000</v>
          </cell>
          <cell r="O26">
            <v>0</v>
          </cell>
          <cell r="P26">
            <v>220000</v>
          </cell>
          <cell r="Q26">
            <v>220000</v>
          </cell>
          <cell r="R26">
            <v>0.89795918367346939</v>
          </cell>
          <cell r="S26">
            <v>0</v>
          </cell>
          <cell r="T26">
            <v>0</v>
          </cell>
          <cell r="U26">
            <v>0</v>
          </cell>
          <cell r="V26">
            <v>0</v>
          </cell>
          <cell r="W26">
            <v>0</v>
          </cell>
          <cell r="X26">
            <v>0</v>
          </cell>
          <cell r="Y26">
            <v>245000</v>
          </cell>
          <cell r="Z26">
            <v>0</v>
          </cell>
          <cell r="AA26">
            <v>245000</v>
          </cell>
          <cell r="AB26">
            <v>1</v>
          </cell>
          <cell r="AC26">
            <v>245000</v>
          </cell>
          <cell r="AD26">
            <v>710000</v>
          </cell>
          <cell r="AE26">
            <v>0</v>
          </cell>
          <cell r="AF26">
            <v>1276859.31702</v>
          </cell>
          <cell r="AG26">
            <v>2872849.3061099998</v>
          </cell>
          <cell r="AH26">
            <v>0</v>
          </cell>
          <cell r="AI26">
            <v>0</v>
          </cell>
          <cell r="AJ26">
            <v>0</v>
          </cell>
        </row>
        <row r="27">
          <cell r="A27" t="str">
            <v>TSX:IPL_NEO 3_2010</v>
          </cell>
          <cell r="B27" t="str">
            <v>TSX:IPL</v>
          </cell>
          <cell r="C27" t="str">
            <v>Inter Pipeline Ltd.</v>
          </cell>
          <cell r="D27">
            <v>2010</v>
          </cell>
          <cell r="E27">
            <v>12</v>
          </cell>
          <cell r="F27" t="str">
            <v>CAD</v>
          </cell>
          <cell r="G27">
            <v>1</v>
          </cell>
          <cell r="H27" t="str">
            <v>James Madro</v>
          </cell>
          <cell r="I27" t="str">
            <v>VP, Operations</v>
          </cell>
          <cell r="J27" t="str">
            <v>NEO 3</v>
          </cell>
          <cell r="K27">
            <v>7344.6493600000003</v>
          </cell>
          <cell r="L27">
            <v>10955.889359999999</v>
          </cell>
          <cell r="M27">
            <v>230000</v>
          </cell>
          <cell r="N27">
            <v>230000</v>
          </cell>
          <cell r="O27">
            <v>0</v>
          </cell>
          <cell r="P27">
            <v>210000</v>
          </cell>
          <cell r="Q27">
            <v>210000</v>
          </cell>
          <cell r="R27">
            <v>0.91304347826086951</v>
          </cell>
          <cell r="S27">
            <v>0</v>
          </cell>
          <cell r="T27">
            <v>0</v>
          </cell>
          <cell r="U27">
            <v>0</v>
          </cell>
          <cell r="V27">
            <v>0</v>
          </cell>
          <cell r="W27">
            <v>0</v>
          </cell>
          <cell r="X27">
            <v>0</v>
          </cell>
          <cell r="Y27">
            <v>230000</v>
          </cell>
          <cell r="Z27">
            <v>0</v>
          </cell>
          <cell r="AA27">
            <v>230000</v>
          </cell>
          <cell r="AB27">
            <v>1</v>
          </cell>
          <cell r="AC27">
            <v>230000</v>
          </cell>
          <cell r="AD27">
            <v>670000</v>
          </cell>
          <cell r="AE27">
            <v>0</v>
          </cell>
          <cell r="AF27">
            <v>0</v>
          </cell>
          <cell r="AG27">
            <v>1996712.25318</v>
          </cell>
          <cell r="AH27">
            <v>0</v>
          </cell>
          <cell r="AI27">
            <v>0</v>
          </cell>
          <cell r="AJ27">
            <v>0</v>
          </cell>
        </row>
        <row r="28">
          <cell r="A28" t="str">
            <v>TSX:IPL_NEO 3_Target</v>
          </cell>
          <cell r="B28" t="str">
            <v>TSX:IPL</v>
          </cell>
          <cell r="C28" t="str">
            <v>Inter Pipeline Ltd.</v>
          </cell>
          <cell r="D28" t="str">
            <v>Target</v>
          </cell>
          <cell r="E28">
            <v>12</v>
          </cell>
          <cell r="F28" t="str">
            <v>CAD</v>
          </cell>
          <cell r="G28">
            <v>1</v>
          </cell>
          <cell r="H28" t="str">
            <v>James Madro</v>
          </cell>
          <cell r="I28" t="str">
            <v>VP, Operations</v>
          </cell>
          <cell r="J28" t="str">
            <v>NEO 3</v>
          </cell>
          <cell r="K28">
            <v>7344.6493600000003</v>
          </cell>
          <cell r="L28">
            <v>10955.889359999999</v>
          </cell>
          <cell r="M28">
            <v>255000</v>
          </cell>
          <cell r="N28">
            <v>255000</v>
          </cell>
          <cell r="O28" t="str">
            <v>n/d</v>
          </cell>
          <cell r="P28">
            <v>275000</v>
          </cell>
          <cell r="Q28">
            <v>275000</v>
          </cell>
          <cell r="R28">
            <v>1.0784313725490196</v>
          </cell>
          <cell r="S28">
            <v>0.96314467816111948</v>
          </cell>
          <cell r="T28" t="str">
            <v>n/d</v>
          </cell>
          <cell r="U28">
            <v>245601.89293108546</v>
          </cell>
          <cell r="V28">
            <v>530000</v>
          </cell>
          <cell r="W28">
            <v>500601.89293108549</v>
          </cell>
          <cell r="X28" t="str">
            <v>input</v>
          </cell>
          <cell r="Y28">
            <v>243333.33333333334</v>
          </cell>
          <cell r="Z28" t="str">
            <v>input</v>
          </cell>
          <cell r="AA28">
            <v>0</v>
          </cell>
          <cell r="AB28">
            <v>1</v>
          </cell>
          <cell r="AC28">
            <v>255000</v>
          </cell>
          <cell r="AD28">
            <v>0</v>
          </cell>
          <cell r="AE28">
            <v>755601.89293108543</v>
          </cell>
          <cell r="AF28">
            <v>0</v>
          </cell>
          <cell r="AG28">
            <v>0</v>
          </cell>
          <cell r="AH28">
            <v>0</v>
          </cell>
          <cell r="AI28">
            <v>0</v>
          </cell>
          <cell r="AJ28">
            <v>0</v>
          </cell>
        </row>
        <row r="29">
          <cell r="A29" t="str">
            <v>nasdaqgs:vsec_2015_CEO</v>
          </cell>
          <cell r="B29" t="str">
            <v>CANADIAN PEERS</v>
          </cell>
          <cell r="C29" t="str">
            <v>VSE Corporation</v>
          </cell>
          <cell r="D29">
            <v>0</v>
          </cell>
          <cell r="E29">
            <v>0</v>
          </cell>
          <cell r="F29">
            <v>0</v>
          </cell>
          <cell r="G29">
            <v>0</v>
          </cell>
          <cell r="H29" t="str">
            <v>CEO</v>
          </cell>
          <cell r="I29" t="str">
            <v>CEO, President &amp; COO</v>
          </cell>
          <cell r="J29" t="str">
            <v>Maurice A. Gauthier</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630847.55999999994</v>
          </cell>
          <cell r="AG29">
            <v>0</v>
          </cell>
          <cell r="AH29">
            <v>0</v>
          </cell>
          <cell r="AI29">
            <v>0</v>
          </cell>
          <cell r="AJ29">
            <v>0</v>
          </cell>
        </row>
        <row r="30">
          <cell r="A30" t="str">
            <v>TSX:ALA_CEO_2012</v>
          </cell>
          <cell r="B30" t="str">
            <v>TSX:ALA</v>
          </cell>
          <cell r="C30" t="str">
            <v>AltaGas Ltd.</v>
          </cell>
          <cell r="D30">
            <v>2012</v>
          </cell>
          <cell r="E30">
            <v>12</v>
          </cell>
          <cell r="F30" t="str">
            <v>CAD</v>
          </cell>
          <cell r="G30">
            <v>1</v>
          </cell>
          <cell r="H30" t="str">
            <v>David Cornhill</v>
          </cell>
          <cell r="I30" t="str">
            <v>Chairman of the Board and CEO</v>
          </cell>
          <cell r="J30" t="str">
            <v>CEO</v>
          </cell>
          <cell r="K30">
            <v>4264.0884500000002</v>
          </cell>
          <cell r="L30">
            <v>7637.5364499999996</v>
          </cell>
          <cell r="M30">
            <v>700000</v>
          </cell>
          <cell r="N30">
            <v>700000</v>
          </cell>
          <cell r="O30" t="str">
            <v>n/d</v>
          </cell>
          <cell r="P30">
            <v>336000</v>
          </cell>
          <cell r="Q30">
            <v>336000</v>
          </cell>
          <cell r="R30">
            <v>0.48</v>
          </cell>
          <cell r="S30">
            <v>0.6</v>
          </cell>
          <cell r="T30">
            <v>1.2</v>
          </cell>
          <cell r="U30">
            <v>420000</v>
          </cell>
          <cell r="V30">
            <v>1036000</v>
          </cell>
          <cell r="W30">
            <v>1120000</v>
          </cell>
          <cell r="X30">
            <v>1540000.0000000002</v>
          </cell>
          <cell r="Y30">
            <v>0</v>
          </cell>
          <cell r="Z30">
            <v>998200</v>
          </cell>
          <cell r="AA30">
            <v>998200</v>
          </cell>
          <cell r="AB30">
            <v>1.4259999999999999</v>
          </cell>
          <cell r="AC30">
            <v>998200</v>
          </cell>
          <cell r="AD30">
            <v>2034200</v>
          </cell>
          <cell r="AE30">
            <v>0</v>
          </cell>
          <cell r="AF30">
            <v>301923.38640000002</v>
          </cell>
          <cell r="AG30">
            <v>1263934.1764</v>
          </cell>
          <cell r="AH30">
            <v>120000</v>
          </cell>
          <cell r="AI30">
            <v>5</v>
          </cell>
          <cell r="AJ30">
            <v>0</v>
          </cell>
        </row>
        <row r="31">
          <cell r="A31" t="str">
            <v>TSX:ALA_CEO_2011</v>
          </cell>
          <cell r="B31" t="str">
            <v>TSX:ALA</v>
          </cell>
          <cell r="C31" t="str">
            <v>AltaGas Ltd.</v>
          </cell>
          <cell r="D31">
            <v>2011</v>
          </cell>
          <cell r="E31">
            <v>12</v>
          </cell>
          <cell r="F31" t="str">
            <v>CAD</v>
          </cell>
          <cell r="G31">
            <v>1</v>
          </cell>
          <cell r="H31" t="str">
            <v>David Cornhill</v>
          </cell>
          <cell r="I31" t="str">
            <v>Chairman of the Board and CEO</v>
          </cell>
          <cell r="J31" t="str">
            <v>CEO</v>
          </cell>
          <cell r="K31">
            <v>4264.0884500000002</v>
          </cell>
          <cell r="L31">
            <v>7637.5364499999996</v>
          </cell>
          <cell r="M31">
            <v>650000</v>
          </cell>
          <cell r="N31">
            <v>650000</v>
          </cell>
          <cell r="O31">
            <v>0</v>
          </cell>
          <cell r="P31">
            <v>500000</v>
          </cell>
          <cell r="Q31">
            <v>500000</v>
          </cell>
          <cell r="R31">
            <v>0.76923076923076927</v>
          </cell>
          <cell r="S31">
            <v>0</v>
          </cell>
          <cell r="T31">
            <v>0</v>
          </cell>
          <cell r="U31">
            <v>0</v>
          </cell>
          <cell r="V31">
            <v>0</v>
          </cell>
          <cell r="W31">
            <v>0</v>
          </cell>
          <cell r="X31">
            <v>0</v>
          </cell>
          <cell r="Y31">
            <v>0</v>
          </cell>
          <cell r="Z31">
            <v>1246300</v>
          </cell>
          <cell r="AA31">
            <v>1246300</v>
          </cell>
          <cell r="AB31">
            <v>1.9173846153846155</v>
          </cell>
          <cell r="AC31">
            <v>1246300</v>
          </cell>
          <cell r="AD31">
            <v>2396300</v>
          </cell>
          <cell r="AE31">
            <v>0</v>
          </cell>
          <cell r="AF31">
            <v>364743.9</v>
          </cell>
          <cell r="AG31">
            <v>1285876.8000000003</v>
          </cell>
          <cell r="AH31">
            <v>0</v>
          </cell>
          <cell r="AI31">
            <v>0</v>
          </cell>
          <cell r="AJ31">
            <v>0</v>
          </cell>
        </row>
        <row r="32">
          <cell r="A32" t="str">
            <v>TSX:ALA_CEO_2010</v>
          </cell>
          <cell r="B32" t="str">
            <v>TSX:ALA</v>
          </cell>
          <cell r="C32" t="str">
            <v>AltaGas Ltd.</v>
          </cell>
          <cell r="D32">
            <v>2010</v>
          </cell>
          <cell r="E32">
            <v>12</v>
          </cell>
          <cell r="F32" t="str">
            <v>CAD</v>
          </cell>
          <cell r="G32">
            <v>1</v>
          </cell>
          <cell r="H32" t="str">
            <v>David Cornhill</v>
          </cell>
          <cell r="I32" t="str">
            <v>Chairman of the Board and CEO</v>
          </cell>
          <cell r="J32" t="str">
            <v>CEO</v>
          </cell>
          <cell r="K32">
            <v>4264.0884500000002</v>
          </cell>
          <cell r="L32">
            <v>7637.5364499999996</v>
          </cell>
          <cell r="M32">
            <v>630375</v>
          </cell>
          <cell r="N32">
            <v>630375</v>
          </cell>
          <cell r="O32">
            <v>0</v>
          </cell>
          <cell r="P32">
            <v>255000</v>
          </cell>
          <cell r="Q32">
            <v>255000</v>
          </cell>
          <cell r="R32">
            <v>0.40452111838191551</v>
          </cell>
          <cell r="S32">
            <v>0</v>
          </cell>
          <cell r="T32">
            <v>0</v>
          </cell>
          <cell r="U32">
            <v>0</v>
          </cell>
          <cell r="V32">
            <v>0</v>
          </cell>
          <cell r="W32">
            <v>0</v>
          </cell>
          <cell r="X32">
            <v>0</v>
          </cell>
          <cell r="Y32">
            <v>0</v>
          </cell>
          <cell r="Z32">
            <v>794150</v>
          </cell>
          <cell r="AA32">
            <v>794150</v>
          </cell>
          <cell r="AB32">
            <v>1.2598056712274439</v>
          </cell>
          <cell r="AC32">
            <v>794150</v>
          </cell>
          <cell r="AD32">
            <v>1679525</v>
          </cell>
          <cell r="AE32">
            <v>0</v>
          </cell>
          <cell r="AF32">
            <v>0</v>
          </cell>
          <cell r="AG32">
            <v>0</v>
          </cell>
          <cell r="AH32">
            <v>0</v>
          </cell>
          <cell r="AI32">
            <v>0</v>
          </cell>
          <cell r="AJ32">
            <v>0</v>
          </cell>
        </row>
        <row r="33">
          <cell r="A33" t="str">
            <v>TSX:ALA_CEO_Target</v>
          </cell>
          <cell r="B33" t="str">
            <v>TSX:ALA</v>
          </cell>
          <cell r="C33" t="str">
            <v>AltaGas Ltd.</v>
          </cell>
          <cell r="D33" t="str">
            <v>Target</v>
          </cell>
          <cell r="E33">
            <v>12</v>
          </cell>
          <cell r="F33" t="str">
            <v>CAD</v>
          </cell>
          <cell r="G33">
            <v>1</v>
          </cell>
          <cell r="H33" t="str">
            <v>David Cornhill</v>
          </cell>
          <cell r="I33" t="str">
            <v>Chairman of the Board and CEO</v>
          </cell>
          <cell r="J33" t="str">
            <v>CEO</v>
          </cell>
          <cell r="K33">
            <v>4264.0884500000002</v>
          </cell>
          <cell r="L33">
            <v>7637.5364499999996</v>
          </cell>
          <cell r="M33">
            <v>700000</v>
          </cell>
          <cell r="N33">
            <v>700000</v>
          </cell>
          <cell r="O33" t="str">
            <v>n/d</v>
          </cell>
          <cell r="P33">
            <v>336000</v>
          </cell>
          <cell r="Q33">
            <v>336000</v>
          </cell>
          <cell r="R33">
            <v>0.48</v>
          </cell>
          <cell r="S33">
            <v>0.6</v>
          </cell>
          <cell r="T33">
            <v>1.2</v>
          </cell>
          <cell r="U33">
            <v>420000</v>
          </cell>
          <cell r="V33">
            <v>1036000</v>
          </cell>
          <cell r="W33">
            <v>1120000</v>
          </cell>
          <cell r="X33">
            <v>1540000.0000000002</v>
          </cell>
          <cell r="Y33" t="str">
            <v>input</v>
          </cell>
          <cell r="Z33">
            <v>1012883.3333333334</v>
          </cell>
          <cell r="AA33">
            <v>0</v>
          </cell>
          <cell r="AB33">
            <v>1.53439676220402</v>
          </cell>
          <cell r="AC33">
            <v>1074077.7335428139</v>
          </cell>
          <cell r="AD33">
            <v>0</v>
          </cell>
          <cell r="AE33">
            <v>2194077.7335428139</v>
          </cell>
          <cell r="AF33">
            <v>0</v>
          </cell>
          <cell r="AG33">
            <v>0</v>
          </cell>
          <cell r="AH33">
            <v>0</v>
          </cell>
          <cell r="AI33">
            <v>0</v>
          </cell>
          <cell r="AJ33">
            <v>0</v>
          </cell>
        </row>
        <row r="34">
          <cell r="A34" t="str">
            <v>TSX:ALA_CFO_2012</v>
          </cell>
          <cell r="B34" t="str">
            <v>TSX:ALA</v>
          </cell>
          <cell r="C34" t="str">
            <v>AltaGas Ltd.</v>
          </cell>
          <cell r="D34">
            <v>2012</v>
          </cell>
          <cell r="E34">
            <v>12</v>
          </cell>
          <cell r="F34" t="str">
            <v>CAD</v>
          </cell>
          <cell r="G34">
            <v>1</v>
          </cell>
          <cell r="H34" t="str">
            <v>Deborah Stein</v>
          </cell>
          <cell r="I34" t="str">
            <v>Senior Vice President Finance and CFO</v>
          </cell>
          <cell r="J34" t="str">
            <v>CFO</v>
          </cell>
          <cell r="K34">
            <v>4264.0884500000002</v>
          </cell>
          <cell r="L34">
            <v>7637.5364499999996</v>
          </cell>
          <cell r="M34">
            <v>291500</v>
          </cell>
          <cell r="N34">
            <v>291500</v>
          </cell>
          <cell r="O34" t="str">
            <v>n/d</v>
          </cell>
          <cell r="P34">
            <v>122430</v>
          </cell>
          <cell r="Q34">
            <v>122430</v>
          </cell>
          <cell r="R34">
            <v>0.42</v>
          </cell>
          <cell r="S34">
            <v>0.4</v>
          </cell>
          <cell r="T34">
            <v>0.8</v>
          </cell>
          <cell r="U34">
            <v>116600</v>
          </cell>
          <cell r="V34">
            <v>413930</v>
          </cell>
          <cell r="W34">
            <v>408100</v>
          </cell>
          <cell r="X34">
            <v>524700</v>
          </cell>
          <cell r="Y34">
            <v>0</v>
          </cell>
          <cell r="Z34">
            <v>196300</v>
          </cell>
          <cell r="AA34">
            <v>196300</v>
          </cell>
          <cell r="AB34">
            <v>0.67341337907375642</v>
          </cell>
          <cell r="AC34">
            <v>196300</v>
          </cell>
          <cell r="AD34">
            <v>610230</v>
          </cell>
          <cell r="AE34">
            <v>0</v>
          </cell>
          <cell r="AF34">
            <v>0</v>
          </cell>
          <cell r="AG34">
            <v>0</v>
          </cell>
          <cell r="AH34">
            <v>30000</v>
          </cell>
          <cell r="AI34">
            <v>5</v>
          </cell>
          <cell r="AJ34">
            <v>0</v>
          </cell>
        </row>
        <row r="35">
          <cell r="A35" t="str">
            <v>TSX:ALA_CFO_2011</v>
          </cell>
          <cell r="B35" t="str">
            <v>TSX:ALA</v>
          </cell>
          <cell r="C35" t="str">
            <v>AltaGas Ltd.</v>
          </cell>
          <cell r="D35">
            <v>2011</v>
          </cell>
          <cell r="E35">
            <v>12</v>
          </cell>
          <cell r="F35" t="str">
            <v>CAD</v>
          </cell>
          <cell r="G35">
            <v>1</v>
          </cell>
          <cell r="H35" t="str">
            <v>Deborah Stein</v>
          </cell>
          <cell r="I35" t="str">
            <v>Senior Vice President Finance and CFO</v>
          </cell>
          <cell r="J35" t="str">
            <v>CFO</v>
          </cell>
          <cell r="K35">
            <v>4264.0884500000002</v>
          </cell>
          <cell r="L35">
            <v>7637.5364499999996</v>
          </cell>
          <cell r="M35">
            <v>271039</v>
          </cell>
          <cell r="N35">
            <v>271039</v>
          </cell>
          <cell r="O35">
            <v>0</v>
          </cell>
          <cell r="P35">
            <v>149071</v>
          </cell>
          <cell r="Q35">
            <v>149071</v>
          </cell>
          <cell r="R35">
            <v>0.54999833972232781</v>
          </cell>
          <cell r="S35">
            <v>0</v>
          </cell>
          <cell r="T35">
            <v>0</v>
          </cell>
          <cell r="U35">
            <v>0</v>
          </cell>
          <cell r="V35">
            <v>0</v>
          </cell>
          <cell r="W35">
            <v>0</v>
          </cell>
          <cell r="X35">
            <v>0</v>
          </cell>
          <cell r="Y35">
            <v>0</v>
          </cell>
          <cell r="Z35">
            <v>257065</v>
          </cell>
          <cell r="AA35">
            <v>257065</v>
          </cell>
          <cell r="AB35">
            <v>0.94844284401875745</v>
          </cell>
          <cell r="AC35">
            <v>257065</v>
          </cell>
          <cell r="AD35">
            <v>677175</v>
          </cell>
          <cell r="AE35">
            <v>0</v>
          </cell>
          <cell r="AF35">
            <v>518872.11810000002</v>
          </cell>
          <cell r="AG35">
            <v>2069544.4570500001</v>
          </cell>
          <cell r="AH35">
            <v>0</v>
          </cell>
          <cell r="AI35">
            <v>0</v>
          </cell>
          <cell r="AJ35">
            <v>0</v>
          </cell>
        </row>
        <row r="36">
          <cell r="A36" t="str">
            <v>TSX:ALA_CFO_2010</v>
          </cell>
          <cell r="B36" t="str">
            <v>TSX:ALA</v>
          </cell>
          <cell r="C36" t="str">
            <v>AltaGas Ltd.</v>
          </cell>
          <cell r="D36">
            <v>2010</v>
          </cell>
          <cell r="E36">
            <v>12</v>
          </cell>
          <cell r="F36" t="str">
            <v>CAD</v>
          </cell>
          <cell r="G36">
            <v>1</v>
          </cell>
          <cell r="H36" t="str">
            <v>Deborah Stein</v>
          </cell>
          <cell r="I36" t="str">
            <v>Senior Vice President Finance and CFO</v>
          </cell>
          <cell r="J36" t="str">
            <v>CFO</v>
          </cell>
          <cell r="K36">
            <v>4264.0884500000002</v>
          </cell>
          <cell r="L36">
            <v>7637.5364499999996</v>
          </cell>
          <cell r="M36">
            <v>256875</v>
          </cell>
          <cell r="N36">
            <v>256875</v>
          </cell>
          <cell r="O36">
            <v>0</v>
          </cell>
          <cell r="P36">
            <v>87337</v>
          </cell>
          <cell r="Q36">
            <v>87337</v>
          </cell>
          <cell r="R36">
            <v>0.33999805352798051</v>
          </cell>
          <cell r="S36">
            <v>0</v>
          </cell>
          <cell r="T36">
            <v>0</v>
          </cell>
          <cell r="U36">
            <v>0</v>
          </cell>
          <cell r="V36">
            <v>0</v>
          </cell>
          <cell r="W36">
            <v>0</v>
          </cell>
          <cell r="X36">
            <v>0</v>
          </cell>
          <cell r="Y36">
            <v>40944</v>
          </cell>
          <cell r="Z36">
            <v>113450</v>
          </cell>
          <cell r="AA36">
            <v>154394</v>
          </cell>
          <cell r="AB36">
            <v>0.60104720194647199</v>
          </cell>
          <cell r="AC36">
            <v>154394</v>
          </cell>
          <cell r="AD36">
            <v>498606</v>
          </cell>
          <cell r="AE36">
            <v>0</v>
          </cell>
          <cell r="AF36">
            <v>466550.88023999997</v>
          </cell>
          <cell r="AG36">
            <v>1913814.7984099998</v>
          </cell>
          <cell r="AH36">
            <v>0</v>
          </cell>
          <cell r="AI36">
            <v>0</v>
          </cell>
          <cell r="AJ36">
            <v>0</v>
          </cell>
        </row>
        <row r="37">
          <cell r="A37" t="str">
            <v>TSX:ALA_CFO_Target</v>
          </cell>
          <cell r="B37" t="str">
            <v>TSX:ALA</v>
          </cell>
          <cell r="C37" t="str">
            <v>AltaGas Ltd.</v>
          </cell>
          <cell r="D37" t="str">
            <v>Target</v>
          </cell>
          <cell r="E37">
            <v>12</v>
          </cell>
          <cell r="F37" t="str">
            <v>CAD</v>
          </cell>
          <cell r="G37">
            <v>1</v>
          </cell>
          <cell r="H37" t="str">
            <v>Deborah Stein</v>
          </cell>
          <cell r="I37" t="str">
            <v>Senior Vice President Finance and CFO</v>
          </cell>
          <cell r="J37" t="str">
            <v>CFO</v>
          </cell>
          <cell r="K37">
            <v>4264.0884500000002</v>
          </cell>
          <cell r="L37">
            <v>7637.5364499999996</v>
          </cell>
          <cell r="M37">
            <v>291500</v>
          </cell>
          <cell r="N37">
            <v>291500</v>
          </cell>
          <cell r="O37" t="str">
            <v>n/d</v>
          </cell>
          <cell r="P37">
            <v>122430</v>
          </cell>
          <cell r="Q37">
            <v>122430</v>
          </cell>
          <cell r="R37">
            <v>0.42</v>
          </cell>
          <cell r="S37">
            <v>0.4</v>
          </cell>
          <cell r="T37">
            <v>0.8</v>
          </cell>
          <cell r="U37">
            <v>116600</v>
          </cell>
          <cell r="V37">
            <v>413930</v>
          </cell>
          <cell r="W37">
            <v>408100</v>
          </cell>
          <cell r="X37">
            <v>524700</v>
          </cell>
          <cell r="Y37">
            <v>40944</v>
          </cell>
          <cell r="Z37">
            <v>188938.33333333334</v>
          </cell>
          <cell r="AA37">
            <v>0</v>
          </cell>
          <cell r="AB37">
            <v>0.74096780834632858</v>
          </cell>
          <cell r="AC37">
            <v>215992.11613295478</v>
          </cell>
          <cell r="AD37">
            <v>0</v>
          </cell>
          <cell r="AE37">
            <v>624092.11613295483</v>
          </cell>
          <cell r="AF37">
            <v>0</v>
          </cell>
          <cell r="AG37">
            <v>0</v>
          </cell>
          <cell r="AH37">
            <v>0</v>
          </cell>
          <cell r="AI37">
            <v>0</v>
          </cell>
          <cell r="AJ37">
            <v>0</v>
          </cell>
        </row>
        <row r="38">
          <cell r="A38" t="str">
            <v>TSX:ALA_NEO 1_2012</v>
          </cell>
          <cell r="B38" t="str">
            <v>TSX:ALA</v>
          </cell>
          <cell r="C38" t="str">
            <v>AltaGas Ltd.</v>
          </cell>
          <cell r="D38">
            <v>2012</v>
          </cell>
          <cell r="E38">
            <v>12</v>
          </cell>
          <cell r="F38" t="str">
            <v>CAD</v>
          </cell>
          <cell r="G38">
            <v>1</v>
          </cell>
          <cell r="H38" t="str">
            <v>David Harris</v>
          </cell>
          <cell r="I38" t="str">
            <v>President Gas and Power</v>
          </cell>
          <cell r="J38" t="str">
            <v>NEO 1</v>
          </cell>
          <cell r="K38">
            <v>4264.0884500000002</v>
          </cell>
          <cell r="L38">
            <v>7637.5364499999996</v>
          </cell>
          <cell r="M38">
            <v>356597</v>
          </cell>
          <cell r="N38">
            <v>356597</v>
          </cell>
          <cell r="O38" t="str">
            <v>n/d</v>
          </cell>
          <cell r="P38">
            <v>187213</v>
          </cell>
          <cell r="Q38">
            <v>187213</v>
          </cell>
          <cell r="R38">
            <v>0.52499880817841993</v>
          </cell>
          <cell r="S38">
            <v>0.4</v>
          </cell>
          <cell r="T38">
            <v>0.8</v>
          </cell>
          <cell r="U38">
            <v>142638.80000000002</v>
          </cell>
          <cell r="V38">
            <v>543810</v>
          </cell>
          <cell r="W38">
            <v>499235.8</v>
          </cell>
          <cell r="X38">
            <v>641874.6</v>
          </cell>
          <cell r="Y38">
            <v>0</v>
          </cell>
          <cell r="Z38">
            <v>260200</v>
          </cell>
          <cell r="AA38">
            <v>260200</v>
          </cell>
          <cell r="AB38">
            <v>0.72967523563013714</v>
          </cell>
          <cell r="AC38">
            <v>260200</v>
          </cell>
          <cell r="AD38">
            <v>804010</v>
          </cell>
          <cell r="AE38">
            <v>0</v>
          </cell>
          <cell r="AF38" t="str">
            <v>On December 1, 2012, David Harris' title changed from President, Power to President, Gas and Power.</v>
          </cell>
          <cell r="AG38">
            <v>4079702.76461</v>
          </cell>
          <cell r="AH38">
            <v>30000</v>
          </cell>
          <cell r="AI38">
            <v>5</v>
          </cell>
          <cell r="AJ38">
            <v>0</v>
          </cell>
        </row>
        <row r="39">
          <cell r="A39" t="str">
            <v>TSX:ALA_NEO 1_2011</v>
          </cell>
          <cell r="B39" t="str">
            <v>TSX:ALA</v>
          </cell>
          <cell r="C39" t="str">
            <v>AltaGas Ltd.</v>
          </cell>
          <cell r="D39">
            <v>2011</v>
          </cell>
          <cell r="E39">
            <v>12</v>
          </cell>
          <cell r="F39" t="str">
            <v>CAD</v>
          </cell>
          <cell r="G39">
            <v>1</v>
          </cell>
          <cell r="H39" t="str">
            <v>David Harris</v>
          </cell>
          <cell r="I39" t="str">
            <v>President Gas and Power</v>
          </cell>
          <cell r="J39" t="str">
            <v>NEO 1</v>
          </cell>
          <cell r="K39">
            <v>4264.0884500000002</v>
          </cell>
          <cell r="L39">
            <v>7637.5364499999996</v>
          </cell>
          <cell r="M39">
            <v>321500</v>
          </cell>
          <cell r="N39">
            <v>321500</v>
          </cell>
          <cell r="O39">
            <v>0</v>
          </cell>
          <cell r="P39">
            <v>225049</v>
          </cell>
          <cell r="Q39">
            <v>225049</v>
          </cell>
          <cell r="R39">
            <v>0.69999688958009332</v>
          </cell>
          <cell r="S39">
            <v>0</v>
          </cell>
          <cell r="T39">
            <v>0</v>
          </cell>
          <cell r="U39">
            <v>0</v>
          </cell>
          <cell r="V39">
            <v>0</v>
          </cell>
          <cell r="W39">
            <v>0</v>
          </cell>
          <cell r="X39">
            <v>0</v>
          </cell>
          <cell r="Y39">
            <v>1377600</v>
          </cell>
          <cell r="Z39">
            <v>407140</v>
          </cell>
          <cell r="AA39">
            <v>1784740</v>
          </cell>
          <cell r="AB39">
            <v>5.5512908242612751</v>
          </cell>
          <cell r="AC39">
            <v>1784740</v>
          </cell>
          <cell r="AD39">
            <v>2331289</v>
          </cell>
          <cell r="AE39">
            <v>0</v>
          </cell>
          <cell r="AF39">
            <v>0</v>
          </cell>
          <cell r="AG39">
            <v>0</v>
          </cell>
          <cell r="AH39">
            <v>0</v>
          </cell>
          <cell r="AI39">
            <v>0</v>
          </cell>
          <cell r="AJ39">
            <v>0</v>
          </cell>
        </row>
        <row r="40">
          <cell r="A40" t="str">
            <v>TSX:ALA_NEO 1_2010</v>
          </cell>
          <cell r="B40" t="str">
            <v>TSX:ALA</v>
          </cell>
          <cell r="C40" t="str">
            <v>AltaGas Ltd.</v>
          </cell>
          <cell r="D40">
            <v>2010</v>
          </cell>
          <cell r="E40">
            <v>12</v>
          </cell>
          <cell r="F40" t="str">
            <v>CAD</v>
          </cell>
          <cell r="G40">
            <v>1</v>
          </cell>
          <cell r="H40" t="str">
            <v>David Harris</v>
          </cell>
          <cell r="I40" t="str">
            <v>President Gas and Power</v>
          </cell>
          <cell r="J40" t="str">
            <v>NEO 1</v>
          </cell>
          <cell r="K40">
            <v>4264.0884500000002</v>
          </cell>
          <cell r="L40">
            <v>7637.5364499999996</v>
          </cell>
          <cell r="M40">
            <v>182556</v>
          </cell>
          <cell r="N40">
            <v>182556</v>
          </cell>
          <cell r="O40">
            <v>0</v>
          </cell>
          <cell r="P40">
            <v>63894</v>
          </cell>
          <cell r="Q40">
            <v>63894</v>
          </cell>
          <cell r="R40">
            <v>0.34999671333727733</v>
          </cell>
          <cell r="S40">
            <v>0</v>
          </cell>
          <cell r="T40">
            <v>0</v>
          </cell>
          <cell r="U40">
            <v>0</v>
          </cell>
          <cell r="V40">
            <v>0</v>
          </cell>
          <cell r="W40">
            <v>0</v>
          </cell>
          <cell r="X40">
            <v>0</v>
          </cell>
          <cell r="Y40">
            <v>501960</v>
          </cell>
          <cell r="Z40">
            <v>78425</v>
          </cell>
          <cell r="AA40">
            <v>580385</v>
          </cell>
          <cell r="AB40">
            <v>3.1792162404960669</v>
          </cell>
          <cell r="AC40">
            <v>580385</v>
          </cell>
          <cell r="AD40">
            <v>826835</v>
          </cell>
          <cell r="AE40">
            <v>0</v>
          </cell>
          <cell r="AF40">
            <v>0</v>
          </cell>
          <cell r="AG40">
            <v>0</v>
          </cell>
          <cell r="AH40">
            <v>0</v>
          </cell>
          <cell r="AI40">
            <v>0</v>
          </cell>
          <cell r="AJ40">
            <v>0</v>
          </cell>
        </row>
        <row r="41">
          <cell r="A41" t="str">
            <v>TSX:ALA_NEO 1_Target</v>
          </cell>
          <cell r="B41" t="str">
            <v>TSX:ALA</v>
          </cell>
          <cell r="C41" t="str">
            <v>AltaGas Ltd.</v>
          </cell>
          <cell r="D41" t="str">
            <v>Target</v>
          </cell>
          <cell r="E41">
            <v>12</v>
          </cell>
          <cell r="F41" t="str">
            <v>CAD</v>
          </cell>
          <cell r="G41">
            <v>1</v>
          </cell>
          <cell r="H41" t="str">
            <v>David Harris</v>
          </cell>
          <cell r="I41" t="str">
            <v>President Gas and Power</v>
          </cell>
          <cell r="J41" t="str">
            <v>NEO 1</v>
          </cell>
          <cell r="K41">
            <v>4264.0884500000002</v>
          </cell>
          <cell r="L41">
            <v>7637.5364499999996</v>
          </cell>
          <cell r="M41">
            <v>356597</v>
          </cell>
          <cell r="N41">
            <v>356597</v>
          </cell>
          <cell r="O41" t="str">
            <v>n/d</v>
          </cell>
          <cell r="P41">
            <v>187213</v>
          </cell>
          <cell r="Q41">
            <v>187213</v>
          </cell>
          <cell r="R41">
            <v>0.52499880817841993</v>
          </cell>
          <cell r="S41">
            <v>0.4</v>
          </cell>
          <cell r="T41">
            <v>0.8</v>
          </cell>
          <cell r="U41">
            <v>142638.80000000002</v>
          </cell>
          <cell r="V41">
            <v>543810</v>
          </cell>
          <cell r="W41">
            <v>499235.8</v>
          </cell>
          <cell r="X41">
            <v>641874.6</v>
          </cell>
          <cell r="Y41">
            <v>939780</v>
          </cell>
          <cell r="Z41">
            <v>248588.33333333334</v>
          </cell>
          <cell r="AA41">
            <v>0</v>
          </cell>
          <cell r="AB41">
            <v>3.1533941001291601</v>
          </cell>
          <cell r="AC41">
            <v>1124490.8759237581</v>
          </cell>
          <cell r="AD41">
            <v>0</v>
          </cell>
          <cell r="AE41">
            <v>1623726.6759237582</v>
          </cell>
          <cell r="AF41" t="str">
            <v>On December 1, 2012, David Harris' title changed from President, Power to President, Gas and Power.</v>
          </cell>
          <cell r="AG41">
            <v>0</v>
          </cell>
          <cell r="AH41">
            <v>0</v>
          </cell>
          <cell r="AI41">
            <v>0</v>
          </cell>
          <cell r="AJ41">
            <v>0</v>
          </cell>
        </row>
        <row r="42">
          <cell r="A42" t="str">
            <v>TSX:ALA_NEO 2_2012</v>
          </cell>
          <cell r="B42" t="str">
            <v>TSX:ALA</v>
          </cell>
          <cell r="C42" t="str">
            <v>AltaGas Ltd.</v>
          </cell>
          <cell r="D42">
            <v>2012</v>
          </cell>
          <cell r="E42">
            <v>12</v>
          </cell>
          <cell r="F42" t="str">
            <v>CAD</v>
          </cell>
          <cell r="G42">
            <v>1</v>
          </cell>
          <cell r="H42" t="str">
            <v>John Lowe</v>
          </cell>
          <cell r="I42" t="str">
            <v>Executive Vice President Corporate Development</v>
          </cell>
          <cell r="J42" t="str">
            <v>NEO 2</v>
          </cell>
          <cell r="K42">
            <v>4264.0884500000002</v>
          </cell>
          <cell r="L42">
            <v>7637.5364499999996</v>
          </cell>
          <cell r="M42">
            <v>285863</v>
          </cell>
          <cell r="N42">
            <v>285863</v>
          </cell>
          <cell r="O42" t="str">
            <v>n/d</v>
          </cell>
          <cell r="P42">
            <v>114345</v>
          </cell>
          <cell r="Q42">
            <v>114345</v>
          </cell>
          <cell r="R42">
            <v>0.39999930036416048</v>
          </cell>
          <cell r="S42">
            <v>0.4</v>
          </cell>
          <cell r="T42">
            <v>0.8</v>
          </cell>
          <cell r="U42">
            <v>114345.20000000001</v>
          </cell>
          <cell r="V42">
            <v>400208</v>
          </cell>
          <cell r="W42">
            <v>400208.19999999995</v>
          </cell>
          <cell r="X42">
            <v>514553.4</v>
          </cell>
          <cell r="Y42">
            <v>0</v>
          </cell>
          <cell r="Z42">
            <v>232220</v>
          </cell>
          <cell r="AA42">
            <v>232220</v>
          </cell>
          <cell r="AB42">
            <v>0.81234717329629924</v>
          </cell>
          <cell r="AC42">
            <v>232220</v>
          </cell>
          <cell r="AD42">
            <v>632428</v>
          </cell>
          <cell r="AE42">
            <v>0</v>
          </cell>
          <cell r="AF42" t="str">
            <v xml:space="preserve">John Lowe began employement with AltaGas on October 3, 2011. On December 1, Mr. Lowe as appointed EVP, Corporate Development. As such, STIP and LTIP values prior to 2011 have not been included in taregt calculations. </v>
          </cell>
          <cell r="AG42">
            <v>1747500</v>
          </cell>
          <cell r="AH42">
            <v>30000</v>
          </cell>
          <cell r="AI42">
            <v>5</v>
          </cell>
          <cell r="AJ42">
            <v>0</v>
          </cell>
        </row>
        <row r="43">
          <cell r="A43" t="str">
            <v>TSX:ALA_NEO 2_2011</v>
          </cell>
          <cell r="B43" t="str">
            <v>TSX:ALA</v>
          </cell>
          <cell r="C43" t="str">
            <v>AltaGas Ltd.</v>
          </cell>
          <cell r="D43">
            <v>2011</v>
          </cell>
          <cell r="E43">
            <v>9.935483870967742</v>
          </cell>
          <cell r="F43" t="str">
            <v>CAD</v>
          </cell>
          <cell r="G43">
            <v>1</v>
          </cell>
          <cell r="H43" t="str">
            <v>John Lowe</v>
          </cell>
          <cell r="I43" t="str">
            <v>Executive Vice President Corporate Development</v>
          </cell>
          <cell r="J43" t="str">
            <v>NEO 2</v>
          </cell>
          <cell r="K43">
            <v>4264.0884500000002</v>
          </cell>
          <cell r="L43">
            <v>7637.5364499999996</v>
          </cell>
          <cell r="M43">
            <v>67500</v>
          </cell>
          <cell r="N43">
            <v>81525.974025974036</v>
          </cell>
          <cell r="O43">
            <v>0</v>
          </cell>
          <cell r="P43">
            <v>27000</v>
          </cell>
          <cell r="Q43">
            <v>32610.389610389611</v>
          </cell>
          <cell r="R43">
            <v>0.39999999999999997</v>
          </cell>
          <cell r="S43">
            <v>0</v>
          </cell>
          <cell r="T43">
            <v>0</v>
          </cell>
          <cell r="U43">
            <v>0</v>
          </cell>
          <cell r="V43">
            <v>0</v>
          </cell>
          <cell r="W43">
            <v>0</v>
          </cell>
          <cell r="X43">
            <v>0</v>
          </cell>
          <cell r="Y43">
            <v>310000</v>
          </cell>
          <cell r="Z43">
            <v>135960</v>
          </cell>
          <cell r="AA43">
            <v>445960</v>
          </cell>
          <cell r="AB43">
            <v>5.4701585025886095</v>
          </cell>
          <cell r="AC43">
            <v>445960</v>
          </cell>
          <cell r="AD43">
            <v>560096.36363636365</v>
          </cell>
          <cell r="AE43">
            <v>0</v>
          </cell>
          <cell r="AF43">
            <v>700000</v>
          </cell>
          <cell r="AG43">
            <v>1740000</v>
          </cell>
          <cell r="AH43">
            <v>0</v>
          </cell>
          <cell r="AI43">
            <v>0</v>
          </cell>
          <cell r="AJ43">
            <v>0</v>
          </cell>
        </row>
        <row r="44">
          <cell r="A44" t="str">
            <v>TSX:ALA__2010</v>
          </cell>
          <cell r="B44" t="str">
            <v>TSX:ALA</v>
          </cell>
          <cell r="C44" t="str">
            <v>AltaGas Ltd.</v>
          </cell>
          <cell r="D44">
            <v>2010</v>
          </cell>
          <cell r="E44">
            <v>12</v>
          </cell>
          <cell r="F44" t="str">
            <v>CAD</v>
          </cell>
          <cell r="G44">
            <v>1</v>
          </cell>
          <cell r="H44" t="str">
            <v>CEO</v>
          </cell>
          <cell r="I44" t="str">
            <v>President, CEO &amp; Director</v>
          </cell>
          <cell r="J44" t="str">
            <v>Paul Maleh</v>
          </cell>
          <cell r="K44">
            <v>4264.0884500000002</v>
          </cell>
          <cell r="L44">
            <v>7637.5364499999996</v>
          </cell>
          <cell r="M44" t="str">
            <v>n/a</v>
          </cell>
          <cell r="N44" t="str">
            <v>input</v>
          </cell>
          <cell r="O44">
            <v>0</v>
          </cell>
          <cell r="P44">
            <v>0</v>
          </cell>
          <cell r="Q44">
            <v>0</v>
          </cell>
          <cell r="R44" t="str">
            <v>input</v>
          </cell>
          <cell r="S44">
            <v>0</v>
          </cell>
          <cell r="T44">
            <v>0</v>
          </cell>
          <cell r="U44">
            <v>0</v>
          </cell>
          <cell r="V44">
            <v>0</v>
          </cell>
          <cell r="W44">
            <v>0</v>
          </cell>
          <cell r="X44">
            <v>0</v>
          </cell>
          <cell r="Y44">
            <v>0</v>
          </cell>
          <cell r="Z44">
            <v>0</v>
          </cell>
          <cell r="AA44">
            <v>0</v>
          </cell>
          <cell r="AB44" t="str">
            <v>input</v>
          </cell>
          <cell r="AC44">
            <v>0</v>
          </cell>
          <cell r="AD44" t="str">
            <v>input</v>
          </cell>
          <cell r="AE44">
            <v>0</v>
          </cell>
          <cell r="AF44">
            <v>1083305.84671</v>
          </cell>
          <cell r="AG44">
            <v>2886230.5467099999</v>
          </cell>
          <cell r="AH44">
            <v>0</v>
          </cell>
          <cell r="AI44">
            <v>0</v>
          </cell>
          <cell r="AJ44">
            <v>0</v>
          </cell>
        </row>
        <row r="45">
          <cell r="A45" t="str">
            <v>TSX:ALA_NEO 2_Target</v>
          </cell>
          <cell r="B45" t="str">
            <v>TSX:ALA</v>
          </cell>
          <cell r="C45" t="str">
            <v>AltaGas Ltd.</v>
          </cell>
          <cell r="D45" t="str">
            <v>Target</v>
          </cell>
          <cell r="E45">
            <v>12</v>
          </cell>
          <cell r="F45" t="str">
            <v>CAD</v>
          </cell>
          <cell r="G45">
            <v>1</v>
          </cell>
          <cell r="H45" t="str">
            <v>John Lowe</v>
          </cell>
          <cell r="I45" t="str">
            <v>Executive Vice President Corporate Development</v>
          </cell>
          <cell r="J45" t="str">
            <v>NEO 2</v>
          </cell>
          <cell r="K45">
            <v>4264.0884500000002</v>
          </cell>
          <cell r="L45">
            <v>7637.5364499999996</v>
          </cell>
          <cell r="M45">
            <v>285863</v>
          </cell>
          <cell r="N45">
            <v>285863</v>
          </cell>
          <cell r="O45" t="str">
            <v>n/d</v>
          </cell>
          <cell r="P45">
            <v>114345</v>
          </cell>
          <cell r="Q45">
            <v>114345</v>
          </cell>
          <cell r="R45">
            <v>0.39999930036416048</v>
          </cell>
          <cell r="S45">
            <v>0.4</v>
          </cell>
          <cell r="T45">
            <v>0.8</v>
          </cell>
          <cell r="U45">
            <v>114345.20000000001</v>
          </cell>
          <cell r="V45">
            <v>400208</v>
          </cell>
          <cell r="W45">
            <v>400208.19999999995</v>
          </cell>
          <cell r="X45">
            <v>514553.4</v>
          </cell>
          <cell r="Y45">
            <v>310000</v>
          </cell>
          <cell r="Z45">
            <v>184090</v>
          </cell>
          <cell r="AA45">
            <v>0</v>
          </cell>
          <cell r="AB45">
            <v>3.1412528379424542</v>
          </cell>
          <cell r="AC45">
            <v>897967.96001274383</v>
          </cell>
          <cell r="AD45">
            <v>0</v>
          </cell>
          <cell r="AE45">
            <v>1298176.1600127439</v>
          </cell>
          <cell r="AF45" t="str">
            <v xml:space="preserve">John Lowe began employement with AltaGas on October 3, 2011. On December 1, Mr. Lowe as appointed EVP, Corporate Development. As such, STIP and LTIP values prior to 2011 have not been included in taregt calculations. </v>
          </cell>
          <cell r="AG45">
            <v>0</v>
          </cell>
          <cell r="AH45">
            <v>0</v>
          </cell>
          <cell r="AI45">
            <v>0</v>
          </cell>
          <cell r="AJ45">
            <v>0</v>
          </cell>
        </row>
        <row r="46">
          <cell r="A46" t="str">
            <v>TSX:ALA_NEO 3_2012</v>
          </cell>
          <cell r="B46" t="str">
            <v>TSX:ALA</v>
          </cell>
          <cell r="C46" t="str">
            <v>AltaGas Ltd.</v>
          </cell>
          <cell r="D46">
            <v>2012</v>
          </cell>
          <cell r="E46">
            <v>12</v>
          </cell>
          <cell r="F46" t="str">
            <v>CAD</v>
          </cell>
          <cell r="G46">
            <v>1</v>
          </cell>
          <cell r="H46" t="str">
            <v>David Wright</v>
          </cell>
          <cell r="I46" t="str">
            <v>Executive Vice President</v>
          </cell>
          <cell r="J46" t="str">
            <v>NEO 3</v>
          </cell>
          <cell r="K46">
            <v>4264.0884500000002</v>
          </cell>
          <cell r="L46">
            <v>7637.5364499999996</v>
          </cell>
          <cell r="M46">
            <v>335400</v>
          </cell>
          <cell r="N46">
            <v>335400</v>
          </cell>
          <cell r="O46" t="str">
            <v>n/d</v>
          </cell>
          <cell r="P46">
            <v>147576</v>
          </cell>
          <cell r="Q46">
            <v>147576</v>
          </cell>
          <cell r="R46">
            <v>0.44</v>
          </cell>
          <cell r="S46">
            <v>0.4</v>
          </cell>
          <cell r="T46">
            <v>0.8</v>
          </cell>
          <cell r="U46">
            <v>134160</v>
          </cell>
          <cell r="V46">
            <v>482976</v>
          </cell>
          <cell r="W46">
            <v>469559.99999999994</v>
          </cell>
          <cell r="X46">
            <v>603720</v>
          </cell>
          <cell r="Y46">
            <v>0</v>
          </cell>
          <cell r="Z46">
            <v>89800</v>
          </cell>
          <cell r="AA46">
            <v>89800</v>
          </cell>
          <cell r="AB46">
            <v>0.26774001192605845</v>
          </cell>
          <cell r="AC46">
            <v>89800</v>
          </cell>
          <cell r="AD46">
            <v>572776</v>
          </cell>
          <cell r="AE46">
            <v>0</v>
          </cell>
          <cell r="AF46" t="str">
            <v>On December 1, 2012, David Wright's title changed from EVP, Strategy and Corporate Development to EVP</v>
          </cell>
          <cell r="AG46">
            <v>2164761.2286</v>
          </cell>
          <cell r="AH46">
            <v>30000</v>
          </cell>
          <cell r="AI46">
            <v>5</v>
          </cell>
          <cell r="AJ46">
            <v>0</v>
          </cell>
        </row>
        <row r="47">
          <cell r="A47" t="str">
            <v>TSX:ALA_NEO 3_2011</v>
          </cell>
          <cell r="B47" t="str">
            <v>TSX:ALA</v>
          </cell>
          <cell r="C47" t="str">
            <v>AltaGas Ltd.</v>
          </cell>
          <cell r="D47">
            <v>2011</v>
          </cell>
          <cell r="E47">
            <v>12</v>
          </cell>
          <cell r="F47" t="str">
            <v>CAD</v>
          </cell>
          <cell r="G47">
            <v>1</v>
          </cell>
          <cell r="H47" t="str">
            <v>David Wright</v>
          </cell>
          <cell r="I47" t="str">
            <v>Executive Vice President</v>
          </cell>
          <cell r="J47" t="str">
            <v>NEO 3</v>
          </cell>
          <cell r="K47">
            <v>4264.0884500000002</v>
          </cell>
          <cell r="L47">
            <v>7637.5364499999996</v>
          </cell>
          <cell r="M47">
            <v>312000</v>
          </cell>
          <cell r="N47">
            <v>312000</v>
          </cell>
          <cell r="O47">
            <v>0</v>
          </cell>
          <cell r="P47">
            <v>162240</v>
          </cell>
          <cell r="Q47">
            <v>162240</v>
          </cell>
          <cell r="R47">
            <v>0.52</v>
          </cell>
          <cell r="S47">
            <v>0</v>
          </cell>
          <cell r="T47">
            <v>0</v>
          </cell>
          <cell r="U47">
            <v>0</v>
          </cell>
          <cell r="V47">
            <v>0</v>
          </cell>
          <cell r="W47">
            <v>0</v>
          </cell>
          <cell r="X47">
            <v>0</v>
          </cell>
          <cell r="Y47">
            <v>0</v>
          </cell>
          <cell r="Z47">
            <v>67980</v>
          </cell>
          <cell r="AA47">
            <v>67980</v>
          </cell>
          <cell r="AB47">
            <v>0.21788461538461537</v>
          </cell>
          <cell r="AC47">
            <v>67980</v>
          </cell>
          <cell r="AD47">
            <v>542220</v>
          </cell>
          <cell r="AE47">
            <v>0</v>
          </cell>
          <cell r="AH47">
            <v>0</v>
          </cell>
          <cell r="AI47">
            <v>0</v>
          </cell>
          <cell r="AJ47">
            <v>0</v>
          </cell>
        </row>
        <row r="48">
          <cell r="A48" t="str">
            <v>TSX:ALA_NEO 3_2010</v>
          </cell>
          <cell r="B48" t="str">
            <v>TSX:ALA</v>
          </cell>
          <cell r="C48" t="str">
            <v>AltaGas Ltd.</v>
          </cell>
          <cell r="D48">
            <v>2010</v>
          </cell>
          <cell r="E48">
            <v>12</v>
          </cell>
          <cell r="F48" t="str">
            <v>CAD</v>
          </cell>
          <cell r="G48">
            <v>1</v>
          </cell>
          <cell r="H48" t="str">
            <v>David Wright</v>
          </cell>
          <cell r="I48" t="str">
            <v>Executive Vice President</v>
          </cell>
          <cell r="J48" t="str">
            <v>NEO 3</v>
          </cell>
          <cell r="K48">
            <v>4264.0884500000002</v>
          </cell>
          <cell r="L48">
            <v>7637.5364499999996</v>
          </cell>
          <cell r="M48">
            <v>303650</v>
          </cell>
          <cell r="N48">
            <v>303650</v>
          </cell>
          <cell r="O48">
            <v>0</v>
          </cell>
          <cell r="P48">
            <v>85022</v>
          </cell>
          <cell r="Q48">
            <v>85022</v>
          </cell>
          <cell r="R48">
            <v>0.28000000000000003</v>
          </cell>
          <cell r="S48">
            <v>0</v>
          </cell>
          <cell r="T48">
            <v>0</v>
          </cell>
          <cell r="U48">
            <v>0</v>
          </cell>
          <cell r="V48">
            <v>0</v>
          </cell>
          <cell r="W48">
            <v>0</v>
          </cell>
          <cell r="X48">
            <v>0</v>
          </cell>
          <cell r="Y48">
            <v>0</v>
          </cell>
          <cell r="Z48">
            <v>113450</v>
          </cell>
          <cell r="AA48">
            <v>113450</v>
          </cell>
          <cell r="AB48">
            <v>0.37362094516713323</v>
          </cell>
          <cell r="AC48">
            <v>113450</v>
          </cell>
          <cell r="AD48">
            <v>502122</v>
          </cell>
          <cell r="AE48">
            <v>0</v>
          </cell>
          <cell r="AH48">
            <v>0</v>
          </cell>
          <cell r="AI48">
            <v>0</v>
          </cell>
          <cell r="AJ48">
            <v>0</v>
          </cell>
        </row>
        <row r="49">
          <cell r="A49" t="str">
            <v>TSX:ALA_NEO 3_Target</v>
          </cell>
          <cell r="B49" t="str">
            <v>TSX:ALA</v>
          </cell>
          <cell r="C49" t="str">
            <v>AltaGas Ltd.</v>
          </cell>
          <cell r="D49" t="str">
            <v>Target</v>
          </cell>
          <cell r="E49">
            <v>12</v>
          </cell>
          <cell r="F49" t="str">
            <v>CAD</v>
          </cell>
          <cell r="G49">
            <v>1</v>
          </cell>
          <cell r="H49" t="str">
            <v>David Wright</v>
          </cell>
          <cell r="I49" t="str">
            <v>Executive Vice President</v>
          </cell>
          <cell r="J49" t="str">
            <v>NEO 3</v>
          </cell>
          <cell r="K49">
            <v>4264.0884500000002</v>
          </cell>
          <cell r="L49">
            <v>7637.5364499999996</v>
          </cell>
          <cell r="M49">
            <v>335400</v>
          </cell>
          <cell r="N49">
            <v>335400</v>
          </cell>
          <cell r="O49" t="str">
            <v>n/d</v>
          </cell>
          <cell r="P49">
            <v>147576</v>
          </cell>
          <cell r="Q49">
            <v>147576</v>
          </cell>
          <cell r="R49">
            <v>0.44</v>
          </cell>
          <cell r="S49">
            <v>0.4</v>
          </cell>
          <cell r="T49">
            <v>0.8</v>
          </cell>
          <cell r="U49">
            <v>134160</v>
          </cell>
          <cell r="V49">
            <v>482976</v>
          </cell>
          <cell r="W49">
            <v>469559.99999999994</v>
          </cell>
          <cell r="X49">
            <v>603720</v>
          </cell>
          <cell r="Y49" t="str">
            <v>input</v>
          </cell>
          <cell r="Z49">
            <v>90410</v>
          </cell>
          <cell r="AA49">
            <v>0</v>
          </cell>
          <cell r="AB49">
            <v>0.28641519082593564</v>
          </cell>
          <cell r="AC49">
            <v>96063.655003018808</v>
          </cell>
          <cell r="AD49">
            <v>0</v>
          </cell>
          <cell r="AE49">
            <v>565623.65500301879</v>
          </cell>
          <cell r="AF49" t="str">
            <v>On December 1, 2012, David Wright's title changed from EVP, Strategy and Corporate Development to EVP</v>
          </cell>
          <cell r="AG49">
            <v>0</v>
          </cell>
          <cell r="AH49">
            <v>0</v>
          </cell>
          <cell r="AI49">
            <v>0</v>
          </cell>
          <cell r="AJ49">
            <v>0</v>
          </cell>
        </row>
        <row r="50">
          <cell r="A50" t="str">
            <v>TSX:ARX_CEO_2012</v>
          </cell>
          <cell r="B50" t="str">
            <v>TSX:ARX</v>
          </cell>
          <cell r="C50" t="str">
            <v>ARC Resources Ltd.</v>
          </cell>
          <cell r="D50">
            <v>2012</v>
          </cell>
          <cell r="E50">
            <v>12</v>
          </cell>
          <cell r="F50" t="str">
            <v>CAD</v>
          </cell>
          <cell r="G50">
            <v>1</v>
          </cell>
          <cell r="H50" t="str">
            <v>John Dielwart</v>
          </cell>
          <cell r="I50" t="str">
            <v>CEO</v>
          </cell>
          <cell r="J50" t="str">
            <v>CEO</v>
          </cell>
          <cell r="K50">
            <v>8068.0830999999998</v>
          </cell>
          <cell r="L50">
            <v>8851.7831000000006</v>
          </cell>
          <cell r="M50">
            <v>580000</v>
          </cell>
          <cell r="N50">
            <v>580000</v>
          </cell>
          <cell r="O50" t="str">
            <v>n/d</v>
          </cell>
          <cell r="P50">
            <v>850000</v>
          </cell>
          <cell r="Q50">
            <v>850000</v>
          </cell>
          <cell r="R50">
            <v>1.4655172413793103</v>
          </cell>
          <cell r="S50" t="str">
            <v>n/d</v>
          </cell>
          <cell r="T50" t="str">
            <v>n/d</v>
          </cell>
          <cell r="U50" t="str">
            <v>input</v>
          </cell>
          <cell r="V50">
            <v>1430000</v>
          </cell>
          <cell r="W50" t="str">
            <v>input</v>
          </cell>
          <cell r="X50" t="str">
            <v>input</v>
          </cell>
          <cell r="Y50">
            <v>1300026</v>
          </cell>
          <cell r="Z50">
            <v>500001</v>
          </cell>
          <cell r="AA50">
            <v>1800027</v>
          </cell>
          <cell r="AB50">
            <v>3.1034948275862071</v>
          </cell>
          <cell r="AC50">
            <v>1800027</v>
          </cell>
          <cell r="AD50">
            <v>3230027</v>
          </cell>
          <cell r="AE50">
            <v>0</v>
          </cell>
          <cell r="AH50" t="str">
            <v>3X base salary</v>
          </cell>
          <cell r="AI50" t="str">
            <v>5 years</v>
          </cell>
          <cell r="AJ50">
            <v>0</v>
          </cell>
        </row>
        <row r="51">
          <cell r="A51" t="str">
            <v>TSX:ARX_CEO_2011</v>
          </cell>
          <cell r="B51" t="str">
            <v>TSX:ARX</v>
          </cell>
          <cell r="C51" t="str">
            <v>ARC Resources Ltd.</v>
          </cell>
          <cell r="D51">
            <v>2011</v>
          </cell>
          <cell r="E51">
            <v>12</v>
          </cell>
          <cell r="F51" t="str">
            <v>CAD</v>
          </cell>
          <cell r="G51">
            <v>1</v>
          </cell>
          <cell r="H51" t="str">
            <v>John Dielwart</v>
          </cell>
          <cell r="I51" t="str">
            <v>CEO</v>
          </cell>
          <cell r="J51" t="str">
            <v>CEO</v>
          </cell>
          <cell r="K51">
            <v>8068.0830999999998</v>
          </cell>
          <cell r="L51">
            <v>8851.7831000000006</v>
          </cell>
          <cell r="M51">
            <v>550000</v>
          </cell>
          <cell r="N51">
            <v>550000</v>
          </cell>
          <cell r="O51">
            <v>0</v>
          </cell>
          <cell r="P51">
            <v>850000</v>
          </cell>
          <cell r="Q51">
            <v>850000</v>
          </cell>
          <cell r="R51">
            <v>1.5454545454545454</v>
          </cell>
          <cell r="S51">
            <v>0</v>
          </cell>
          <cell r="T51">
            <v>0</v>
          </cell>
          <cell r="U51">
            <v>0</v>
          </cell>
          <cell r="V51">
            <v>0</v>
          </cell>
          <cell r="W51">
            <v>0</v>
          </cell>
          <cell r="X51">
            <v>0</v>
          </cell>
          <cell r="Y51">
            <v>1180029</v>
          </cell>
          <cell r="Z51">
            <v>450006</v>
          </cell>
          <cell r="AA51">
            <v>1630035</v>
          </cell>
          <cell r="AB51">
            <v>2.9636999999999998</v>
          </cell>
          <cell r="AC51">
            <v>1630035</v>
          </cell>
          <cell r="AD51">
            <v>3030035</v>
          </cell>
          <cell r="AE51">
            <v>0</v>
          </cell>
          <cell r="AH51">
            <v>0</v>
          </cell>
          <cell r="AI51">
            <v>0</v>
          </cell>
          <cell r="AJ51">
            <v>0</v>
          </cell>
        </row>
        <row r="52">
          <cell r="A52" t="str">
            <v>TSX:ARX_CEO_2010</v>
          </cell>
          <cell r="B52" t="str">
            <v>TSX:ARX</v>
          </cell>
          <cell r="C52" t="str">
            <v>ARC Resources Ltd.</v>
          </cell>
          <cell r="D52">
            <v>2010</v>
          </cell>
          <cell r="E52">
            <v>12</v>
          </cell>
          <cell r="F52" t="str">
            <v>CAD</v>
          </cell>
          <cell r="G52">
            <v>1</v>
          </cell>
          <cell r="H52" t="str">
            <v>John Dielwart</v>
          </cell>
          <cell r="I52" t="str">
            <v>CEO</v>
          </cell>
          <cell r="J52" t="str">
            <v>CEO</v>
          </cell>
          <cell r="K52">
            <v>8068.0830999999998</v>
          </cell>
          <cell r="L52">
            <v>8851.7831000000006</v>
          </cell>
          <cell r="M52">
            <v>525000</v>
          </cell>
          <cell r="N52">
            <v>525000</v>
          </cell>
          <cell r="O52">
            <v>0</v>
          </cell>
          <cell r="P52">
            <v>650000</v>
          </cell>
          <cell r="Q52">
            <v>650000</v>
          </cell>
          <cell r="R52">
            <v>1.2380952380952381</v>
          </cell>
          <cell r="S52">
            <v>0</v>
          </cell>
          <cell r="T52">
            <v>0</v>
          </cell>
          <cell r="U52">
            <v>0</v>
          </cell>
          <cell r="V52">
            <v>0</v>
          </cell>
          <cell r="W52">
            <v>0</v>
          </cell>
          <cell r="X52">
            <v>0</v>
          </cell>
          <cell r="Y52">
            <v>1400035</v>
          </cell>
          <cell r="Z52">
            <v>0</v>
          </cell>
          <cell r="AA52">
            <v>1400035</v>
          </cell>
          <cell r="AB52">
            <v>2.6667333333333332</v>
          </cell>
          <cell r="AC52">
            <v>1400035</v>
          </cell>
          <cell r="AD52">
            <v>2575035</v>
          </cell>
          <cell r="AE52">
            <v>0</v>
          </cell>
          <cell r="AH52">
            <v>0</v>
          </cell>
          <cell r="AI52">
            <v>0</v>
          </cell>
          <cell r="AJ52">
            <v>0</v>
          </cell>
        </row>
        <row r="53">
          <cell r="A53" t="str">
            <v>TSX:ARX_CEO_Target</v>
          </cell>
          <cell r="B53" t="str">
            <v>TSX:ARX</v>
          </cell>
          <cell r="C53" t="str">
            <v>ARC Resources Ltd.</v>
          </cell>
          <cell r="D53" t="str">
            <v>Target</v>
          </cell>
          <cell r="E53">
            <v>12</v>
          </cell>
          <cell r="F53" t="str">
            <v>CAD</v>
          </cell>
          <cell r="G53">
            <v>1</v>
          </cell>
          <cell r="H53" t="str">
            <v>John Dielwart</v>
          </cell>
          <cell r="I53" t="str">
            <v>CEO</v>
          </cell>
          <cell r="J53" t="str">
            <v>CEO</v>
          </cell>
          <cell r="K53">
            <v>8068.0830999999998</v>
          </cell>
          <cell r="L53">
            <v>8851.7831000000006</v>
          </cell>
          <cell r="M53">
            <v>580000</v>
          </cell>
          <cell r="N53">
            <v>580000</v>
          </cell>
          <cell r="O53" t="str">
            <v>n/d</v>
          </cell>
          <cell r="P53">
            <v>850000</v>
          </cell>
          <cell r="Q53">
            <v>850000</v>
          </cell>
          <cell r="R53">
            <v>1.4655172413793103</v>
          </cell>
          <cell r="S53">
            <v>1.4163556749763646</v>
          </cell>
          <cell r="T53" t="str">
            <v>n/d</v>
          </cell>
          <cell r="U53">
            <v>821486.29148629145</v>
          </cell>
          <cell r="V53">
            <v>1430000</v>
          </cell>
          <cell r="W53">
            <v>1401486.2914862917</v>
          </cell>
          <cell r="X53" t="str">
            <v>input</v>
          </cell>
          <cell r="Y53">
            <v>1293363.3333333333</v>
          </cell>
          <cell r="Z53">
            <v>475003.5</v>
          </cell>
          <cell r="AA53">
            <v>0</v>
          </cell>
          <cell r="AB53">
            <v>2.9113093869731799</v>
          </cell>
          <cell r="AC53">
            <v>1688559.4444444443</v>
          </cell>
          <cell r="AD53">
            <v>0</v>
          </cell>
          <cell r="AE53">
            <v>3090045.7359307357</v>
          </cell>
          <cell r="AF53">
            <v>0</v>
          </cell>
          <cell r="AG53">
            <v>0</v>
          </cell>
          <cell r="AH53">
            <v>0</v>
          </cell>
          <cell r="AI53">
            <v>0</v>
          </cell>
          <cell r="AJ53">
            <v>0</v>
          </cell>
        </row>
        <row r="54">
          <cell r="A54" t="str">
            <v>TSX:ARX_CFO_2012</v>
          </cell>
          <cell r="B54" t="str">
            <v>TSX:ARX</v>
          </cell>
          <cell r="C54" t="str">
            <v>ARC Resources Ltd.</v>
          </cell>
          <cell r="D54">
            <v>2012</v>
          </cell>
          <cell r="E54">
            <v>12</v>
          </cell>
          <cell r="F54" t="str">
            <v>CAD</v>
          </cell>
          <cell r="G54">
            <v>1</v>
          </cell>
          <cell r="H54" t="str">
            <v>Steven Sinclair</v>
          </cell>
          <cell r="I54" t="str">
            <v>SVP and CFO</v>
          </cell>
          <cell r="J54" t="str">
            <v>CFO</v>
          </cell>
          <cell r="K54">
            <v>8068.0830999999998</v>
          </cell>
          <cell r="L54">
            <v>8851.7831000000006</v>
          </cell>
          <cell r="M54">
            <v>360000</v>
          </cell>
          <cell r="N54">
            <v>360000</v>
          </cell>
          <cell r="O54" t="str">
            <v>n/d</v>
          </cell>
          <cell r="P54">
            <v>400000</v>
          </cell>
          <cell r="Q54">
            <v>400000</v>
          </cell>
          <cell r="R54">
            <v>1.1111111111111112</v>
          </cell>
          <cell r="S54" t="str">
            <v>n/d</v>
          </cell>
          <cell r="T54" t="str">
            <v>n/d</v>
          </cell>
          <cell r="U54" t="str">
            <v>input</v>
          </cell>
          <cell r="V54">
            <v>760000</v>
          </cell>
          <cell r="W54" t="str">
            <v>input</v>
          </cell>
          <cell r="X54" t="str">
            <v>input</v>
          </cell>
          <cell r="Y54">
            <v>700033</v>
          </cell>
          <cell r="Z54">
            <v>250000</v>
          </cell>
          <cell r="AA54">
            <v>950033</v>
          </cell>
          <cell r="AB54">
            <v>2.6389805555555554</v>
          </cell>
          <cell r="AC54">
            <v>950033</v>
          </cell>
          <cell r="AD54">
            <v>1710033</v>
          </cell>
          <cell r="AE54">
            <v>0</v>
          </cell>
          <cell r="AH54" t="str">
            <v>2X base salary</v>
          </cell>
          <cell r="AI54" t="str">
            <v>5 years</v>
          </cell>
          <cell r="AJ54">
            <v>0</v>
          </cell>
        </row>
        <row r="55">
          <cell r="A55" t="str">
            <v>TSX:ARX_CFO_2011</v>
          </cell>
          <cell r="B55" t="str">
            <v>TSX:ARX</v>
          </cell>
          <cell r="C55" t="str">
            <v>ARC Resources Ltd.</v>
          </cell>
          <cell r="D55">
            <v>2011</v>
          </cell>
          <cell r="E55">
            <v>12</v>
          </cell>
          <cell r="F55" t="str">
            <v>CAD</v>
          </cell>
          <cell r="G55">
            <v>1</v>
          </cell>
          <cell r="H55" t="str">
            <v>Steven Sinclair</v>
          </cell>
          <cell r="I55" t="str">
            <v>SVP and CFO</v>
          </cell>
          <cell r="J55" t="str">
            <v>CFO</v>
          </cell>
          <cell r="K55">
            <v>8068.0830999999998</v>
          </cell>
          <cell r="L55">
            <v>8851.7831000000006</v>
          </cell>
          <cell r="M55">
            <v>340000</v>
          </cell>
          <cell r="N55">
            <v>340000</v>
          </cell>
          <cell r="O55">
            <v>0</v>
          </cell>
          <cell r="P55">
            <v>400000</v>
          </cell>
          <cell r="Q55">
            <v>400000</v>
          </cell>
          <cell r="R55">
            <v>1.1764705882352942</v>
          </cell>
          <cell r="S55">
            <v>0</v>
          </cell>
          <cell r="T55">
            <v>0</v>
          </cell>
          <cell r="U55">
            <v>0</v>
          </cell>
          <cell r="V55">
            <v>0</v>
          </cell>
          <cell r="W55">
            <v>0</v>
          </cell>
          <cell r="X55">
            <v>0</v>
          </cell>
          <cell r="Y55">
            <v>600044</v>
          </cell>
          <cell r="Z55">
            <v>240004</v>
          </cell>
          <cell r="AA55">
            <v>840048</v>
          </cell>
          <cell r="AB55">
            <v>2.4707294117647058</v>
          </cell>
          <cell r="AC55">
            <v>840048</v>
          </cell>
          <cell r="AD55">
            <v>1580048</v>
          </cell>
          <cell r="AE55">
            <v>0</v>
          </cell>
          <cell r="AH55">
            <v>0</v>
          </cell>
          <cell r="AI55">
            <v>0</v>
          </cell>
          <cell r="AJ55">
            <v>0</v>
          </cell>
        </row>
        <row r="56">
          <cell r="A56" t="str">
            <v>TSX:ARX_CFO_2010</v>
          </cell>
          <cell r="B56" t="str">
            <v>TSX:ARX</v>
          </cell>
          <cell r="C56" t="str">
            <v>ARC Resources Ltd.</v>
          </cell>
          <cell r="D56">
            <v>2010</v>
          </cell>
          <cell r="E56">
            <v>12</v>
          </cell>
          <cell r="F56" t="str">
            <v>CAD</v>
          </cell>
          <cell r="G56">
            <v>1</v>
          </cell>
          <cell r="H56" t="str">
            <v>Steven Sinclair</v>
          </cell>
          <cell r="I56" t="str">
            <v>SVP and CFO</v>
          </cell>
          <cell r="J56" t="str">
            <v>CFO</v>
          </cell>
          <cell r="K56">
            <v>8068.0830999999998</v>
          </cell>
          <cell r="L56">
            <v>8851.7831000000006</v>
          </cell>
          <cell r="M56">
            <v>325000</v>
          </cell>
          <cell r="N56">
            <v>325000</v>
          </cell>
          <cell r="O56">
            <v>0</v>
          </cell>
          <cell r="P56">
            <v>300000</v>
          </cell>
          <cell r="Q56">
            <v>300000</v>
          </cell>
          <cell r="R56">
            <v>0.92307692307692313</v>
          </cell>
          <cell r="S56">
            <v>0</v>
          </cell>
          <cell r="T56">
            <v>0</v>
          </cell>
          <cell r="U56">
            <v>0</v>
          </cell>
          <cell r="V56">
            <v>0</v>
          </cell>
          <cell r="W56">
            <v>0</v>
          </cell>
          <cell r="X56">
            <v>0</v>
          </cell>
          <cell r="Y56">
            <v>600044</v>
          </cell>
          <cell r="Z56">
            <v>0</v>
          </cell>
          <cell r="AA56">
            <v>600044</v>
          </cell>
          <cell r="AB56">
            <v>1.8462892307692307</v>
          </cell>
          <cell r="AC56">
            <v>600044</v>
          </cell>
          <cell r="AD56">
            <v>1225044</v>
          </cell>
          <cell r="AE56">
            <v>0</v>
          </cell>
          <cell r="AH56">
            <v>0</v>
          </cell>
          <cell r="AI56">
            <v>0</v>
          </cell>
          <cell r="AJ56">
            <v>0</v>
          </cell>
        </row>
        <row r="57">
          <cell r="A57" t="str">
            <v>TSX:ARX_CFO_Target</v>
          </cell>
          <cell r="B57" t="str">
            <v>TSX:ARX</v>
          </cell>
          <cell r="C57" t="str">
            <v>ARC Resources Ltd.</v>
          </cell>
          <cell r="D57" t="str">
            <v>Target</v>
          </cell>
          <cell r="E57">
            <v>12</v>
          </cell>
          <cell r="F57" t="str">
            <v>CAD</v>
          </cell>
          <cell r="G57">
            <v>1</v>
          </cell>
          <cell r="H57" t="str">
            <v>Steven Sinclair</v>
          </cell>
          <cell r="I57" t="str">
            <v>SVP and CFO</v>
          </cell>
          <cell r="J57" t="str">
            <v>CFO</v>
          </cell>
          <cell r="K57">
            <v>8068.0830999999998</v>
          </cell>
          <cell r="L57">
            <v>8851.7831000000006</v>
          </cell>
          <cell r="M57">
            <v>360000</v>
          </cell>
          <cell r="N57">
            <v>360000</v>
          </cell>
          <cell r="O57" t="str">
            <v>n/d</v>
          </cell>
          <cell r="P57">
            <v>400000</v>
          </cell>
          <cell r="Q57">
            <v>400000</v>
          </cell>
          <cell r="R57">
            <v>1.1111111111111112</v>
          </cell>
          <cell r="S57">
            <v>1.0702195408077761</v>
          </cell>
          <cell r="T57" t="str">
            <v>n/d</v>
          </cell>
          <cell r="U57">
            <v>385279.03469079942</v>
          </cell>
          <cell r="V57">
            <v>760000</v>
          </cell>
          <cell r="W57">
            <v>745279.03469079942</v>
          </cell>
          <cell r="X57" t="str">
            <v>input</v>
          </cell>
          <cell r="Y57">
            <v>633373.66666666663</v>
          </cell>
          <cell r="Z57">
            <v>245002</v>
          </cell>
          <cell r="AA57">
            <v>0</v>
          </cell>
          <cell r="AB57">
            <v>2.3186663993631642</v>
          </cell>
          <cell r="AC57">
            <v>834719.9037707391</v>
          </cell>
          <cell r="AD57">
            <v>0</v>
          </cell>
          <cell r="AE57">
            <v>1579998.9384615384</v>
          </cell>
          <cell r="AF57">
            <v>0</v>
          </cell>
          <cell r="AG57">
            <v>0</v>
          </cell>
          <cell r="AH57">
            <v>0</v>
          </cell>
          <cell r="AI57">
            <v>0</v>
          </cell>
          <cell r="AJ57">
            <v>0</v>
          </cell>
        </row>
        <row r="58">
          <cell r="A58" t="str">
            <v>TSX:ARX_NEO 1_2012</v>
          </cell>
          <cell r="B58" t="str">
            <v>TSX:ARX</v>
          </cell>
          <cell r="C58" t="str">
            <v>ARC Resources Ltd.</v>
          </cell>
          <cell r="D58">
            <v>2012</v>
          </cell>
          <cell r="E58">
            <v>12</v>
          </cell>
          <cell r="F58" t="str">
            <v>CAD</v>
          </cell>
          <cell r="G58">
            <v>1</v>
          </cell>
          <cell r="H58" t="str">
            <v>Myron Stadnyk</v>
          </cell>
          <cell r="I58" t="str">
            <v>President and COO</v>
          </cell>
          <cell r="J58" t="str">
            <v>NEO 1</v>
          </cell>
          <cell r="K58">
            <v>8068.0830999999998</v>
          </cell>
          <cell r="L58">
            <v>8851.7831000000006</v>
          </cell>
          <cell r="M58">
            <v>520000</v>
          </cell>
          <cell r="N58">
            <v>520000</v>
          </cell>
          <cell r="O58" t="str">
            <v>n/d</v>
          </cell>
          <cell r="P58">
            <v>650000</v>
          </cell>
          <cell r="Q58">
            <v>650000</v>
          </cell>
          <cell r="R58">
            <v>1.25</v>
          </cell>
          <cell r="S58" t="str">
            <v>n/d</v>
          </cell>
          <cell r="T58" t="str">
            <v>n/d</v>
          </cell>
          <cell r="U58" t="str">
            <v>input</v>
          </cell>
          <cell r="V58">
            <v>1170000</v>
          </cell>
          <cell r="W58" t="str">
            <v>input</v>
          </cell>
          <cell r="X58" t="str">
            <v>input</v>
          </cell>
          <cell r="Y58">
            <v>1100044</v>
          </cell>
          <cell r="Z58">
            <v>400003</v>
          </cell>
          <cell r="AA58">
            <v>1500047</v>
          </cell>
          <cell r="AB58">
            <v>2.8847057692307692</v>
          </cell>
          <cell r="AC58">
            <v>1500047</v>
          </cell>
          <cell r="AD58">
            <v>2670047</v>
          </cell>
          <cell r="AE58">
            <v>0</v>
          </cell>
          <cell r="AH58" t="str">
            <v>2X base salary</v>
          </cell>
          <cell r="AI58" t="str">
            <v>5 years</v>
          </cell>
          <cell r="AJ58">
            <v>0</v>
          </cell>
        </row>
        <row r="59">
          <cell r="A59" t="str">
            <v>TSX:ARX_NEO 1_2011</v>
          </cell>
          <cell r="B59" t="str">
            <v>TSX:ARX</v>
          </cell>
          <cell r="C59" t="str">
            <v>ARC Resources Ltd.</v>
          </cell>
          <cell r="D59">
            <v>2011</v>
          </cell>
          <cell r="E59">
            <v>12</v>
          </cell>
          <cell r="F59" t="str">
            <v>CAD</v>
          </cell>
          <cell r="G59">
            <v>1</v>
          </cell>
          <cell r="H59" t="str">
            <v>Myron Stadnyk</v>
          </cell>
          <cell r="I59" t="str">
            <v>President and COO</v>
          </cell>
          <cell r="J59" t="str">
            <v>NEO 1</v>
          </cell>
          <cell r="K59">
            <v>8068.0830999999998</v>
          </cell>
          <cell r="L59">
            <v>8851.7831000000006</v>
          </cell>
          <cell r="M59">
            <v>490000</v>
          </cell>
          <cell r="N59">
            <v>490000</v>
          </cell>
          <cell r="O59">
            <v>0</v>
          </cell>
          <cell r="P59">
            <v>650000</v>
          </cell>
          <cell r="Q59">
            <v>650000</v>
          </cell>
          <cell r="R59">
            <v>1.3265306122448979</v>
          </cell>
          <cell r="S59">
            <v>0</v>
          </cell>
          <cell r="T59">
            <v>0</v>
          </cell>
          <cell r="U59">
            <v>0</v>
          </cell>
          <cell r="V59">
            <v>0</v>
          </cell>
          <cell r="W59">
            <v>0</v>
          </cell>
          <cell r="X59">
            <v>0</v>
          </cell>
          <cell r="Y59">
            <v>890025</v>
          </cell>
          <cell r="Z59">
            <v>330004</v>
          </cell>
          <cell r="AA59">
            <v>1220029</v>
          </cell>
          <cell r="AB59">
            <v>2.4898551020408162</v>
          </cell>
          <cell r="AC59">
            <v>1220029</v>
          </cell>
          <cell r="AD59">
            <v>2360029</v>
          </cell>
          <cell r="AE59">
            <v>0</v>
          </cell>
          <cell r="AH59">
            <v>0</v>
          </cell>
          <cell r="AI59">
            <v>0</v>
          </cell>
          <cell r="AJ59">
            <v>0</v>
          </cell>
        </row>
        <row r="60">
          <cell r="A60" t="str">
            <v>TSX:ARX_NEO 1_2010</v>
          </cell>
          <cell r="B60" t="str">
            <v>TSX:ARX</v>
          </cell>
          <cell r="C60" t="str">
            <v>ARC Resources Ltd.</v>
          </cell>
          <cell r="D60">
            <v>2010</v>
          </cell>
          <cell r="E60">
            <v>12</v>
          </cell>
          <cell r="F60" t="str">
            <v>CAD</v>
          </cell>
          <cell r="G60">
            <v>1</v>
          </cell>
          <cell r="H60" t="str">
            <v>Myron Stadnyk</v>
          </cell>
          <cell r="I60" t="str">
            <v>President and COO</v>
          </cell>
          <cell r="J60" t="str">
            <v>NEO 1</v>
          </cell>
          <cell r="K60">
            <v>8068.0830999999998</v>
          </cell>
          <cell r="L60">
            <v>8851.7831000000006</v>
          </cell>
          <cell r="M60">
            <v>470000</v>
          </cell>
          <cell r="N60">
            <v>470000</v>
          </cell>
          <cell r="O60">
            <v>0</v>
          </cell>
          <cell r="P60">
            <v>500000</v>
          </cell>
          <cell r="Q60">
            <v>500000</v>
          </cell>
          <cell r="R60">
            <v>1.0638297872340425</v>
          </cell>
          <cell r="S60">
            <v>0</v>
          </cell>
          <cell r="T60">
            <v>0</v>
          </cell>
          <cell r="U60">
            <v>0</v>
          </cell>
          <cell r="V60">
            <v>0</v>
          </cell>
          <cell r="W60">
            <v>0</v>
          </cell>
          <cell r="X60">
            <v>0</v>
          </cell>
          <cell r="Y60">
            <v>1000049</v>
          </cell>
          <cell r="Z60">
            <v>0</v>
          </cell>
          <cell r="AA60">
            <v>1000049</v>
          </cell>
          <cell r="AB60">
            <v>2.1277638297872339</v>
          </cell>
          <cell r="AC60">
            <v>1000049</v>
          </cell>
          <cell r="AD60">
            <v>1970049</v>
          </cell>
          <cell r="AE60">
            <v>0</v>
          </cell>
          <cell r="AH60">
            <v>0</v>
          </cell>
          <cell r="AI60">
            <v>0</v>
          </cell>
          <cell r="AJ60">
            <v>0</v>
          </cell>
        </row>
        <row r="61">
          <cell r="A61" t="str">
            <v>TSX:ARX_NEO 1_Target</v>
          </cell>
          <cell r="B61" t="str">
            <v>TSX:ARX</v>
          </cell>
          <cell r="C61" t="str">
            <v>ARC Resources Ltd.</v>
          </cell>
          <cell r="D61" t="str">
            <v>Target</v>
          </cell>
          <cell r="E61">
            <v>12</v>
          </cell>
          <cell r="F61" t="str">
            <v>CAD</v>
          </cell>
          <cell r="G61">
            <v>1</v>
          </cell>
          <cell r="H61" t="str">
            <v>Myron Stadnyk</v>
          </cell>
          <cell r="I61" t="str">
            <v>President and COO</v>
          </cell>
          <cell r="J61" t="str">
            <v>NEO 1</v>
          </cell>
          <cell r="K61">
            <v>8068.0830999999998</v>
          </cell>
          <cell r="L61">
            <v>8851.7831000000006</v>
          </cell>
          <cell r="M61">
            <v>520000</v>
          </cell>
          <cell r="N61">
            <v>520000</v>
          </cell>
          <cell r="O61" t="str">
            <v>n/d</v>
          </cell>
          <cell r="P61">
            <v>650000</v>
          </cell>
          <cell r="Q61">
            <v>650000</v>
          </cell>
          <cell r="R61">
            <v>1.25</v>
          </cell>
          <cell r="S61">
            <v>1.2134534664929801</v>
          </cell>
          <cell r="T61" t="str">
            <v>n/d</v>
          </cell>
          <cell r="U61">
            <v>630995.8025763497</v>
          </cell>
          <cell r="V61">
            <v>1170000</v>
          </cell>
          <cell r="W61">
            <v>1150995.8025763496</v>
          </cell>
          <cell r="X61" t="str">
            <v>input</v>
          </cell>
          <cell r="Y61">
            <v>996706</v>
          </cell>
          <cell r="Z61">
            <v>365003.5</v>
          </cell>
          <cell r="AA61">
            <v>0</v>
          </cell>
          <cell r="AB61">
            <v>2.50077490035294</v>
          </cell>
          <cell r="AC61">
            <v>1300402.9481835288</v>
          </cell>
          <cell r="AD61">
            <v>0</v>
          </cell>
          <cell r="AE61">
            <v>2451398.7507598782</v>
          </cell>
          <cell r="AF61">
            <v>0</v>
          </cell>
          <cell r="AG61">
            <v>0</v>
          </cell>
          <cell r="AH61">
            <v>0</v>
          </cell>
          <cell r="AI61">
            <v>0</v>
          </cell>
          <cell r="AJ61">
            <v>0</v>
          </cell>
        </row>
        <row r="62">
          <cell r="A62" t="str">
            <v>TSX:ARX_NEO 2_2012</v>
          </cell>
          <cell r="B62" t="str">
            <v>TSX:ARX</v>
          </cell>
          <cell r="C62" t="str">
            <v>ARC Resources Ltd.</v>
          </cell>
          <cell r="D62">
            <v>2012</v>
          </cell>
          <cell r="E62">
            <v>12</v>
          </cell>
          <cell r="F62" t="str">
            <v>CAD</v>
          </cell>
          <cell r="G62">
            <v>1</v>
          </cell>
          <cell r="H62" t="str">
            <v>Cameron Kramer</v>
          </cell>
          <cell r="I62" t="str">
            <v>SVP, Operations</v>
          </cell>
          <cell r="J62" t="str">
            <v>NEO 2</v>
          </cell>
          <cell r="K62">
            <v>8068.0830999999998</v>
          </cell>
          <cell r="L62">
            <v>8851.7831000000006</v>
          </cell>
          <cell r="M62">
            <v>400000</v>
          </cell>
          <cell r="N62">
            <v>400000</v>
          </cell>
          <cell r="O62" t="str">
            <v>n/d</v>
          </cell>
          <cell r="P62">
            <v>550000</v>
          </cell>
          <cell r="Q62">
            <v>550000</v>
          </cell>
          <cell r="R62">
            <v>1.375</v>
          </cell>
          <cell r="S62" t="str">
            <v>n/d</v>
          </cell>
          <cell r="T62" t="str">
            <v>n/d</v>
          </cell>
          <cell r="U62" t="str">
            <v>input</v>
          </cell>
          <cell r="V62">
            <v>950000</v>
          </cell>
          <cell r="W62" t="str">
            <v>input</v>
          </cell>
          <cell r="X62" t="str">
            <v>input</v>
          </cell>
          <cell r="Y62">
            <v>650025</v>
          </cell>
          <cell r="Z62">
            <v>200001</v>
          </cell>
          <cell r="AA62">
            <v>850026</v>
          </cell>
          <cell r="AB62">
            <v>2.1250650000000002</v>
          </cell>
          <cell r="AC62">
            <v>850026</v>
          </cell>
          <cell r="AD62">
            <v>1800026</v>
          </cell>
          <cell r="AE62">
            <v>0</v>
          </cell>
          <cell r="AF62" t="str">
            <v xml:space="preserve">Cameron Kramer was appointed SVP, Operations on September 12, 2011. Given that his compensation for 2011 included two sign-on awards, compensation prior to 2012 has not been included in the STIP and LTIP target calculations. </v>
          </cell>
          <cell r="AH62" t="str">
            <v>2X base salary</v>
          </cell>
          <cell r="AI62" t="str">
            <v>5 years</v>
          </cell>
          <cell r="AJ62">
            <v>0</v>
          </cell>
        </row>
        <row r="63">
          <cell r="A63" t="str">
            <v>TSX:ARX__2011</v>
          </cell>
          <cell r="B63" t="str">
            <v>TSX:ARX</v>
          </cell>
          <cell r="C63" t="str">
            <v>ARC Resources Ltd.</v>
          </cell>
          <cell r="D63">
            <v>2011</v>
          </cell>
          <cell r="E63">
            <v>4</v>
          </cell>
          <cell r="F63" t="str">
            <v>CAD</v>
          </cell>
          <cell r="G63">
            <v>1</v>
          </cell>
          <cell r="K63">
            <v>8068.0830999999998</v>
          </cell>
          <cell r="L63">
            <v>8851.7831000000006</v>
          </cell>
          <cell r="M63">
            <v>0</v>
          </cell>
          <cell r="N63">
            <v>0</v>
          </cell>
          <cell r="O63">
            <v>0</v>
          </cell>
          <cell r="P63">
            <v>0</v>
          </cell>
          <cell r="Q63">
            <v>0</v>
          </cell>
          <cell r="R63" t="str">
            <v>input</v>
          </cell>
          <cell r="S63">
            <v>0</v>
          </cell>
          <cell r="T63">
            <v>0</v>
          </cell>
          <cell r="U63">
            <v>0</v>
          </cell>
          <cell r="V63">
            <v>0</v>
          </cell>
          <cell r="W63">
            <v>0</v>
          </cell>
          <cell r="X63">
            <v>0</v>
          </cell>
          <cell r="Y63">
            <v>0</v>
          </cell>
          <cell r="Z63">
            <v>0</v>
          </cell>
          <cell r="AA63">
            <v>0</v>
          </cell>
          <cell r="AB63" t="str">
            <v>input</v>
          </cell>
          <cell r="AC63">
            <v>0</v>
          </cell>
          <cell r="AD63">
            <v>0</v>
          </cell>
          <cell r="AE63">
            <v>0</v>
          </cell>
          <cell r="AH63">
            <v>0</v>
          </cell>
          <cell r="AI63">
            <v>0</v>
          </cell>
          <cell r="AJ63">
            <v>0</v>
          </cell>
        </row>
        <row r="64">
          <cell r="A64" t="str">
            <v>TSX:ARX__2010</v>
          </cell>
          <cell r="B64" t="str">
            <v>TSX:ARX</v>
          </cell>
          <cell r="C64" t="str">
            <v>ARC Resources Ltd.</v>
          </cell>
          <cell r="D64">
            <v>2010</v>
          </cell>
          <cell r="E64">
            <v>12</v>
          </cell>
          <cell r="F64" t="str">
            <v>CAD</v>
          </cell>
          <cell r="G64">
            <v>1</v>
          </cell>
          <cell r="K64">
            <v>8068.0830999999998</v>
          </cell>
          <cell r="L64">
            <v>8851.7831000000006</v>
          </cell>
          <cell r="M64" t="str">
            <v>n/a</v>
          </cell>
          <cell r="N64" t="str">
            <v>input</v>
          </cell>
          <cell r="O64">
            <v>0</v>
          </cell>
          <cell r="P64" t="str">
            <v>n/a</v>
          </cell>
          <cell r="Q64" t="str">
            <v>input</v>
          </cell>
          <cell r="R64" t="str">
            <v>input</v>
          </cell>
          <cell r="S64">
            <v>0</v>
          </cell>
          <cell r="T64">
            <v>0</v>
          </cell>
          <cell r="U64">
            <v>0</v>
          </cell>
          <cell r="V64">
            <v>0</v>
          </cell>
          <cell r="W64">
            <v>0</v>
          </cell>
          <cell r="X64">
            <v>0</v>
          </cell>
          <cell r="Y64">
            <v>0</v>
          </cell>
          <cell r="Z64">
            <v>0</v>
          </cell>
          <cell r="AA64">
            <v>0</v>
          </cell>
          <cell r="AB64" t="str">
            <v>input</v>
          </cell>
          <cell r="AC64">
            <v>0</v>
          </cell>
          <cell r="AD64" t="str">
            <v>input</v>
          </cell>
          <cell r="AE64">
            <v>0</v>
          </cell>
          <cell r="AH64">
            <v>0</v>
          </cell>
          <cell r="AI64">
            <v>0</v>
          </cell>
          <cell r="AJ64">
            <v>0</v>
          </cell>
        </row>
        <row r="65">
          <cell r="A65" t="str">
            <v>TSX:ARX_NEO 2_Target</v>
          </cell>
          <cell r="B65" t="str">
            <v>TSX:ARX</v>
          </cell>
          <cell r="C65" t="str">
            <v>ARC Resources Ltd.</v>
          </cell>
          <cell r="D65" t="str">
            <v>Target</v>
          </cell>
          <cell r="E65">
            <v>12</v>
          </cell>
          <cell r="F65" t="str">
            <v>CAD</v>
          </cell>
          <cell r="G65">
            <v>1</v>
          </cell>
          <cell r="H65" t="str">
            <v>Cameron Kramer</v>
          </cell>
          <cell r="I65" t="str">
            <v>SVP, Operations</v>
          </cell>
          <cell r="J65" t="str">
            <v>NEO 2</v>
          </cell>
          <cell r="K65">
            <v>8068.0830999999998</v>
          </cell>
          <cell r="L65">
            <v>8851.7831000000006</v>
          </cell>
          <cell r="M65">
            <v>400000</v>
          </cell>
          <cell r="N65">
            <v>400000</v>
          </cell>
          <cell r="O65" t="str">
            <v>n/d</v>
          </cell>
          <cell r="P65">
            <v>550000</v>
          </cell>
          <cell r="Q65">
            <v>550000</v>
          </cell>
          <cell r="R65">
            <v>1.375</v>
          </cell>
          <cell r="S65">
            <v>1.375</v>
          </cell>
          <cell r="T65" t="str">
            <v>n/d</v>
          </cell>
          <cell r="U65">
            <v>550000</v>
          </cell>
          <cell r="V65">
            <v>950000</v>
          </cell>
          <cell r="W65">
            <v>950000</v>
          </cell>
          <cell r="X65" t="str">
            <v>input</v>
          </cell>
          <cell r="Y65">
            <v>650025</v>
          </cell>
          <cell r="Z65">
            <v>200001</v>
          </cell>
          <cell r="AA65">
            <v>0</v>
          </cell>
          <cell r="AB65">
            <v>2.1250650000000002</v>
          </cell>
          <cell r="AC65">
            <v>850026.00000000012</v>
          </cell>
          <cell r="AD65">
            <v>0</v>
          </cell>
          <cell r="AE65">
            <v>1800026</v>
          </cell>
          <cell r="AF65" t="str">
            <v xml:space="preserve">Cameron Kramer was appointed SVP, Operations on September 12, 2011. Given that his compensation for 2011 included two sign-on awards, compensation prior to 2012 has not been included in the STIP and LTIP target calculations. </v>
          </cell>
          <cell r="AG65">
            <v>0</v>
          </cell>
          <cell r="AH65">
            <v>0</v>
          </cell>
          <cell r="AI65">
            <v>0</v>
          </cell>
          <cell r="AJ65">
            <v>0</v>
          </cell>
        </row>
        <row r="66">
          <cell r="A66" t="str">
            <v>TSX:ARX_NEO 3_2012</v>
          </cell>
          <cell r="B66" t="str">
            <v>TSX:ARX</v>
          </cell>
          <cell r="C66" t="str">
            <v>ARC Resources Ltd.</v>
          </cell>
          <cell r="D66">
            <v>2012</v>
          </cell>
          <cell r="E66">
            <v>12</v>
          </cell>
          <cell r="F66" t="str">
            <v>CAD</v>
          </cell>
          <cell r="G66">
            <v>1</v>
          </cell>
          <cell r="H66" t="str">
            <v>Terry Anderson</v>
          </cell>
          <cell r="I66" t="str">
            <v>SVP, Engineering and Land</v>
          </cell>
          <cell r="J66" t="str">
            <v>NEO 3</v>
          </cell>
          <cell r="K66">
            <v>8068.0830999999998</v>
          </cell>
          <cell r="L66">
            <v>8851.7831000000006</v>
          </cell>
          <cell r="M66">
            <v>320000</v>
          </cell>
          <cell r="N66">
            <v>320000</v>
          </cell>
          <cell r="O66" t="str">
            <v>n/d</v>
          </cell>
          <cell r="P66">
            <v>420000</v>
          </cell>
          <cell r="Q66">
            <v>420000</v>
          </cell>
          <cell r="R66">
            <v>1.3125</v>
          </cell>
          <cell r="S66" t="str">
            <v>n/d</v>
          </cell>
          <cell r="T66" t="str">
            <v>n/d</v>
          </cell>
          <cell r="U66" t="str">
            <v>input</v>
          </cell>
          <cell r="V66">
            <v>740000</v>
          </cell>
          <cell r="W66" t="str">
            <v>input</v>
          </cell>
          <cell r="X66" t="str">
            <v>input</v>
          </cell>
          <cell r="Y66">
            <v>550034</v>
          </cell>
          <cell r="Z66">
            <v>180002</v>
          </cell>
          <cell r="AA66">
            <v>730036</v>
          </cell>
          <cell r="AB66">
            <v>2.2813625000000002</v>
          </cell>
          <cell r="AC66">
            <v>730036</v>
          </cell>
          <cell r="AD66">
            <v>1470036</v>
          </cell>
          <cell r="AE66">
            <v>0</v>
          </cell>
          <cell r="AH66" t="str">
            <v>2X base salary</v>
          </cell>
          <cell r="AI66" t="str">
            <v>5 years</v>
          </cell>
          <cell r="AJ66">
            <v>0</v>
          </cell>
        </row>
        <row r="67">
          <cell r="A67" t="str">
            <v>TSX:ARX_NEO 3_2011</v>
          </cell>
          <cell r="B67" t="str">
            <v>TSX:ARX</v>
          </cell>
          <cell r="C67" t="str">
            <v>ARC Resources Ltd.</v>
          </cell>
          <cell r="D67">
            <v>2011</v>
          </cell>
          <cell r="E67">
            <v>12</v>
          </cell>
          <cell r="F67" t="str">
            <v>CAD</v>
          </cell>
          <cell r="G67">
            <v>1</v>
          </cell>
          <cell r="H67" t="str">
            <v>Terry Anderson</v>
          </cell>
          <cell r="I67" t="str">
            <v>SVP, Engineering and Land</v>
          </cell>
          <cell r="J67" t="str">
            <v>NEO 3</v>
          </cell>
          <cell r="K67">
            <v>8068.0830999999998</v>
          </cell>
          <cell r="L67">
            <v>8851.7831000000006</v>
          </cell>
          <cell r="M67">
            <v>281500</v>
          </cell>
          <cell r="N67">
            <v>281500</v>
          </cell>
          <cell r="O67">
            <v>0</v>
          </cell>
          <cell r="P67">
            <v>305000</v>
          </cell>
          <cell r="Q67">
            <v>305000</v>
          </cell>
          <cell r="R67">
            <v>1.0834813499111902</v>
          </cell>
          <cell r="S67">
            <v>0</v>
          </cell>
          <cell r="T67">
            <v>0</v>
          </cell>
          <cell r="U67">
            <v>0</v>
          </cell>
          <cell r="V67">
            <v>0</v>
          </cell>
          <cell r="W67">
            <v>0</v>
          </cell>
          <cell r="X67">
            <v>0</v>
          </cell>
          <cell r="Y67">
            <v>500000</v>
          </cell>
          <cell r="Z67">
            <v>150000</v>
          </cell>
          <cell r="AA67">
            <v>650000</v>
          </cell>
          <cell r="AB67">
            <v>2.3090586145648313</v>
          </cell>
          <cell r="AC67">
            <v>650000</v>
          </cell>
          <cell r="AD67">
            <v>1236500</v>
          </cell>
          <cell r="AE67">
            <v>0</v>
          </cell>
          <cell r="AH67">
            <v>0</v>
          </cell>
          <cell r="AI67">
            <v>0</v>
          </cell>
          <cell r="AJ67">
            <v>0</v>
          </cell>
        </row>
        <row r="68">
          <cell r="A68" t="str">
            <v>TSX:ARX_NEO 3_2010</v>
          </cell>
          <cell r="B68" t="str">
            <v>TSX:ARX</v>
          </cell>
          <cell r="C68" t="str">
            <v>ARC Resources Ltd.</v>
          </cell>
          <cell r="D68">
            <v>2010</v>
          </cell>
          <cell r="E68">
            <v>12</v>
          </cell>
          <cell r="F68" t="str">
            <v>CAD</v>
          </cell>
          <cell r="G68">
            <v>1</v>
          </cell>
          <cell r="H68" t="str">
            <v>Terry Anderson</v>
          </cell>
          <cell r="I68" t="str">
            <v>SVP, Engineering and Land</v>
          </cell>
          <cell r="J68" t="str">
            <v>NEO 3</v>
          </cell>
          <cell r="K68">
            <v>8068.0830999999998</v>
          </cell>
          <cell r="L68">
            <v>8851.7831000000006</v>
          </cell>
          <cell r="M68">
            <v>262700</v>
          </cell>
          <cell r="N68">
            <v>262700</v>
          </cell>
          <cell r="O68">
            <v>0</v>
          </cell>
          <cell r="P68">
            <v>237500</v>
          </cell>
          <cell r="Q68">
            <v>237500</v>
          </cell>
          <cell r="R68">
            <v>0.90407308717167867</v>
          </cell>
          <cell r="S68">
            <v>0</v>
          </cell>
          <cell r="T68">
            <v>0</v>
          </cell>
          <cell r="U68">
            <v>0</v>
          </cell>
          <cell r="V68">
            <v>0</v>
          </cell>
          <cell r="W68">
            <v>0</v>
          </cell>
          <cell r="X68">
            <v>0</v>
          </cell>
          <cell r="Y68">
            <v>467553</v>
          </cell>
          <cell r="Z68">
            <v>0</v>
          </cell>
          <cell r="AA68">
            <v>467553</v>
          </cell>
          <cell r="AB68">
            <v>1.7797982489531785</v>
          </cell>
          <cell r="AC68">
            <v>467553</v>
          </cell>
          <cell r="AD68">
            <v>967753</v>
          </cell>
          <cell r="AE68">
            <v>0</v>
          </cell>
          <cell r="AH68">
            <v>0</v>
          </cell>
          <cell r="AI68">
            <v>0</v>
          </cell>
          <cell r="AJ68">
            <v>0</v>
          </cell>
        </row>
        <row r="69">
          <cell r="A69" t="str">
            <v>TSX:ARX_NEO 3_Target</v>
          </cell>
          <cell r="B69" t="str">
            <v>TSX:ARX</v>
          </cell>
          <cell r="C69" t="str">
            <v>ARC Resources Ltd.</v>
          </cell>
          <cell r="D69" t="str">
            <v>Target</v>
          </cell>
          <cell r="E69">
            <v>12</v>
          </cell>
          <cell r="F69" t="str">
            <v>CAD</v>
          </cell>
          <cell r="G69">
            <v>1</v>
          </cell>
          <cell r="H69" t="str">
            <v>Terry Anderson</v>
          </cell>
          <cell r="I69" t="str">
            <v>SVP, Engineering and Land</v>
          </cell>
          <cell r="J69" t="str">
            <v>NEO 3</v>
          </cell>
          <cell r="K69">
            <v>8068.0830999999998</v>
          </cell>
          <cell r="L69">
            <v>8851.7831000000006</v>
          </cell>
          <cell r="M69">
            <v>320000</v>
          </cell>
          <cell r="N69">
            <v>320000</v>
          </cell>
          <cell r="O69" t="str">
            <v>n/d</v>
          </cell>
          <cell r="P69">
            <v>420000</v>
          </cell>
          <cell r="Q69">
            <v>420000</v>
          </cell>
          <cell r="R69">
            <v>1.3125</v>
          </cell>
          <cell r="S69">
            <v>1.1000181456942897</v>
          </cell>
          <cell r="T69" t="str">
            <v>n/d</v>
          </cell>
          <cell r="U69">
            <v>352005.80662217271</v>
          </cell>
          <cell r="V69">
            <v>740000</v>
          </cell>
          <cell r="W69">
            <v>672005.80662217282</v>
          </cell>
          <cell r="X69" t="str">
            <v>input</v>
          </cell>
          <cell r="Y69">
            <v>505862.33333333331</v>
          </cell>
          <cell r="Z69">
            <v>165001</v>
          </cell>
          <cell r="AA69">
            <v>0</v>
          </cell>
          <cell r="AB69">
            <v>2.1234064545060032</v>
          </cell>
          <cell r="AC69">
            <v>679490.065441921</v>
          </cell>
          <cell r="AD69">
            <v>0</v>
          </cell>
          <cell r="AE69">
            <v>1351495.8720640936</v>
          </cell>
          <cell r="AF69">
            <v>0</v>
          </cell>
          <cell r="AG69">
            <v>0</v>
          </cell>
          <cell r="AH69">
            <v>0</v>
          </cell>
          <cell r="AI69">
            <v>0</v>
          </cell>
          <cell r="AJ69">
            <v>0</v>
          </cell>
        </row>
        <row r="70">
          <cell r="A70" t="str">
            <v>TSX:BTE_CEO_2012</v>
          </cell>
          <cell r="B70" t="str">
            <v>TSX:BTE</v>
          </cell>
          <cell r="C70" t="str">
            <v>Baytex Energy Corp.</v>
          </cell>
          <cell r="D70">
            <v>2012</v>
          </cell>
          <cell r="E70">
            <v>12</v>
          </cell>
          <cell r="F70" t="str">
            <v>CAD</v>
          </cell>
          <cell r="G70">
            <v>1</v>
          </cell>
          <cell r="H70" t="str">
            <v>James Bowzer</v>
          </cell>
          <cell r="I70" t="str">
            <v>President and CEO</v>
          </cell>
          <cell r="J70" t="str">
            <v>CEO</v>
          </cell>
          <cell r="K70">
            <v>5203.0447700000004</v>
          </cell>
          <cell r="L70">
            <v>5875.9807700000001</v>
          </cell>
          <cell r="M70">
            <v>550000</v>
          </cell>
          <cell r="N70">
            <v>550000</v>
          </cell>
          <cell r="O70" t="str">
            <v>n/d</v>
          </cell>
          <cell r="P70">
            <v>600000</v>
          </cell>
          <cell r="Q70">
            <v>600000</v>
          </cell>
          <cell r="R70">
            <v>1.0909090909090908</v>
          </cell>
          <cell r="S70" t="str">
            <v>n/d</v>
          </cell>
          <cell r="T70" t="str">
            <v>n/d</v>
          </cell>
          <cell r="U70" t="str">
            <v>input</v>
          </cell>
          <cell r="V70">
            <v>1150000</v>
          </cell>
          <cell r="W70" t="str">
            <v>input</v>
          </cell>
          <cell r="X70" t="str">
            <v>input</v>
          </cell>
          <cell r="Y70">
            <v>2339500</v>
          </cell>
          <cell r="Z70">
            <v>0</v>
          </cell>
          <cell r="AA70">
            <v>2339500</v>
          </cell>
          <cell r="AB70">
            <v>4.2536363636363639</v>
          </cell>
          <cell r="AC70">
            <v>2339500</v>
          </cell>
          <cell r="AD70">
            <v>3489500</v>
          </cell>
          <cell r="AE70">
            <v>0</v>
          </cell>
          <cell r="AF70" t="str">
            <v xml:space="preserve">James Bowzer was appointed President and CEO on September 1, 2012. As such, his salary and STIP were annualized for 2012 and we did not include the STIP and LTIP values prior to 2012 in the target calculations. </v>
          </cell>
          <cell r="AG70" t="str">
            <v xml:space="preserve">Re: the annual bonuses, the amounts paid are based on the CC's subjective assessment of general company performance and each NEO's contribution to such performance. </v>
          </cell>
          <cell r="AH70" t="str">
            <v>3X base salary</v>
          </cell>
          <cell r="AI70" t="str">
            <v>3 years</v>
          </cell>
          <cell r="AJ70">
            <v>0</v>
          </cell>
        </row>
        <row r="71">
          <cell r="A71" t="str">
            <v>TSX:BTE__2011</v>
          </cell>
          <cell r="B71" t="str">
            <v>TSX:BTE</v>
          </cell>
          <cell r="C71" t="str">
            <v>Baytex Energy Corp.</v>
          </cell>
          <cell r="D71">
            <v>2011</v>
          </cell>
          <cell r="E71">
            <v>12</v>
          </cell>
          <cell r="F71" t="str">
            <v>CAD</v>
          </cell>
          <cell r="G71">
            <v>1</v>
          </cell>
          <cell r="K71">
            <v>5203.0447700000004</v>
          </cell>
          <cell r="L71">
            <v>5875.9807700000001</v>
          </cell>
          <cell r="M71">
            <v>0</v>
          </cell>
          <cell r="N71" t="str">
            <v>n/a</v>
          </cell>
          <cell r="O71">
            <v>0</v>
          </cell>
          <cell r="P71">
            <v>0</v>
          </cell>
          <cell r="Q71" t="str">
            <v>n/a</v>
          </cell>
          <cell r="R71" t="str">
            <v>input</v>
          </cell>
          <cell r="S71">
            <v>0</v>
          </cell>
          <cell r="T71">
            <v>0</v>
          </cell>
          <cell r="U71">
            <v>0</v>
          </cell>
          <cell r="V71">
            <v>0</v>
          </cell>
          <cell r="W71">
            <v>0</v>
          </cell>
          <cell r="X71">
            <v>0</v>
          </cell>
          <cell r="Y71">
            <v>0</v>
          </cell>
          <cell r="Z71">
            <v>0</v>
          </cell>
          <cell r="AA71">
            <v>0</v>
          </cell>
          <cell r="AB71" t="str">
            <v>input</v>
          </cell>
          <cell r="AC71">
            <v>0</v>
          </cell>
          <cell r="AD71" t="str">
            <v>input</v>
          </cell>
          <cell r="AE71">
            <v>0</v>
          </cell>
          <cell r="AH71">
            <v>0</v>
          </cell>
          <cell r="AI71">
            <v>0</v>
          </cell>
          <cell r="AJ71">
            <v>0</v>
          </cell>
        </row>
        <row r="72">
          <cell r="A72" t="str">
            <v>TSX:BTE__2010</v>
          </cell>
          <cell r="B72" t="str">
            <v>TSX:BTE</v>
          </cell>
          <cell r="C72" t="str">
            <v>Baytex Energy Corp.</v>
          </cell>
          <cell r="D72">
            <v>2010</v>
          </cell>
          <cell r="E72">
            <v>12</v>
          </cell>
          <cell r="F72" t="str">
            <v>CAD</v>
          </cell>
          <cell r="G72">
            <v>1</v>
          </cell>
          <cell r="K72">
            <v>5203.0447700000004</v>
          </cell>
          <cell r="L72">
            <v>5875.9807700000001</v>
          </cell>
          <cell r="M72">
            <v>0</v>
          </cell>
          <cell r="N72" t="str">
            <v>n/a</v>
          </cell>
          <cell r="O72">
            <v>0</v>
          </cell>
          <cell r="P72">
            <v>0</v>
          </cell>
          <cell r="Q72" t="str">
            <v>n/a</v>
          </cell>
          <cell r="R72" t="str">
            <v>input</v>
          </cell>
          <cell r="S72">
            <v>0</v>
          </cell>
          <cell r="T72">
            <v>0</v>
          </cell>
          <cell r="U72">
            <v>0</v>
          </cell>
          <cell r="V72">
            <v>0</v>
          </cell>
          <cell r="W72">
            <v>0</v>
          </cell>
          <cell r="X72">
            <v>0</v>
          </cell>
          <cell r="Y72">
            <v>0</v>
          </cell>
          <cell r="Z72">
            <v>0</v>
          </cell>
          <cell r="AA72">
            <v>0</v>
          </cell>
          <cell r="AB72" t="str">
            <v>input</v>
          </cell>
          <cell r="AC72">
            <v>0</v>
          </cell>
          <cell r="AD72" t="str">
            <v>input</v>
          </cell>
          <cell r="AE72">
            <v>0</v>
          </cell>
          <cell r="AH72">
            <v>0</v>
          </cell>
          <cell r="AI72">
            <v>0</v>
          </cell>
          <cell r="AJ72">
            <v>0</v>
          </cell>
        </row>
        <row r="73">
          <cell r="A73" t="str">
            <v>TSX:BTE_CEO_Target</v>
          </cell>
          <cell r="B73" t="str">
            <v>TSX:BTE</v>
          </cell>
          <cell r="C73" t="str">
            <v>Baytex Energy Corp.</v>
          </cell>
          <cell r="D73" t="str">
            <v>Target</v>
          </cell>
          <cell r="E73">
            <v>12</v>
          </cell>
          <cell r="F73" t="str">
            <v>CAD</v>
          </cell>
          <cell r="G73">
            <v>1</v>
          </cell>
          <cell r="H73" t="str">
            <v>James Bowzer</v>
          </cell>
          <cell r="I73" t="str">
            <v>President and CEO</v>
          </cell>
          <cell r="J73" t="str">
            <v>CEO</v>
          </cell>
          <cell r="K73">
            <v>5203.0447700000004</v>
          </cell>
          <cell r="L73">
            <v>5875.9807700000001</v>
          </cell>
          <cell r="M73">
            <v>550000</v>
          </cell>
          <cell r="N73">
            <v>550000</v>
          </cell>
          <cell r="O73" t="str">
            <v>n/d</v>
          </cell>
          <cell r="P73">
            <v>600000</v>
          </cell>
          <cell r="Q73">
            <v>600000</v>
          </cell>
          <cell r="R73">
            <v>1.0909090909090908</v>
          </cell>
          <cell r="S73">
            <v>1.0909090909090908</v>
          </cell>
          <cell r="T73" t="str">
            <v>n/d</v>
          </cell>
          <cell r="U73">
            <v>600000</v>
          </cell>
          <cell r="V73">
            <v>1150000</v>
          </cell>
          <cell r="W73">
            <v>1150000</v>
          </cell>
          <cell r="X73" t="str">
            <v>input</v>
          </cell>
          <cell r="Y73">
            <v>2339500</v>
          </cell>
          <cell r="Z73" t="str">
            <v>input</v>
          </cell>
          <cell r="AA73">
            <v>0</v>
          </cell>
          <cell r="AB73">
            <v>4.2536363636363639</v>
          </cell>
          <cell r="AC73">
            <v>2339500</v>
          </cell>
          <cell r="AD73">
            <v>0</v>
          </cell>
          <cell r="AE73">
            <v>3489500</v>
          </cell>
          <cell r="AF73" t="str">
            <v xml:space="preserve">James Bowzer was appointed President and CEO on September 1, 2012. As such, his salary and STIP were annualized for 2012 and we did not include the STIP and LTIP values prior to 2012 in the target calculations. </v>
          </cell>
          <cell r="AG73">
            <v>0</v>
          </cell>
          <cell r="AH73">
            <v>0</v>
          </cell>
          <cell r="AI73">
            <v>0</v>
          </cell>
          <cell r="AJ73">
            <v>0</v>
          </cell>
        </row>
        <row r="74">
          <cell r="A74" t="str">
            <v>TSX:BTE_CFO_2012</v>
          </cell>
          <cell r="B74" t="str">
            <v>TSX:BTE</v>
          </cell>
          <cell r="C74" t="str">
            <v>Baytex Energy Corp.</v>
          </cell>
          <cell r="D74">
            <v>2012</v>
          </cell>
          <cell r="E74">
            <v>12</v>
          </cell>
          <cell r="F74" t="str">
            <v>CAD</v>
          </cell>
          <cell r="G74">
            <v>1</v>
          </cell>
          <cell r="H74" t="str">
            <v>Derek Aylesworth</v>
          </cell>
          <cell r="I74" t="str">
            <v>CFO</v>
          </cell>
          <cell r="J74" t="str">
            <v>CFO</v>
          </cell>
          <cell r="K74">
            <v>5203.0447700000004</v>
          </cell>
          <cell r="L74">
            <v>5875.9807700000001</v>
          </cell>
          <cell r="M74">
            <v>345000</v>
          </cell>
          <cell r="N74">
            <v>345000</v>
          </cell>
          <cell r="O74" t="str">
            <v>n/d</v>
          </cell>
          <cell r="P74">
            <v>315000</v>
          </cell>
          <cell r="Q74">
            <v>315000</v>
          </cell>
          <cell r="R74">
            <v>0.91304347826086951</v>
          </cell>
          <cell r="S74" t="str">
            <v>n/d</v>
          </cell>
          <cell r="T74" t="str">
            <v>n/d</v>
          </cell>
          <cell r="U74" t="str">
            <v>input</v>
          </cell>
          <cell r="V74">
            <v>660000</v>
          </cell>
          <cell r="W74" t="str">
            <v>input</v>
          </cell>
          <cell r="X74" t="str">
            <v>input</v>
          </cell>
          <cell r="Y74">
            <v>1282636</v>
          </cell>
          <cell r="Z74">
            <v>0</v>
          </cell>
          <cell r="AA74">
            <v>1282636</v>
          </cell>
          <cell r="AB74">
            <v>3.717785507246377</v>
          </cell>
          <cell r="AC74">
            <v>1282636</v>
          </cell>
          <cell r="AD74">
            <v>1942636</v>
          </cell>
          <cell r="AE74">
            <v>0</v>
          </cell>
          <cell r="AH74" t="str">
            <v>n/a</v>
          </cell>
          <cell r="AI74" t="str">
            <v>n/a</v>
          </cell>
          <cell r="AJ74">
            <v>0</v>
          </cell>
        </row>
        <row r="75">
          <cell r="A75" t="str">
            <v>TSX:BTE_CFO_2011</v>
          </cell>
          <cell r="B75" t="str">
            <v>TSX:BTE</v>
          </cell>
          <cell r="C75" t="str">
            <v>Baytex Energy Corp.</v>
          </cell>
          <cell r="D75">
            <v>2011</v>
          </cell>
          <cell r="E75">
            <v>12</v>
          </cell>
          <cell r="F75" t="str">
            <v>CAD</v>
          </cell>
          <cell r="G75">
            <v>1</v>
          </cell>
          <cell r="H75" t="str">
            <v>Derek Aylesworth</v>
          </cell>
          <cell r="I75" t="str">
            <v>CFO</v>
          </cell>
          <cell r="J75" t="str">
            <v>CFO</v>
          </cell>
          <cell r="K75">
            <v>5203.0447700000004</v>
          </cell>
          <cell r="L75">
            <v>5875.9807700000001</v>
          </cell>
          <cell r="M75">
            <v>330000</v>
          </cell>
          <cell r="N75">
            <v>330000</v>
          </cell>
          <cell r="O75">
            <v>0</v>
          </cell>
          <cell r="P75">
            <v>315000</v>
          </cell>
          <cell r="Q75">
            <v>315000</v>
          </cell>
          <cell r="R75">
            <v>0.95454545454545459</v>
          </cell>
          <cell r="S75">
            <v>0</v>
          </cell>
          <cell r="T75">
            <v>0</v>
          </cell>
          <cell r="U75">
            <v>0</v>
          </cell>
          <cell r="V75">
            <v>0</v>
          </cell>
          <cell r="W75">
            <v>0</v>
          </cell>
          <cell r="X75">
            <v>0</v>
          </cell>
          <cell r="Y75">
            <v>1147755</v>
          </cell>
          <cell r="Z75">
            <v>0</v>
          </cell>
          <cell r="AA75">
            <v>1147755</v>
          </cell>
          <cell r="AB75">
            <v>3.4780454545454544</v>
          </cell>
          <cell r="AC75">
            <v>1147755</v>
          </cell>
          <cell r="AD75">
            <v>1792755</v>
          </cell>
          <cell r="AE75">
            <v>0</v>
          </cell>
          <cell r="AH75">
            <v>0</v>
          </cell>
          <cell r="AI75">
            <v>0</v>
          </cell>
          <cell r="AJ75">
            <v>0</v>
          </cell>
        </row>
        <row r="76">
          <cell r="A76" t="str">
            <v>TSX:BTE_CFO_2010</v>
          </cell>
          <cell r="B76" t="str">
            <v>TSX:BTE</v>
          </cell>
          <cell r="C76" t="str">
            <v>Baytex Energy Corp.</v>
          </cell>
          <cell r="D76">
            <v>2010</v>
          </cell>
          <cell r="E76">
            <v>12</v>
          </cell>
          <cell r="F76" t="str">
            <v>CAD</v>
          </cell>
          <cell r="G76">
            <v>1</v>
          </cell>
          <cell r="H76" t="str">
            <v>Derek Aylesworth</v>
          </cell>
          <cell r="I76" t="str">
            <v>CFO</v>
          </cell>
          <cell r="J76" t="str">
            <v>CFO</v>
          </cell>
          <cell r="K76">
            <v>5203.0447700000004</v>
          </cell>
          <cell r="L76">
            <v>5875.9807700000001</v>
          </cell>
          <cell r="M76">
            <v>310000</v>
          </cell>
          <cell r="N76">
            <v>310000</v>
          </cell>
          <cell r="O76">
            <v>0</v>
          </cell>
          <cell r="P76">
            <v>300000</v>
          </cell>
          <cell r="Q76">
            <v>300000</v>
          </cell>
          <cell r="R76">
            <v>0.967741935483871</v>
          </cell>
          <cell r="S76">
            <v>0</v>
          </cell>
          <cell r="T76">
            <v>0</v>
          </cell>
          <cell r="U76">
            <v>0</v>
          </cell>
          <cell r="V76">
            <v>0</v>
          </cell>
          <cell r="W76">
            <v>0</v>
          </cell>
          <cell r="X76">
            <v>0</v>
          </cell>
          <cell r="Y76">
            <v>0</v>
          </cell>
          <cell r="Z76">
            <v>0</v>
          </cell>
          <cell r="AA76">
            <v>0</v>
          </cell>
          <cell r="AB76">
            <v>0</v>
          </cell>
          <cell r="AC76">
            <v>0</v>
          </cell>
          <cell r="AD76">
            <v>610000</v>
          </cell>
          <cell r="AE76">
            <v>0</v>
          </cell>
          <cell r="AH76">
            <v>0</v>
          </cell>
          <cell r="AI76">
            <v>0</v>
          </cell>
          <cell r="AJ76">
            <v>0</v>
          </cell>
        </row>
        <row r="77">
          <cell r="A77" t="str">
            <v>TSX:BTE_CFO_Target</v>
          </cell>
          <cell r="B77" t="str">
            <v>TSX:BTE</v>
          </cell>
          <cell r="C77" t="str">
            <v>Baytex Energy Corp.</v>
          </cell>
          <cell r="D77" t="str">
            <v>Target</v>
          </cell>
          <cell r="E77">
            <v>12</v>
          </cell>
          <cell r="F77" t="str">
            <v>CAD</v>
          </cell>
          <cell r="G77">
            <v>1</v>
          </cell>
          <cell r="H77" t="str">
            <v>Derek Aylesworth</v>
          </cell>
          <cell r="I77" t="str">
            <v>CFO</v>
          </cell>
          <cell r="J77" t="str">
            <v>CFO</v>
          </cell>
          <cell r="K77">
            <v>5203.0447700000004</v>
          </cell>
          <cell r="L77">
            <v>5875.9807700000001</v>
          </cell>
          <cell r="M77">
            <v>345000</v>
          </cell>
          <cell r="N77">
            <v>345000</v>
          </cell>
          <cell r="O77" t="str">
            <v>n/d</v>
          </cell>
          <cell r="P77">
            <v>315000</v>
          </cell>
          <cell r="Q77">
            <v>315000</v>
          </cell>
          <cell r="R77">
            <v>0.91304347826086951</v>
          </cell>
          <cell r="S77">
            <v>0.94511028943006503</v>
          </cell>
          <cell r="T77" t="str">
            <v>n/d</v>
          </cell>
          <cell r="U77">
            <v>326063.04985337245</v>
          </cell>
          <cell r="V77">
            <v>660000</v>
          </cell>
          <cell r="W77">
            <v>671063.04985337239</v>
          </cell>
          <cell r="X77" t="str">
            <v>input</v>
          </cell>
          <cell r="Y77">
            <v>1215195.5</v>
          </cell>
          <cell r="Z77" t="str">
            <v>input</v>
          </cell>
          <cell r="AA77">
            <v>0</v>
          </cell>
          <cell r="AB77">
            <v>2.3986103205972769</v>
          </cell>
          <cell r="AC77">
            <v>827520.56060606055</v>
          </cell>
          <cell r="AD77">
            <v>0</v>
          </cell>
          <cell r="AE77">
            <v>1498583.6104594329</v>
          </cell>
          <cell r="AF77">
            <v>0</v>
          </cell>
          <cell r="AG77">
            <v>0</v>
          </cell>
          <cell r="AH77">
            <v>0</v>
          </cell>
          <cell r="AI77">
            <v>0</v>
          </cell>
          <cell r="AJ77">
            <v>0</v>
          </cell>
        </row>
        <row r="78">
          <cell r="A78" t="str">
            <v>TSX:BTE_NEO 1_2012</v>
          </cell>
          <cell r="B78" t="str">
            <v>TSX:BTE</v>
          </cell>
          <cell r="C78" t="str">
            <v>Baytex Energy Corp.</v>
          </cell>
          <cell r="D78">
            <v>2012</v>
          </cell>
          <cell r="E78">
            <v>12</v>
          </cell>
          <cell r="F78" t="str">
            <v>CAD</v>
          </cell>
          <cell r="G78">
            <v>1</v>
          </cell>
          <cell r="H78" t="str">
            <v>Marty Proctor</v>
          </cell>
          <cell r="I78" t="str">
            <v>COO</v>
          </cell>
          <cell r="J78" t="str">
            <v>NEO 1</v>
          </cell>
          <cell r="K78">
            <v>5203.0447700000004</v>
          </cell>
          <cell r="L78">
            <v>5875.9807700000001</v>
          </cell>
          <cell r="M78">
            <v>330000</v>
          </cell>
          <cell r="N78">
            <v>330000</v>
          </cell>
          <cell r="O78" t="str">
            <v>n/d</v>
          </cell>
          <cell r="P78">
            <v>290000</v>
          </cell>
          <cell r="Q78">
            <v>290000</v>
          </cell>
          <cell r="R78">
            <v>0.87878787878787878</v>
          </cell>
          <cell r="S78" t="str">
            <v>n/d</v>
          </cell>
          <cell r="T78" t="str">
            <v>n/d</v>
          </cell>
          <cell r="U78" t="str">
            <v>input</v>
          </cell>
          <cell r="V78">
            <v>620000</v>
          </cell>
          <cell r="W78" t="str">
            <v>input</v>
          </cell>
          <cell r="X78" t="str">
            <v>input</v>
          </cell>
          <cell r="Y78">
            <v>968100</v>
          </cell>
          <cell r="Z78">
            <v>0</v>
          </cell>
          <cell r="AA78">
            <v>968100</v>
          </cell>
          <cell r="AB78">
            <v>2.9336363636363636</v>
          </cell>
          <cell r="AC78">
            <v>968100</v>
          </cell>
          <cell r="AD78">
            <v>1588100</v>
          </cell>
          <cell r="AE78">
            <v>0</v>
          </cell>
          <cell r="AH78" t="str">
            <v>n/a</v>
          </cell>
          <cell r="AI78" t="str">
            <v>n/a</v>
          </cell>
          <cell r="AJ78">
            <v>0</v>
          </cell>
        </row>
        <row r="79">
          <cell r="A79" t="str">
            <v>TSX:BTE_NEO 1_2011</v>
          </cell>
          <cell r="B79" t="str">
            <v>TSX:BTE</v>
          </cell>
          <cell r="C79" t="str">
            <v>Baytex Energy Corp.</v>
          </cell>
          <cell r="D79">
            <v>2011</v>
          </cell>
          <cell r="E79">
            <v>12</v>
          </cell>
          <cell r="F79" t="str">
            <v>CAD</v>
          </cell>
          <cell r="G79">
            <v>1</v>
          </cell>
          <cell r="H79" t="str">
            <v>Marty Proctor</v>
          </cell>
          <cell r="I79" t="str">
            <v>COO</v>
          </cell>
          <cell r="J79" t="str">
            <v>NEO 1</v>
          </cell>
          <cell r="K79">
            <v>5203.0447700000004</v>
          </cell>
          <cell r="L79">
            <v>5875.9807700000001</v>
          </cell>
          <cell r="M79">
            <v>310000</v>
          </cell>
          <cell r="N79">
            <v>310000</v>
          </cell>
          <cell r="O79">
            <v>0</v>
          </cell>
          <cell r="P79">
            <v>260000</v>
          </cell>
          <cell r="Q79">
            <v>260000</v>
          </cell>
          <cell r="R79">
            <v>0.83870967741935487</v>
          </cell>
          <cell r="S79">
            <v>0</v>
          </cell>
          <cell r="T79">
            <v>0</v>
          </cell>
          <cell r="U79">
            <v>0</v>
          </cell>
          <cell r="V79">
            <v>0</v>
          </cell>
          <cell r="W79">
            <v>0</v>
          </cell>
          <cell r="X79">
            <v>0</v>
          </cell>
          <cell r="Y79">
            <v>765170</v>
          </cell>
          <cell r="Z79">
            <v>0</v>
          </cell>
          <cell r="AA79">
            <v>765170</v>
          </cell>
          <cell r="AB79">
            <v>2.468290322580645</v>
          </cell>
          <cell r="AC79">
            <v>765170</v>
          </cell>
          <cell r="AD79">
            <v>1335170</v>
          </cell>
          <cell r="AE79">
            <v>0</v>
          </cell>
          <cell r="AH79">
            <v>0</v>
          </cell>
          <cell r="AI79">
            <v>0</v>
          </cell>
          <cell r="AJ79">
            <v>0</v>
          </cell>
        </row>
        <row r="80">
          <cell r="A80" t="str">
            <v>TSX:BTE_NEO 1_2010</v>
          </cell>
          <cell r="B80" t="str">
            <v>TSX:BTE</v>
          </cell>
          <cell r="C80" t="str">
            <v>Baytex Energy Corp.</v>
          </cell>
          <cell r="D80">
            <v>2010</v>
          </cell>
          <cell r="E80">
            <v>12</v>
          </cell>
          <cell r="F80" t="str">
            <v>CAD</v>
          </cell>
          <cell r="G80">
            <v>1</v>
          </cell>
          <cell r="H80" t="str">
            <v>Marty Proctor</v>
          </cell>
          <cell r="I80" t="str">
            <v>COO</v>
          </cell>
          <cell r="J80" t="str">
            <v>NEO 1</v>
          </cell>
          <cell r="K80">
            <v>5203.0447700000004</v>
          </cell>
          <cell r="L80">
            <v>5875.9807700000001</v>
          </cell>
          <cell r="M80">
            <v>295000</v>
          </cell>
          <cell r="N80">
            <v>295000</v>
          </cell>
          <cell r="O80">
            <v>0</v>
          </cell>
          <cell r="P80">
            <v>200000</v>
          </cell>
          <cell r="Q80">
            <v>200000</v>
          </cell>
          <cell r="R80">
            <v>0.67796610169491522</v>
          </cell>
          <cell r="S80">
            <v>0</v>
          </cell>
          <cell r="T80">
            <v>0</v>
          </cell>
          <cell r="U80">
            <v>0</v>
          </cell>
          <cell r="V80">
            <v>0</v>
          </cell>
          <cell r="W80">
            <v>0</v>
          </cell>
          <cell r="X80">
            <v>0</v>
          </cell>
          <cell r="Y80">
            <v>0</v>
          </cell>
          <cell r="Z80">
            <v>0</v>
          </cell>
          <cell r="AA80">
            <v>0</v>
          </cell>
          <cell r="AB80">
            <v>0</v>
          </cell>
          <cell r="AC80">
            <v>0</v>
          </cell>
          <cell r="AD80">
            <v>495000</v>
          </cell>
          <cell r="AE80">
            <v>0</v>
          </cell>
          <cell r="AH80">
            <v>0</v>
          </cell>
          <cell r="AI80">
            <v>0</v>
          </cell>
          <cell r="AJ80">
            <v>0</v>
          </cell>
        </row>
        <row r="81">
          <cell r="A81" t="str">
            <v>TSX:BTE_NEO 1_Target</v>
          </cell>
          <cell r="B81" t="str">
            <v>TSX:BTE</v>
          </cell>
          <cell r="C81" t="str">
            <v>Baytex Energy Corp.</v>
          </cell>
          <cell r="D81" t="str">
            <v>Target</v>
          </cell>
          <cell r="E81">
            <v>12</v>
          </cell>
          <cell r="F81" t="str">
            <v>CAD</v>
          </cell>
          <cell r="G81">
            <v>1</v>
          </cell>
          <cell r="H81" t="str">
            <v>Marty Proctor</v>
          </cell>
          <cell r="I81" t="str">
            <v>COO</v>
          </cell>
          <cell r="J81" t="str">
            <v>NEO 1</v>
          </cell>
          <cell r="K81">
            <v>5203.0447700000004</v>
          </cell>
          <cell r="L81">
            <v>5875.9807700000001</v>
          </cell>
          <cell r="M81">
            <v>330000</v>
          </cell>
          <cell r="N81">
            <v>330000</v>
          </cell>
          <cell r="O81" t="str">
            <v>n/d</v>
          </cell>
          <cell r="P81">
            <v>290000</v>
          </cell>
          <cell r="Q81">
            <v>290000</v>
          </cell>
          <cell r="R81">
            <v>0.87878787878787878</v>
          </cell>
          <cell r="S81">
            <v>0.79848788596738307</v>
          </cell>
          <cell r="T81" t="str">
            <v>n/d</v>
          </cell>
          <cell r="U81">
            <v>263501.00236923643</v>
          </cell>
          <cell r="V81">
            <v>620000</v>
          </cell>
          <cell r="W81">
            <v>593501.00236923643</v>
          </cell>
          <cell r="X81" t="str">
            <v>input</v>
          </cell>
          <cell r="Y81">
            <v>866635</v>
          </cell>
          <cell r="Z81" t="str">
            <v>input</v>
          </cell>
          <cell r="AA81">
            <v>0</v>
          </cell>
          <cell r="AB81">
            <v>1.8006422287390027</v>
          </cell>
          <cell r="AC81">
            <v>594211.93548387091</v>
          </cell>
          <cell r="AD81">
            <v>0</v>
          </cell>
          <cell r="AE81">
            <v>1187712.9378531072</v>
          </cell>
          <cell r="AF81">
            <v>0</v>
          </cell>
          <cell r="AG81">
            <v>0</v>
          </cell>
          <cell r="AH81">
            <v>0</v>
          </cell>
          <cell r="AI81">
            <v>0</v>
          </cell>
          <cell r="AJ81">
            <v>0</v>
          </cell>
        </row>
        <row r="82">
          <cell r="A82" t="str">
            <v>TSX:BTE_NEO 2_2012</v>
          </cell>
          <cell r="B82" t="str">
            <v>TSX:BTE</v>
          </cell>
          <cell r="C82" t="str">
            <v>Baytex Energy Corp.</v>
          </cell>
          <cell r="D82">
            <v>2012</v>
          </cell>
          <cell r="E82">
            <v>12</v>
          </cell>
          <cell r="F82" t="str">
            <v>CAD</v>
          </cell>
          <cell r="G82">
            <v>1</v>
          </cell>
          <cell r="H82" t="str">
            <v>Stephen Brownridge</v>
          </cell>
          <cell r="I82" t="str">
            <v>VP, Exploration</v>
          </cell>
          <cell r="J82" t="str">
            <v>NEO 2</v>
          </cell>
          <cell r="K82">
            <v>5203.0447700000004</v>
          </cell>
          <cell r="L82">
            <v>5875.9807700000001</v>
          </cell>
          <cell r="M82">
            <v>275000</v>
          </cell>
          <cell r="N82">
            <v>275000</v>
          </cell>
          <cell r="O82" t="str">
            <v>n/d</v>
          </cell>
          <cell r="P82">
            <v>255000</v>
          </cell>
          <cell r="Q82">
            <v>255000</v>
          </cell>
          <cell r="R82">
            <v>0.92727272727272725</v>
          </cell>
          <cell r="S82" t="str">
            <v>n/d</v>
          </cell>
          <cell r="T82" t="str">
            <v>n/d</v>
          </cell>
          <cell r="U82" t="str">
            <v>input</v>
          </cell>
          <cell r="V82">
            <v>530000</v>
          </cell>
          <cell r="W82" t="str">
            <v>input</v>
          </cell>
          <cell r="X82" t="str">
            <v>input</v>
          </cell>
          <cell r="Y82">
            <v>846991</v>
          </cell>
          <cell r="Z82">
            <v>0</v>
          </cell>
          <cell r="AA82">
            <v>846991</v>
          </cell>
          <cell r="AB82">
            <v>3.0799672727272727</v>
          </cell>
          <cell r="AC82">
            <v>846991</v>
          </cell>
          <cell r="AD82">
            <v>1376991</v>
          </cell>
          <cell r="AE82">
            <v>0</v>
          </cell>
          <cell r="AH82" t="str">
            <v>n/a</v>
          </cell>
          <cell r="AI82" t="str">
            <v>n/a</v>
          </cell>
          <cell r="AJ82">
            <v>0</v>
          </cell>
        </row>
        <row r="83">
          <cell r="A83" t="str">
            <v>TSX:BTE_NEO 2_2011</v>
          </cell>
          <cell r="B83" t="str">
            <v>TSX:BTE</v>
          </cell>
          <cell r="C83" t="str">
            <v>Baytex Energy Corp.</v>
          </cell>
          <cell r="D83">
            <v>2011</v>
          </cell>
          <cell r="E83">
            <v>12</v>
          </cell>
          <cell r="F83" t="str">
            <v>CAD</v>
          </cell>
          <cell r="G83">
            <v>1</v>
          </cell>
          <cell r="H83" t="str">
            <v>Stephen Brownridge</v>
          </cell>
          <cell r="I83" t="str">
            <v>VP, Exploration</v>
          </cell>
          <cell r="J83" t="str">
            <v>NEO 2</v>
          </cell>
          <cell r="K83">
            <v>5203.0447700000004</v>
          </cell>
          <cell r="L83">
            <v>5875.9807700000001</v>
          </cell>
          <cell r="M83">
            <v>285000</v>
          </cell>
          <cell r="N83">
            <v>285000</v>
          </cell>
          <cell r="O83">
            <v>0</v>
          </cell>
          <cell r="P83">
            <v>255000</v>
          </cell>
          <cell r="Q83">
            <v>255000</v>
          </cell>
          <cell r="R83">
            <v>0.89473684210526316</v>
          </cell>
          <cell r="S83">
            <v>0</v>
          </cell>
          <cell r="T83">
            <v>0</v>
          </cell>
          <cell r="U83">
            <v>0</v>
          </cell>
          <cell r="V83">
            <v>0</v>
          </cell>
          <cell r="W83">
            <v>0</v>
          </cell>
          <cell r="X83">
            <v>0</v>
          </cell>
          <cell r="Y83">
            <v>765170</v>
          </cell>
          <cell r="Z83">
            <v>0</v>
          </cell>
          <cell r="AA83">
            <v>765170</v>
          </cell>
          <cell r="AB83">
            <v>2.6848070175438599</v>
          </cell>
          <cell r="AC83">
            <v>765170</v>
          </cell>
          <cell r="AD83">
            <v>1305170</v>
          </cell>
          <cell r="AE83">
            <v>0</v>
          </cell>
          <cell r="AH83">
            <v>0</v>
          </cell>
          <cell r="AI83">
            <v>0</v>
          </cell>
          <cell r="AJ83">
            <v>0</v>
          </cell>
        </row>
        <row r="84">
          <cell r="A84" t="str">
            <v>TSX:BTE_NEO 2_2010</v>
          </cell>
          <cell r="B84" t="str">
            <v>TSX:BTE</v>
          </cell>
          <cell r="C84" t="str">
            <v>Baytex Energy Corp.</v>
          </cell>
          <cell r="D84">
            <v>2010</v>
          </cell>
          <cell r="E84">
            <v>12</v>
          </cell>
          <cell r="F84" t="str">
            <v>CAD</v>
          </cell>
          <cell r="G84">
            <v>1</v>
          </cell>
          <cell r="H84" t="str">
            <v>Stephen Brownridge</v>
          </cell>
          <cell r="I84" t="str">
            <v>VP, Exploration</v>
          </cell>
          <cell r="J84" t="str">
            <v>NEO 2</v>
          </cell>
          <cell r="K84">
            <v>5203.0447700000004</v>
          </cell>
          <cell r="L84">
            <v>5875.9807700000001</v>
          </cell>
          <cell r="M84">
            <v>265000</v>
          </cell>
          <cell r="N84">
            <v>265000</v>
          </cell>
          <cell r="O84">
            <v>0</v>
          </cell>
          <cell r="P84">
            <v>250000</v>
          </cell>
          <cell r="Q84">
            <v>250000</v>
          </cell>
          <cell r="R84">
            <v>0.94339622641509435</v>
          </cell>
          <cell r="S84">
            <v>0</v>
          </cell>
          <cell r="T84">
            <v>0</v>
          </cell>
          <cell r="U84">
            <v>0</v>
          </cell>
          <cell r="V84">
            <v>0</v>
          </cell>
          <cell r="W84">
            <v>0</v>
          </cell>
          <cell r="X84">
            <v>0</v>
          </cell>
          <cell r="Y84">
            <v>0</v>
          </cell>
          <cell r="Z84">
            <v>0</v>
          </cell>
          <cell r="AA84">
            <v>0</v>
          </cell>
          <cell r="AB84">
            <v>0</v>
          </cell>
          <cell r="AC84">
            <v>0</v>
          </cell>
          <cell r="AD84">
            <v>515000</v>
          </cell>
          <cell r="AE84">
            <v>0</v>
          </cell>
          <cell r="AH84">
            <v>0</v>
          </cell>
          <cell r="AI84">
            <v>0</v>
          </cell>
          <cell r="AJ84">
            <v>0</v>
          </cell>
        </row>
        <row r="85">
          <cell r="A85" t="str">
            <v>TSX:BTE_NEO 2_Target</v>
          </cell>
          <cell r="B85" t="str">
            <v>TSX:BTE</v>
          </cell>
          <cell r="C85" t="str">
            <v>Baytex Energy Corp.</v>
          </cell>
          <cell r="D85" t="str">
            <v>Target</v>
          </cell>
          <cell r="E85">
            <v>12</v>
          </cell>
          <cell r="F85" t="str">
            <v>CAD</v>
          </cell>
          <cell r="G85">
            <v>1</v>
          </cell>
          <cell r="H85" t="str">
            <v>Stephen Brownridge</v>
          </cell>
          <cell r="I85" t="str">
            <v>VP, Exploration</v>
          </cell>
          <cell r="J85" t="str">
            <v>NEO 2</v>
          </cell>
          <cell r="K85">
            <v>5203.0447700000004</v>
          </cell>
          <cell r="L85">
            <v>5875.9807700000001</v>
          </cell>
          <cell r="M85">
            <v>275000</v>
          </cell>
          <cell r="N85">
            <v>275000</v>
          </cell>
          <cell r="O85" t="str">
            <v>n/d</v>
          </cell>
          <cell r="P85">
            <v>255000</v>
          </cell>
          <cell r="Q85">
            <v>255000</v>
          </cell>
          <cell r="R85">
            <v>0.92727272727272725</v>
          </cell>
          <cell r="S85">
            <v>0.92180193193102833</v>
          </cell>
          <cell r="T85" t="str">
            <v>n/d</v>
          </cell>
          <cell r="U85">
            <v>253495.5312810328</v>
          </cell>
          <cell r="V85">
            <v>530000</v>
          </cell>
          <cell r="W85">
            <v>528495.53128103272</v>
          </cell>
          <cell r="X85" t="str">
            <v>input</v>
          </cell>
          <cell r="Y85">
            <v>806080.5</v>
          </cell>
          <cell r="Z85" t="str">
            <v>input</v>
          </cell>
          <cell r="AA85">
            <v>0</v>
          </cell>
          <cell r="AB85">
            <v>1.9215914300903776</v>
          </cell>
          <cell r="AC85">
            <v>528437.64327485382</v>
          </cell>
          <cell r="AD85">
            <v>0</v>
          </cell>
          <cell r="AE85">
            <v>1056933.1745558865</v>
          </cell>
          <cell r="AF85">
            <v>0</v>
          </cell>
          <cell r="AG85">
            <v>0</v>
          </cell>
          <cell r="AH85">
            <v>0</v>
          </cell>
          <cell r="AI85">
            <v>0</v>
          </cell>
          <cell r="AJ85">
            <v>0</v>
          </cell>
        </row>
        <row r="86">
          <cell r="A86" t="str">
            <v>TSX:BTE_NEO 3_2012</v>
          </cell>
          <cell r="B86" t="str">
            <v>TSX:BTE</v>
          </cell>
          <cell r="C86" t="str">
            <v>Baytex Energy Corp.</v>
          </cell>
          <cell r="D86">
            <v>2012</v>
          </cell>
          <cell r="E86">
            <v>12</v>
          </cell>
          <cell r="F86" t="str">
            <v>CAD</v>
          </cell>
          <cell r="G86">
            <v>1</v>
          </cell>
          <cell r="H86" t="str">
            <v>No Incumbent</v>
          </cell>
          <cell r="I86" t="str">
            <v>No Incumbent</v>
          </cell>
          <cell r="J86" t="str">
            <v>NEO 3</v>
          </cell>
          <cell r="K86">
            <v>5203.0447700000004</v>
          </cell>
          <cell r="L86">
            <v>5875.9807700000001</v>
          </cell>
          <cell r="M86" t="str">
            <v>-</v>
          </cell>
          <cell r="N86" t="str">
            <v>input</v>
          </cell>
          <cell r="O86" t="str">
            <v>n/d</v>
          </cell>
          <cell r="P86" t="str">
            <v>-</v>
          </cell>
          <cell r="Q86" t="str">
            <v>input</v>
          </cell>
          <cell r="R86" t="str">
            <v>input</v>
          </cell>
          <cell r="S86" t="str">
            <v>n/d</v>
          </cell>
          <cell r="T86" t="str">
            <v>n/d</v>
          </cell>
          <cell r="U86" t="str">
            <v>input</v>
          </cell>
          <cell r="V86" t="str">
            <v>input</v>
          </cell>
          <cell r="W86" t="str">
            <v>input</v>
          </cell>
          <cell r="X86" t="str">
            <v>input</v>
          </cell>
          <cell r="Y86" t="str">
            <v>-</v>
          </cell>
          <cell r="Z86" t="str">
            <v>-</v>
          </cell>
          <cell r="AA86" t="e">
            <v>#VALUE!</v>
          </cell>
          <cell r="AB86" t="str">
            <v>input</v>
          </cell>
          <cell r="AC86" t="str">
            <v>input</v>
          </cell>
          <cell r="AD86" t="str">
            <v>input</v>
          </cell>
          <cell r="AE86">
            <v>0</v>
          </cell>
          <cell r="AF86" t="str">
            <v>In the summary compensation table of Baytex Energy Corporations's 2013 proxy, 6 NEOs are listed. However, three are in relation to the role of the CEO (i.e. The former CEO, the Interim CEO, and the current CEO). As such, we only recorded the data for a total of 4 NEOs.</v>
          </cell>
          <cell r="AH86" t="str">
            <v>n/a</v>
          </cell>
          <cell r="AI86" t="str">
            <v>n/a</v>
          </cell>
          <cell r="AJ86">
            <v>0</v>
          </cell>
        </row>
        <row r="87">
          <cell r="A87" t="str">
            <v>TSX:BTE_NEO 3_2011</v>
          </cell>
          <cell r="B87" t="str">
            <v>TSX:BTE</v>
          </cell>
          <cell r="C87" t="str">
            <v>Baytex Energy Corp.</v>
          </cell>
          <cell r="D87">
            <v>2011</v>
          </cell>
          <cell r="E87">
            <v>12</v>
          </cell>
          <cell r="F87" t="str">
            <v>CAD</v>
          </cell>
          <cell r="G87">
            <v>1</v>
          </cell>
          <cell r="H87" t="str">
            <v>No Incumbent</v>
          </cell>
          <cell r="I87" t="str">
            <v>No Incumbent</v>
          </cell>
          <cell r="J87" t="str">
            <v>NEO 3</v>
          </cell>
          <cell r="K87">
            <v>5203.0447700000004</v>
          </cell>
          <cell r="L87">
            <v>5875.9807700000001</v>
          </cell>
          <cell r="M87" t="str">
            <v>-</v>
          </cell>
          <cell r="N87" t="str">
            <v>input</v>
          </cell>
          <cell r="O87">
            <v>0</v>
          </cell>
          <cell r="P87" t="str">
            <v>-</v>
          </cell>
          <cell r="Q87" t="str">
            <v>input</v>
          </cell>
          <cell r="R87" t="str">
            <v>input</v>
          </cell>
          <cell r="S87">
            <v>0</v>
          </cell>
          <cell r="T87">
            <v>0</v>
          </cell>
          <cell r="U87">
            <v>0</v>
          </cell>
          <cell r="V87">
            <v>0</v>
          </cell>
          <cell r="W87">
            <v>0</v>
          </cell>
          <cell r="X87">
            <v>0</v>
          </cell>
          <cell r="Y87">
            <v>0</v>
          </cell>
          <cell r="Z87">
            <v>0</v>
          </cell>
          <cell r="AA87">
            <v>0</v>
          </cell>
          <cell r="AB87" t="str">
            <v>input</v>
          </cell>
          <cell r="AC87">
            <v>0</v>
          </cell>
          <cell r="AD87" t="str">
            <v>input</v>
          </cell>
          <cell r="AE87">
            <v>0</v>
          </cell>
          <cell r="AH87">
            <v>0</v>
          </cell>
          <cell r="AI87">
            <v>0</v>
          </cell>
          <cell r="AJ87">
            <v>0</v>
          </cell>
        </row>
        <row r="88">
          <cell r="A88" t="str">
            <v>TSX:BTE_NEO 3_2010</v>
          </cell>
          <cell r="B88" t="str">
            <v>TSX:BTE</v>
          </cell>
          <cell r="C88" t="str">
            <v>Baytex Energy Corp.</v>
          </cell>
          <cell r="D88">
            <v>2010</v>
          </cell>
          <cell r="E88">
            <v>12</v>
          </cell>
          <cell r="F88" t="str">
            <v>CAD</v>
          </cell>
          <cell r="G88">
            <v>1</v>
          </cell>
          <cell r="H88" t="str">
            <v>No Incumbent</v>
          </cell>
          <cell r="I88" t="str">
            <v>No Incumbent</v>
          </cell>
          <cell r="J88" t="str">
            <v>NEO 3</v>
          </cell>
          <cell r="K88">
            <v>5203.0447700000004</v>
          </cell>
          <cell r="L88">
            <v>5875.9807700000001</v>
          </cell>
          <cell r="M88" t="str">
            <v>-</v>
          </cell>
          <cell r="N88" t="str">
            <v>input</v>
          </cell>
          <cell r="O88">
            <v>0</v>
          </cell>
          <cell r="P88" t="str">
            <v>-</v>
          </cell>
          <cell r="Q88" t="str">
            <v>input</v>
          </cell>
          <cell r="R88" t="str">
            <v>input</v>
          </cell>
          <cell r="S88">
            <v>0</v>
          </cell>
          <cell r="T88">
            <v>0</v>
          </cell>
          <cell r="U88">
            <v>0</v>
          </cell>
          <cell r="V88">
            <v>0</v>
          </cell>
          <cell r="W88">
            <v>0</v>
          </cell>
          <cell r="X88">
            <v>0</v>
          </cell>
          <cell r="Y88">
            <v>0</v>
          </cell>
          <cell r="Z88">
            <v>0</v>
          </cell>
          <cell r="AA88">
            <v>0</v>
          </cell>
          <cell r="AB88" t="str">
            <v>input</v>
          </cell>
          <cell r="AC88">
            <v>0</v>
          </cell>
          <cell r="AD88" t="str">
            <v>input</v>
          </cell>
          <cell r="AE88">
            <v>0</v>
          </cell>
          <cell r="AH88">
            <v>0</v>
          </cell>
          <cell r="AI88">
            <v>0</v>
          </cell>
          <cell r="AJ88">
            <v>0</v>
          </cell>
        </row>
        <row r="89">
          <cell r="A89" t="str">
            <v>TSX:BTE_NEO 3_Target</v>
          </cell>
          <cell r="B89" t="str">
            <v>TSX:BTE</v>
          </cell>
          <cell r="C89" t="str">
            <v>Baytex Energy Corp.</v>
          </cell>
          <cell r="D89" t="str">
            <v>Target</v>
          </cell>
          <cell r="E89">
            <v>12</v>
          </cell>
          <cell r="F89" t="str">
            <v>CAD</v>
          </cell>
          <cell r="G89">
            <v>1</v>
          </cell>
          <cell r="H89" t="str">
            <v>No Incumbent</v>
          </cell>
          <cell r="I89" t="str">
            <v>No Incumbent</v>
          </cell>
          <cell r="J89" t="str">
            <v>NEO 3</v>
          </cell>
          <cell r="K89">
            <v>5203.0447700000004</v>
          </cell>
          <cell r="L89">
            <v>5875.9807700000001</v>
          </cell>
          <cell r="M89" t="str">
            <v>-</v>
          </cell>
          <cell r="N89" t="str">
            <v>input</v>
          </cell>
          <cell r="O89" t="str">
            <v>n/d</v>
          </cell>
          <cell r="P89" t="str">
            <v>-</v>
          </cell>
          <cell r="Q89" t="str">
            <v>input</v>
          </cell>
          <cell r="R89" t="str">
            <v>input</v>
          </cell>
          <cell r="S89" t="str">
            <v>input</v>
          </cell>
          <cell r="T89" t="str">
            <v>n/d</v>
          </cell>
          <cell r="U89" t="str">
            <v>input</v>
          </cell>
          <cell r="V89" t="str">
            <v>input</v>
          </cell>
          <cell r="W89" t="str">
            <v>input</v>
          </cell>
          <cell r="X89" t="str">
            <v>input</v>
          </cell>
          <cell r="Y89" t="str">
            <v>input</v>
          </cell>
          <cell r="Z89" t="str">
            <v>input</v>
          </cell>
          <cell r="AA89">
            <v>0</v>
          </cell>
          <cell r="AB89" t="e">
            <v>#DIV/0!</v>
          </cell>
          <cell r="AC89" t="str">
            <v>input</v>
          </cell>
          <cell r="AD89">
            <v>0</v>
          </cell>
          <cell r="AE89" t="str">
            <v>input</v>
          </cell>
          <cell r="AF89" t="str">
            <v>In the summary compensation table of Baytex Energy Corporations's 2013 proxy, 6 NEOs are listed. However, three are in relation to the role of the CEO (i.e. The former CEO, the Interim CEO, and the current CEO). As such, we only recorded the data for a total of 4 NEOs.</v>
          </cell>
          <cell r="AG89">
            <v>0</v>
          </cell>
          <cell r="AH89">
            <v>0</v>
          </cell>
          <cell r="AI89">
            <v>0</v>
          </cell>
          <cell r="AJ89">
            <v>0</v>
          </cell>
        </row>
        <row r="90">
          <cell r="A90" t="str">
            <v>TSX:MEG_CEO_2012</v>
          </cell>
          <cell r="B90" t="str">
            <v>TSX:MEG</v>
          </cell>
          <cell r="C90" t="str">
            <v>MEG Energy Corp.</v>
          </cell>
          <cell r="D90">
            <v>2012</v>
          </cell>
          <cell r="E90">
            <v>12</v>
          </cell>
          <cell r="F90" t="str">
            <v>CAD</v>
          </cell>
          <cell r="G90">
            <v>1</v>
          </cell>
          <cell r="H90" t="str">
            <v>William McCaffrey</v>
          </cell>
          <cell r="I90" t="str">
            <v>President and CEO</v>
          </cell>
          <cell r="J90" t="str">
            <v>CEO</v>
          </cell>
          <cell r="K90">
            <v>8002.3710899999996</v>
          </cell>
          <cell r="L90">
            <v>9745.2740900000008</v>
          </cell>
          <cell r="M90">
            <v>519432</v>
          </cell>
          <cell r="N90">
            <v>519432</v>
          </cell>
          <cell r="O90" t="str">
            <v>n/d</v>
          </cell>
          <cell r="P90">
            <v>500000</v>
          </cell>
          <cell r="Q90">
            <v>500000</v>
          </cell>
          <cell r="R90">
            <v>0.96258990589721083</v>
          </cell>
          <cell r="S90" t="str">
            <v>n/d</v>
          </cell>
          <cell r="T90" t="str">
            <v>n/d</v>
          </cell>
          <cell r="U90" t="str">
            <v>input</v>
          </cell>
          <cell r="V90">
            <v>1019432</v>
          </cell>
          <cell r="W90" t="str">
            <v>input</v>
          </cell>
          <cell r="X90" t="str">
            <v>input</v>
          </cell>
          <cell r="Y90">
            <v>818113</v>
          </cell>
          <cell r="Z90">
            <v>1519881</v>
          </cell>
          <cell r="AA90">
            <v>2337994</v>
          </cell>
          <cell r="AB90">
            <v>4.5010588488964869</v>
          </cell>
          <cell r="AC90">
            <v>2337994</v>
          </cell>
          <cell r="AD90">
            <v>3357426</v>
          </cell>
          <cell r="AE90">
            <v>0</v>
          </cell>
          <cell r="AG90" t="str">
            <v>While the company does not disclose the individual annual bonus target %, they do disclose these target % range from 80% (likely for the CEO) to 50%. Re: SOGs, the company only has such requirements for the CEO.</v>
          </cell>
          <cell r="AH90" t="str">
            <v>3X base salary</v>
          </cell>
          <cell r="AI90" t="str">
            <v>5 years</v>
          </cell>
          <cell r="AJ90">
            <v>0</v>
          </cell>
        </row>
        <row r="91">
          <cell r="A91" t="str">
            <v>TSX:MEG_CEO_2011</v>
          </cell>
          <cell r="B91" t="str">
            <v>TSX:MEG</v>
          </cell>
          <cell r="C91" t="str">
            <v>MEG Energy Corp.</v>
          </cell>
          <cell r="D91">
            <v>2011</v>
          </cell>
          <cell r="E91">
            <v>12</v>
          </cell>
          <cell r="F91" t="str">
            <v>CAD</v>
          </cell>
          <cell r="G91">
            <v>1</v>
          </cell>
          <cell r="H91" t="str">
            <v>William McCaffrey</v>
          </cell>
          <cell r="I91" t="str">
            <v>President and CEO</v>
          </cell>
          <cell r="J91" t="str">
            <v>CEO</v>
          </cell>
          <cell r="K91">
            <v>8002.3710899999996</v>
          </cell>
          <cell r="L91">
            <v>9745.2740900000008</v>
          </cell>
          <cell r="M91">
            <v>494700</v>
          </cell>
          <cell r="N91">
            <v>494700</v>
          </cell>
          <cell r="O91">
            <v>0</v>
          </cell>
          <cell r="P91">
            <v>496374</v>
          </cell>
          <cell r="Q91">
            <v>496374</v>
          </cell>
          <cell r="R91">
            <v>1.0033838690115222</v>
          </cell>
          <cell r="S91">
            <v>0</v>
          </cell>
          <cell r="T91">
            <v>0</v>
          </cell>
          <cell r="U91">
            <v>0</v>
          </cell>
          <cell r="V91">
            <v>0</v>
          </cell>
          <cell r="W91">
            <v>0</v>
          </cell>
          <cell r="X91">
            <v>0</v>
          </cell>
          <cell r="Y91">
            <v>552358</v>
          </cell>
          <cell r="Z91">
            <v>1025937</v>
          </cell>
          <cell r="AA91">
            <v>1578295</v>
          </cell>
          <cell r="AB91">
            <v>3.1904083282797657</v>
          </cell>
          <cell r="AC91">
            <v>1578295</v>
          </cell>
          <cell r="AD91">
            <v>2569369</v>
          </cell>
          <cell r="AE91">
            <v>0</v>
          </cell>
          <cell r="AH91">
            <v>0</v>
          </cell>
          <cell r="AI91">
            <v>0</v>
          </cell>
          <cell r="AJ91">
            <v>0</v>
          </cell>
        </row>
        <row r="92">
          <cell r="A92" t="str">
            <v>TSX:MEG_CEO_2010</v>
          </cell>
          <cell r="B92" t="str">
            <v>TSX:MEG</v>
          </cell>
          <cell r="C92" t="str">
            <v>MEG Energy Corp.</v>
          </cell>
          <cell r="D92">
            <v>2010</v>
          </cell>
          <cell r="E92">
            <v>12</v>
          </cell>
          <cell r="F92" t="str">
            <v>CAD</v>
          </cell>
          <cell r="G92">
            <v>1</v>
          </cell>
          <cell r="H92" t="str">
            <v>William McCaffrey</v>
          </cell>
          <cell r="I92" t="str">
            <v>President and CEO</v>
          </cell>
          <cell r="J92" t="str">
            <v>CEO</v>
          </cell>
          <cell r="K92">
            <v>8002.3710899999996</v>
          </cell>
          <cell r="L92">
            <v>9745.2740900000008</v>
          </cell>
          <cell r="M92">
            <v>469816</v>
          </cell>
          <cell r="N92">
            <v>469816</v>
          </cell>
          <cell r="O92">
            <v>0</v>
          </cell>
          <cell r="P92">
            <v>445594</v>
          </cell>
          <cell r="Q92">
            <v>445594</v>
          </cell>
          <cell r="R92">
            <v>0.94844364602312392</v>
          </cell>
          <cell r="S92">
            <v>0</v>
          </cell>
          <cell r="T92">
            <v>0</v>
          </cell>
          <cell r="U92">
            <v>0</v>
          </cell>
          <cell r="V92">
            <v>0</v>
          </cell>
          <cell r="W92">
            <v>0</v>
          </cell>
          <cell r="X92">
            <v>0</v>
          </cell>
          <cell r="Y92">
            <v>541509</v>
          </cell>
          <cell r="Z92">
            <v>1012112</v>
          </cell>
          <cell r="AA92">
            <v>1553621</v>
          </cell>
          <cell r="AB92">
            <v>3.3068712006402508</v>
          </cell>
          <cell r="AC92">
            <v>1553621</v>
          </cell>
          <cell r="AD92">
            <v>2469031</v>
          </cell>
          <cell r="AE92">
            <v>0</v>
          </cell>
          <cell r="AH92">
            <v>0</v>
          </cell>
          <cell r="AI92">
            <v>0</v>
          </cell>
          <cell r="AJ92">
            <v>0</v>
          </cell>
        </row>
        <row r="93">
          <cell r="A93" t="str">
            <v>TSX:MEG_CEO_Target</v>
          </cell>
          <cell r="B93" t="str">
            <v>TSX:MEG</v>
          </cell>
          <cell r="C93" t="str">
            <v>MEG Energy Corp.</v>
          </cell>
          <cell r="D93" t="str">
            <v>Target</v>
          </cell>
          <cell r="E93">
            <v>12</v>
          </cell>
          <cell r="F93" t="str">
            <v>CAD</v>
          </cell>
          <cell r="G93">
            <v>1</v>
          </cell>
          <cell r="H93" t="str">
            <v>William McCaffrey</v>
          </cell>
          <cell r="I93" t="str">
            <v>President and CEO</v>
          </cell>
          <cell r="J93" t="str">
            <v>CEO</v>
          </cell>
          <cell r="K93">
            <v>8002.3710899999996</v>
          </cell>
          <cell r="L93">
            <v>9745.2740900000008</v>
          </cell>
          <cell r="M93">
            <v>519432</v>
          </cell>
          <cell r="N93">
            <v>519432</v>
          </cell>
          <cell r="O93" t="str">
            <v>n/d</v>
          </cell>
          <cell r="P93">
            <v>500000</v>
          </cell>
          <cell r="Q93">
            <v>500000</v>
          </cell>
          <cell r="R93">
            <v>0.96258990589721083</v>
          </cell>
          <cell r="S93">
            <v>0.97147247364395239</v>
          </cell>
          <cell r="T93" t="str">
            <v>n/d</v>
          </cell>
          <cell r="U93">
            <v>504613.8899298255</v>
          </cell>
          <cell r="V93">
            <v>1019432</v>
          </cell>
          <cell r="W93">
            <v>1024045.8899298254</v>
          </cell>
          <cell r="X93" t="str">
            <v>input</v>
          </cell>
          <cell r="Y93">
            <v>637326.66666666663</v>
          </cell>
          <cell r="Z93">
            <v>1185976.6666666667</v>
          </cell>
          <cell r="AA93">
            <v>0</v>
          </cell>
          <cell r="AB93">
            <v>3.6661127926055013</v>
          </cell>
          <cell r="AC93">
            <v>1904296.3000886608</v>
          </cell>
          <cell r="AD93">
            <v>0</v>
          </cell>
          <cell r="AE93">
            <v>2928342.1900184862</v>
          </cell>
          <cell r="AF93">
            <v>0</v>
          </cell>
          <cell r="AG93">
            <v>0</v>
          </cell>
          <cell r="AH93">
            <v>0</v>
          </cell>
          <cell r="AI93">
            <v>0</v>
          </cell>
          <cell r="AJ93">
            <v>0</v>
          </cell>
        </row>
        <row r="94">
          <cell r="A94" t="str">
            <v>TSX:MEG_CFO_2012</v>
          </cell>
          <cell r="B94" t="str">
            <v>TSX:MEG</v>
          </cell>
          <cell r="C94" t="str">
            <v>MEG Energy Corp.</v>
          </cell>
          <cell r="D94">
            <v>2012</v>
          </cell>
          <cell r="E94">
            <v>12</v>
          </cell>
          <cell r="F94" t="str">
            <v>CAD</v>
          </cell>
          <cell r="G94">
            <v>1</v>
          </cell>
          <cell r="H94" t="str">
            <v>Dale Hohm</v>
          </cell>
          <cell r="I94" t="str">
            <v>CFO</v>
          </cell>
          <cell r="J94" t="str">
            <v>CFO</v>
          </cell>
          <cell r="K94">
            <v>8002.3710899999996</v>
          </cell>
          <cell r="L94">
            <v>9745.2740900000008</v>
          </cell>
          <cell r="M94">
            <v>358776</v>
          </cell>
          <cell r="N94">
            <v>358776</v>
          </cell>
          <cell r="O94" t="str">
            <v>n/d</v>
          </cell>
          <cell r="P94">
            <v>350001</v>
          </cell>
          <cell r="Q94">
            <v>350001</v>
          </cell>
          <cell r="R94">
            <v>0.97554184226369656</v>
          </cell>
          <cell r="S94" t="str">
            <v>n/d</v>
          </cell>
          <cell r="T94" t="str">
            <v>n/d</v>
          </cell>
          <cell r="U94" t="str">
            <v>input</v>
          </cell>
          <cell r="V94">
            <v>708777</v>
          </cell>
          <cell r="W94" t="str">
            <v>input</v>
          </cell>
          <cell r="X94" t="str">
            <v>input</v>
          </cell>
          <cell r="Y94">
            <v>312706</v>
          </cell>
          <cell r="Z94">
            <v>581054</v>
          </cell>
          <cell r="AA94">
            <v>893760</v>
          </cell>
          <cell r="AB94">
            <v>2.4911365308716302</v>
          </cell>
          <cell r="AC94">
            <v>893760</v>
          </cell>
          <cell r="AD94">
            <v>1602537</v>
          </cell>
          <cell r="AE94">
            <v>0</v>
          </cell>
          <cell r="AH94" t="str">
            <v>n/a</v>
          </cell>
          <cell r="AI94" t="str">
            <v>n/a</v>
          </cell>
          <cell r="AJ94">
            <v>0</v>
          </cell>
        </row>
        <row r="95">
          <cell r="A95" t="str">
            <v>TSX:MEG_CFO_2011</v>
          </cell>
          <cell r="B95" t="str">
            <v>TSX:MEG</v>
          </cell>
          <cell r="C95" t="str">
            <v>MEG Energy Corp.</v>
          </cell>
          <cell r="D95">
            <v>2011</v>
          </cell>
          <cell r="E95">
            <v>12</v>
          </cell>
          <cell r="F95" t="str">
            <v>CAD</v>
          </cell>
          <cell r="G95">
            <v>1</v>
          </cell>
          <cell r="H95" t="str">
            <v>Dale Hohm</v>
          </cell>
          <cell r="I95" t="str">
            <v>CFO</v>
          </cell>
          <cell r="J95" t="str">
            <v>CFO</v>
          </cell>
          <cell r="K95">
            <v>8002.3710899999996</v>
          </cell>
          <cell r="L95">
            <v>9745.2740900000008</v>
          </cell>
          <cell r="M95">
            <v>341700</v>
          </cell>
          <cell r="N95">
            <v>341700</v>
          </cell>
          <cell r="O95">
            <v>0</v>
          </cell>
          <cell r="P95">
            <v>287375</v>
          </cell>
          <cell r="Q95">
            <v>287375</v>
          </cell>
          <cell r="R95">
            <v>0.84101551068188474</v>
          </cell>
          <cell r="S95">
            <v>0</v>
          </cell>
          <cell r="T95">
            <v>0</v>
          </cell>
          <cell r="U95">
            <v>0</v>
          </cell>
          <cell r="V95">
            <v>0</v>
          </cell>
          <cell r="W95">
            <v>0</v>
          </cell>
          <cell r="X95">
            <v>0</v>
          </cell>
          <cell r="Y95">
            <v>299014</v>
          </cell>
          <cell r="Z95">
            <v>556781</v>
          </cell>
          <cell r="AA95">
            <v>855795</v>
          </cell>
          <cell r="AB95">
            <v>2.5045215100965761</v>
          </cell>
          <cell r="AC95">
            <v>855795</v>
          </cell>
          <cell r="AD95">
            <v>1484870</v>
          </cell>
          <cell r="AE95">
            <v>0</v>
          </cell>
          <cell r="AH95">
            <v>0</v>
          </cell>
          <cell r="AI95">
            <v>0</v>
          </cell>
          <cell r="AJ95">
            <v>0</v>
          </cell>
        </row>
        <row r="96">
          <cell r="A96" t="str">
            <v>TSX:MEG_CFO_2010</v>
          </cell>
          <cell r="B96" t="str">
            <v>TSX:MEG</v>
          </cell>
          <cell r="C96" t="str">
            <v>MEG Energy Corp.</v>
          </cell>
          <cell r="D96">
            <v>2010</v>
          </cell>
          <cell r="E96">
            <v>12</v>
          </cell>
          <cell r="F96" t="str">
            <v>CAD</v>
          </cell>
          <cell r="G96">
            <v>1</v>
          </cell>
          <cell r="H96" t="str">
            <v>Dale Hohm</v>
          </cell>
          <cell r="I96" t="str">
            <v>CFO</v>
          </cell>
          <cell r="J96" t="str">
            <v>CFO</v>
          </cell>
          <cell r="K96">
            <v>8002.3710899999996</v>
          </cell>
          <cell r="L96">
            <v>9745.2740900000008</v>
          </cell>
          <cell r="M96">
            <v>301632</v>
          </cell>
          <cell r="N96">
            <v>301632</v>
          </cell>
          <cell r="O96">
            <v>0</v>
          </cell>
          <cell r="P96">
            <v>205188</v>
          </cell>
          <cell r="Q96">
            <v>205188</v>
          </cell>
          <cell r="R96">
            <v>0.68025938892425208</v>
          </cell>
          <cell r="S96">
            <v>0</v>
          </cell>
          <cell r="T96">
            <v>0</v>
          </cell>
          <cell r="U96">
            <v>0</v>
          </cell>
          <cell r="V96">
            <v>0</v>
          </cell>
          <cell r="W96">
            <v>0</v>
          </cell>
          <cell r="X96">
            <v>0</v>
          </cell>
          <cell r="Y96">
            <v>293138</v>
          </cell>
          <cell r="Z96">
            <v>544984</v>
          </cell>
          <cell r="AA96">
            <v>838122</v>
          </cell>
          <cell r="AB96">
            <v>2.7786242838956077</v>
          </cell>
          <cell r="AC96">
            <v>838122</v>
          </cell>
          <cell r="AD96">
            <v>1344942</v>
          </cell>
          <cell r="AE96">
            <v>0</v>
          </cell>
          <cell r="AH96">
            <v>0</v>
          </cell>
          <cell r="AI96">
            <v>0</v>
          </cell>
          <cell r="AJ96">
            <v>0</v>
          </cell>
        </row>
        <row r="97">
          <cell r="A97" t="str">
            <v>TSX:MEG_CFO_Target</v>
          </cell>
          <cell r="B97" t="str">
            <v>TSX:MEG</v>
          </cell>
          <cell r="C97" t="str">
            <v>MEG Energy Corp.</v>
          </cell>
          <cell r="D97" t="str">
            <v>Target</v>
          </cell>
          <cell r="E97">
            <v>12</v>
          </cell>
          <cell r="F97" t="str">
            <v>CAD</v>
          </cell>
          <cell r="G97">
            <v>1</v>
          </cell>
          <cell r="H97" t="str">
            <v>Dale Hohm</v>
          </cell>
          <cell r="I97" t="str">
            <v>CFO</v>
          </cell>
          <cell r="J97" t="str">
            <v>CFO</v>
          </cell>
          <cell r="K97">
            <v>8002.3710899999996</v>
          </cell>
          <cell r="L97">
            <v>9745.2740900000008</v>
          </cell>
          <cell r="M97">
            <v>358776</v>
          </cell>
          <cell r="N97">
            <v>358776</v>
          </cell>
          <cell r="O97" t="str">
            <v>n/d</v>
          </cell>
          <cell r="P97">
            <v>350001</v>
          </cell>
          <cell r="Q97">
            <v>350001</v>
          </cell>
          <cell r="R97">
            <v>0.97554184226369656</v>
          </cell>
          <cell r="S97">
            <v>0.83227224728994431</v>
          </cell>
          <cell r="T97" t="str">
            <v>n/d</v>
          </cell>
          <cell r="U97">
            <v>298599.30779369705</v>
          </cell>
          <cell r="V97">
            <v>708777</v>
          </cell>
          <cell r="W97">
            <v>657375.30779369699</v>
          </cell>
          <cell r="X97" t="str">
            <v>input</v>
          </cell>
          <cell r="Y97">
            <v>301619.33333333331</v>
          </cell>
          <cell r="Z97">
            <v>560939.66666666663</v>
          </cell>
          <cell r="AA97">
            <v>0</v>
          </cell>
          <cell r="AB97">
            <v>2.591427441621271</v>
          </cell>
          <cell r="AC97">
            <v>929741.97179511318</v>
          </cell>
          <cell r="AD97">
            <v>0</v>
          </cell>
          <cell r="AE97">
            <v>1587117.2795888102</v>
          </cell>
          <cell r="AF97">
            <v>0</v>
          </cell>
          <cell r="AG97">
            <v>0</v>
          </cell>
          <cell r="AH97">
            <v>0</v>
          </cell>
          <cell r="AI97">
            <v>0</v>
          </cell>
          <cell r="AJ97">
            <v>0</v>
          </cell>
        </row>
        <row r="98">
          <cell r="A98" t="str">
            <v>TSX:MEG_NEO 3_2012</v>
          </cell>
          <cell r="B98" t="str">
            <v>TSX:MEG</v>
          </cell>
          <cell r="C98" t="str">
            <v>MEG Energy Corp.</v>
          </cell>
          <cell r="D98">
            <v>2012</v>
          </cell>
          <cell r="E98">
            <v>12</v>
          </cell>
          <cell r="F98" t="str">
            <v>CAD</v>
          </cell>
          <cell r="G98">
            <v>1</v>
          </cell>
          <cell r="H98" t="str">
            <v>Chi-Tak Yee</v>
          </cell>
          <cell r="I98" t="str">
            <v>SVP, Resevoir and Geosciences</v>
          </cell>
          <cell r="J98" t="str">
            <v>NEO 3</v>
          </cell>
          <cell r="K98">
            <v>8002.3710899999996</v>
          </cell>
          <cell r="L98">
            <v>9745.2740900000008</v>
          </cell>
          <cell r="M98">
            <v>326880</v>
          </cell>
          <cell r="N98">
            <v>326880</v>
          </cell>
          <cell r="O98" t="str">
            <v>n/d</v>
          </cell>
          <cell r="P98">
            <v>250001</v>
          </cell>
          <cell r="Q98">
            <v>250001</v>
          </cell>
          <cell r="R98">
            <v>0.76480971610376902</v>
          </cell>
          <cell r="S98" t="str">
            <v>n/d</v>
          </cell>
          <cell r="T98" t="str">
            <v>n/d</v>
          </cell>
          <cell r="U98" t="str">
            <v>input</v>
          </cell>
          <cell r="V98">
            <v>576881</v>
          </cell>
          <cell r="W98" t="str">
            <v>input</v>
          </cell>
          <cell r="X98" t="str">
            <v>input</v>
          </cell>
          <cell r="Y98">
            <v>447370</v>
          </cell>
          <cell r="Z98">
            <v>831756</v>
          </cell>
          <cell r="AA98">
            <v>1279126</v>
          </cell>
          <cell r="AB98">
            <v>3.913136319138522</v>
          </cell>
          <cell r="AC98">
            <v>1279126</v>
          </cell>
          <cell r="AD98">
            <v>1856007</v>
          </cell>
          <cell r="AE98">
            <v>0</v>
          </cell>
          <cell r="AH98" t="str">
            <v>n/a</v>
          </cell>
          <cell r="AI98" t="str">
            <v>n/a</v>
          </cell>
          <cell r="AJ98">
            <v>0</v>
          </cell>
        </row>
        <row r="99">
          <cell r="A99" t="str">
            <v>TSX:MEG_NEO 3_2011</v>
          </cell>
          <cell r="B99" t="str">
            <v>TSX:MEG</v>
          </cell>
          <cell r="C99" t="str">
            <v>MEG Energy Corp.</v>
          </cell>
          <cell r="D99">
            <v>2011</v>
          </cell>
          <cell r="E99">
            <v>12</v>
          </cell>
          <cell r="F99" t="str">
            <v>CAD</v>
          </cell>
          <cell r="G99">
            <v>1</v>
          </cell>
          <cell r="H99" t="str">
            <v>Chi-Tak Yee</v>
          </cell>
          <cell r="I99" t="str">
            <v>SVP, Resevoir and Geosciences</v>
          </cell>
          <cell r="J99" t="str">
            <v>NEO 3</v>
          </cell>
          <cell r="K99">
            <v>8002.3710899999996</v>
          </cell>
          <cell r="L99">
            <v>9745.2740900000008</v>
          </cell>
          <cell r="M99">
            <v>299880</v>
          </cell>
          <cell r="N99">
            <v>299880</v>
          </cell>
          <cell r="O99">
            <v>0</v>
          </cell>
          <cell r="P99">
            <v>190000</v>
          </cell>
          <cell r="Q99">
            <v>190000</v>
          </cell>
          <cell r="R99">
            <v>0.63358676804054959</v>
          </cell>
          <cell r="S99">
            <v>0</v>
          </cell>
          <cell r="T99">
            <v>0</v>
          </cell>
          <cell r="U99">
            <v>0</v>
          </cell>
          <cell r="V99">
            <v>0</v>
          </cell>
          <cell r="W99">
            <v>0</v>
          </cell>
          <cell r="X99">
            <v>0</v>
          </cell>
          <cell r="Y99">
            <v>275665</v>
          </cell>
          <cell r="Z99">
            <v>512968</v>
          </cell>
          <cell r="AA99">
            <v>788633</v>
          </cell>
          <cell r="AB99">
            <v>2.6298285981059091</v>
          </cell>
          <cell r="AC99">
            <v>788633</v>
          </cell>
          <cell r="AD99">
            <v>1278513</v>
          </cell>
          <cell r="AE99">
            <v>0</v>
          </cell>
          <cell r="AH99">
            <v>0</v>
          </cell>
          <cell r="AI99">
            <v>0</v>
          </cell>
          <cell r="AJ99">
            <v>0</v>
          </cell>
        </row>
        <row r="100">
          <cell r="A100" t="str">
            <v>TSX:MEG_NEO 3_2010</v>
          </cell>
          <cell r="B100" t="str">
            <v>TSX:MEG</v>
          </cell>
          <cell r="C100" t="str">
            <v>MEG Energy Corp.</v>
          </cell>
          <cell r="D100">
            <v>2010</v>
          </cell>
          <cell r="E100">
            <v>12</v>
          </cell>
          <cell r="F100" t="str">
            <v>CAD</v>
          </cell>
          <cell r="G100">
            <v>1</v>
          </cell>
          <cell r="H100" t="str">
            <v>Chi-Tak Yee</v>
          </cell>
          <cell r="I100" t="str">
            <v>SVP, Resevoir and Geosciences</v>
          </cell>
          <cell r="J100" t="str">
            <v>NEO 3</v>
          </cell>
          <cell r="K100">
            <v>8002.3710899999996</v>
          </cell>
          <cell r="L100">
            <v>9745.2740900000008</v>
          </cell>
          <cell r="M100">
            <v>270763</v>
          </cell>
          <cell r="N100">
            <v>270763</v>
          </cell>
          <cell r="O100">
            <v>0</v>
          </cell>
          <cell r="P100">
            <v>144060</v>
          </cell>
          <cell r="Q100">
            <v>144060</v>
          </cell>
          <cell r="R100">
            <v>0.53205201596968565</v>
          </cell>
          <cell r="S100">
            <v>0</v>
          </cell>
          <cell r="T100">
            <v>0</v>
          </cell>
          <cell r="U100">
            <v>0</v>
          </cell>
          <cell r="V100">
            <v>0</v>
          </cell>
          <cell r="W100">
            <v>0</v>
          </cell>
          <cell r="X100">
            <v>0</v>
          </cell>
          <cell r="Y100">
            <v>231540</v>
          </cell>
          <cell r="Z100">
            <v>434689</v>
          </cell>
          <cell r="AA100">
            <v>666229</v>
          </cell>
          <cell r="AB100">
            <v>2.4605614504197399</v>
          </cell>
          <cell r="AC100">
            <v>666229</v>
          </cell>
          <cell r="AD100">
            <v>1081052</v>
          </cell>
          <cell r="AE100">
            <v>0</v>
          </cell>
          <cell r="AH100">
            <v>0</v>
          </cell>
          <cell r="AI100">
            <v>0</v>
          </cell>
          <cell r="AJ100">
            <v>0</v>
          </cell>
        </row>
        <row r="101">
          <cell r="A101" t="str">
            <v>TSX:MEG_NEO 3_Target</v>
          </cell>
          <cell r="B101" t="str">
            <v>TSX:MEG</v>
          </cell>
          <cell r="C101" t="str">
            <v>MEG Energy Corp.</v>
          </cell>
          <cell r="D101" t="str">
            <v>Target</v>
          </cell>
          <cell r="E101">
            <v>12</v>
          </cell>
          <cell r="F101" t="str">
            <v>CAD</v>
          </cell>
          <cell r="G101">
            <v>1</v>
          </cell>
          <cell r="H101" t="str">
            <v>Chi-Tak Yee</v>
          </cell>
          <cell r="I101" t="str">
            <v>SVP, Resevoir and Geosciences</v>
          </cell>
          <cell r="J101" t="str">
            <v>NEO 3</v>
          </cell>
          <cell r="K101">
            <v>8002.3710899999996</v>
          </cell>
          <cell r="L101">
            <v>9745.2740900000008</v>
          </cell>
          <cell r="M101">
            <v>326880</v>
          </cell>
          <cell r="N101">
            <v>326880</v>
          </cell>
          <cell r="O101" t="str">
            <v>n/d</v>
          </cell>
          <cell r="P101">
            <v>250001</v>
          </cell>
          <cell r="Q101">
            <v>250001</v>
          </cell>
          <cell r="R101">
            <v>0.76480971610376902</v>
          </cell>
          <cell r="S101">
            <v>0.64348283337133472</v>
          </cell>
          <cell r="T101" t="str">
            <v>n/d</v>
          </cell>
          <cell r="U101">
            <v>210341.66857242188</v>
          </cell>
          <cell r="V101">
            <v>576881</v>
          </cell>
          <cell r="W101">
            <v>537221.66857242188</v>
          </cell>
          <cell r="X101" t="str">
            <v>input</v>
          </cell>
          <cell r="Y101">
            <v>318191.66666666669</v>
          </cell>
          <cell r="Z101">
            <v>593137.66666666663</v>
          </cell>
          <cell r="AA101">
            <v>0</v>
          </cell>
          <cell r="AB101">
            <v>3.0011754558880575</v>
          </cell>
          <cell r="AC101">
            <v>981024.23302068817</v>
          </cell>
          <cell r="AD101">
            <v>0</v>
          </cell>
          <cell r="AE101">
            <v>1518245.9015931101</v>
          </cell>
          <cell r="AF101">
            <v>0</v>
          </cell>
          <cell r="AG101">
            <v>0</v>
          </cell>
          <cell r="AH101">
            <v>0</v>
          </cell>
          <cell r="AI101">
            <v>0</v>
          </cell>
          <cell r="AJ101">
            <v>0</v>
          </cell>
        </row>
        <row r="102">
          <cell r="A102" t="str">
            <v>TSX:MEG_NEO 1_2012</v>
          </cell>
          <cell r="B102" t="str">
            <v>TSX:MEG</v>
          </cell>
          <cell r="C102" t="str">
            <v>MEG Energy Corp.</v>
          </cell>
          <cell r="D102">
            <v>2012</v>
          </cell>
          <cell r="E102">
            <v>12</v>
          </cell>
          <cell r="F102" t="str">
            <v>CAD</v>
          </cell>
          <cell r="G102">
            <v>1</v>
          </cell>
          <cell r="H102" t="str">
            <v>Jamey Fitzgibbon</v>
          </cell>
          <cell r="I102" t="str">
            <v>SVP, Management - Christina Lake, Special Projects</v>
          </cell>
          <cell r="J102" t="str">
            <v>NEO 1</v>
          </cell>
          <cell r="K102">
            <v>8002.3710899999996</v>
          </cell>
          <cell r="L102">
            <v>9745.2740900000008</v>
          </cell>
          <cell r="M102">
            <v>289080</v>
          </cell>
          <cell r="N102">
            <v>289080</v>
          </cell>
          <cell r="O102" t="str">
            <v>n/d</v>
          </cell>
          <cell r="P102">
            <v>250000</v>
          </cell>
          <cell r="Q102">
            <v>250000</v>
          </cell>
          <cell r="R102">
            <v>0.86481250864812509</v>
          </cell>
          <cell r="S102" t="str">
            <v>n/d</v>
          </cell>
          <cell r="T102" t="str">
            <v>n/d</v>
          </cell>
          <cell r="U102" t="str">
            <v>input</v>
          </cell>
          <cell r="V102">
            <v>539080</v>
          </cell>
          <cell r="W102" t="str">
            <v>input</v>
          </cell>
          <cell r="X102" t="str">
            <v>input</v>
          </cell>
          <cell r="Y102">
            <v>387527</v>
          </cell>
          <cell r="Z102">
            <v>720768</v>
          </cell>
          <cell r="AA102">
            <v>1108295</v>
          </cell>
          <cell r="AB102">
            <v>3.8338695170886954</v>
          </cell>
          <cell r="AC102">
            <v>1108295</v>
          </cell>
          <cell r="AD102">
            <v>1647375</v>
          </cell>
          <cell r="AE102">
            <v>0</v>
          </cell>
          <cell r="AF102" t="str">
            <v xml:space="preserve">Jamey Fitzgibbon was appointed SVP,  Management - Christina Lake, Special Projects on November 3, 2011. Prior thereto, he was VP, Special Projects. As such, STIP and LTIP values prior to 2012 have not been included in taregt calculations. </v>
          </cell>
          <cell r="AH102" t="str">
            <v>n/a</v>
          </cell>
          <cell r="AI102" t="str">
            <v>n/a</v>
          </cell>
          <cell r="AJ102">
            <v>0</v>
          </cell>
        </row>
        <row r="103">
          <cell r="A103" t="str">
            <v>TSX:MEG__2011</v>
          </cell>
          <cell r="B103" t="str">
            <v>TSX:MEG</v>
          </cell>
          <cell r="C103" t="str">
            <v>MEG Energy Corp.</v>
          </cell>
          <cell r="D103">
            <v>2011</v>
          </cell>
          <cell r="E103">
            <v>12</v>
          </cell>
          <cell r="F103" t="str">
            <v>CAD</v>
          </cell>
          <cell r="G103">
            <v>1</v>
          </cell>
          <cell r="K103">
            <v>8002.3710899999996</v>
          </cell>
          <cell r="L103">
            <v>9745.2740900000008</v>
          </cell>
          <cell r="M103">
            <v>0</v>
          </cell>
          <cell r="N103">
            <v>0</v>
          </cell>
          <cell r="O103">
            <v>0</v>
          </cell>
          <cell r="P103">
            <v>0</v>
          </cell>
          <cell r="Q103">
            <v>0</v>
          </cell>
          <cell r="R103" t="str">
            <v>input</v>
          </cell>
          <cell r="S103">
            <v>0</v>
          </cell>
          <cell r="T103">
            <v>0</v>
          </cell>
          <cell r="U103">
            <v>0</v>
          </cell>
          <cell r="V103">
            <v>0</v>
          </cell>
          <cell r="W103">
            <v>0</v>
          </cell>
          <cell r="X103">
            <v>0</v>
          </cell>
          <cell r="Y103">
            <v>0</v>
          </cell>
          <cell r="Z103">
            <v>0</v>
          </cell>
          <cell r="AA103" t="str">
            <v>n/a</v>
          </cell>
          <cell r="AB103" t="str">
            <v>input</v>
          </cell>
          <cell r="AC103" t="str">
            <v>input</v>
          </cell>
          <cell r="AD103" t="str">
            <v>input</v>
          </cell>
          <cell r="AE103">
            <v>0</v>
          </cell>
          <cell r="AH103">
            <v>0</v>
          </cell>
          <cell r="AI103">
            <v>0</v>
          </cell>
          <cell r="AJ103">
            <v>0</v>
          </cell>
        </row>
        <row r="104">
          <cell r="A104" t="str">
            <v>TSX:MEG__2010</v>
          </cell>
          <cell r="B104" t="str">
            <v>TSX:MEG</v>
          </cell>
          <cell r="C104" t="str">
            <v>MEG Energy Corp.</v>
          </cell>
          <cell r="D104">
            <v>2010</v>
          </cell>
          <cell r="E104">
            <v>12</v>
          </cell>
          <cell r="F104" t="str">
            <v>CAD</v>
          </cell>
          <cell r="G104">
            <v>1</v>
          </cell>
          <cell r="K104">
            <v>8002.3710899999996</v>
          </cell>
          <cell r="L104">
            <v>9745.2740900000008</v>
          </cell>
          <cell r="M104">
            <v>0</v>
          </cell>
          <cell r="N104">
            <v>0</v>
          </cell>
          <cell r="O104">
            <v>0</v>
          </cell>
          <cell r="P104">
            <v>0</v>
          </cell>
          <cell r="Q104">
            <v>0</v>
          </cell>
          <cell r="R104" t="str">
            <v>input</v>
          </cell>
          <cell r="S104">
            <v>0</v>
          </cell>
          <cell r="T104">
            <v>0</v>
          </cell>
          <cell r="U104">
            <v>0</v>
          </cell>
          <cell r="V104">
            <v>0</v>
          </cell>
          <cell r="W104">
            <v>0</v>
          </cell>
          <cell r="X104">
            <v>0</v>
          </cell>
          <cell r="Y104">
            <v>0</v>
          </cell>
          <cell r="Z104">
            <v>0</v>
          </cell>
          <cell r="AA104" t="str">
            <v>n/a</v>
          </cell>
          <cell r="AB104" t="str">
            <v>input</v>
          </cell>
          <cell r="AC104" t="str">
            <v>input</v>
          </cell>
          <cell r="AD104" t="str">
            <v>input</v>
          </cell>
          <cell r="AE104">
            <v>0</v>
          </cell>
          <cell r="AH104">
            <v>0</v>
          </cell>
          <cell r="AI104">
            <v>0</v>
          </cell>
          <cell r="AJ104">
            <v>0</v>
          </cell>
        </row>
        <row r="105">
          <cell r="A105" t="str">
            <v>TSX:MEG_NEO 1_Target</v>
          </cell>
          <cell r="B105" t="str">
            <v>TSX:MEG</v>
          </cell>
          <cell r="C105" t="str">
            <v>MEG Energy Corp.</v>
          </cell>
          <cell r="D105" t="str">
            <v>Target</v>
          </cell>
          <cell r="E105">
            <v>12</v>
          </cell>
          <cell r="F105" t="str">
            <v>CAD</v>
          </cell>
          <cell r="G105">
            <v>1</v>
          </cell>
          <cell r="H105" t="str">
            <v>Jamey Fitzgibbon</v>
          </cell>
          <cell r="I105" t="str">
            <v>SVP, Management - Christina Lake, Special Projects</v>
          </cell>
          <cell r="J105" t="str">
            <v>NEO 1</v>
          </cell>
          <cell r="K105">
            <v>8002.3710899999996</v>
          </cell>
          <cell r="L105">
            <v>9745.2740900000008</v>
          </cell>
          <cell r="M105">
            <v>289080</v>
          </cell>
          <cell r="N105">
            <v>289080</v>
          </cell>
          <cell r="O105" t="str">
            <v>n/d</v>
          </cell>
          <cell r="P105">
            <v>250000</v>
          </cell>
          <cell r="Q105">
            <v>250000</v>
          </cell>
          <cell r="R105">
            <v>0.86481250864812509</v>
          </cell>
          <cell r="S105">
            <v>0.86481250864812509</v>
          </cell>
          <cell r="T105" t="str">
            <v>n/d</v>
          </cell>
          <cell r="U105">
            <v>250000</v>
          </cell>
          <cell r="V105">
            <v>539080</v>
          </cell>
          <cell r="W105">
            <v>539080</v>
          </cell>
          <cell r="X105" t="str">
            <v>input</v>
          </cell>
          <cell r="Y105">
            <v>387527</v>
          </cell>
          <cell r="Z105">
            <v>720768</v>
          </cell>
          <cell r="AA105">
            <v>0</v>
          </cell>
          <cell r="AB105">
            <v>3.8338695170886954</v>
          </cell>
          <cell r="AC105">
            <v>1108295</v>
          </cell>
          <cell r="AD105">
            <v>0</v>
          </cell>
          <cell r="AE105">
            <v>1647375</v>
          </cell>
          <cell r="AF105" t="str">
            <v xml:space="preserve">Jamey Fitzgibbon was appointed SVP,  Management - Christina Lake, Special Projects on November 3, 2011. Prior thereto, he was VP, Special Projects. As such, STIP and LTIP values prior to 2012 have not been included in taregt calculations. </v>
          </cell>
          <cell r="AG105">
            <v>0</v>
          </cell>
          <cell r="AH105">
            <v>0</v>
          </cell>
          <cell r="AI105">
            <v>0</v>
          </cell>
          <cell r="AJ105">
            <v>0</v>
          </cell>
        </row>
        <row r="106">
          <cell r="A106" t="str">
            <v>TSX:MEG_NEO 2_2012</v>
          </cell>
          <cell r="B106" t="str">
            <v>TSX:MEG</v>
          </cell>
          <cell r="C106" t="str">
            <v>MEG Energy Corp.</v>
          </cell>
          <cell r="D106">
            <v>2012</v>
          </cell>
          <cell r="E106">
            <v>12</v>
          </cell>
          <cell r="F106" t="str">
            <v>CAD</v>
          </cell>
          <cell r="G106">
            <v>1</v>
          </cell>
          <cell r="H106" t="str">
            <v>Grant Boyd</v>
          </cell>
          <cell r="I106" t="str">
            <v>SVP, Management - Growth Properties</v>
          </cell>
          <cell r="J106" t="str">
            <v>NEO 2</v>
          </cell>
          <cell r="K106">
            <v>8002.3710899999996</v>
          </cell>
          <cell r="L106">
            <v>9745.2740900000008</v>
          </cell>
          <cell r="M106">
            <v>291288</v>
          </cell>
          <cell r="N106">
            <v>291288</v>
          </cell>
          <cell r="O106" t="str">
            <v>n/d</v>
          </cell>
          <cell r="P106">
            <v>225000</v>
          </cell>
          <cell r="Q106">
            <v>225000</v>
          </cell>
          <cell r="R106">
            <v>0.77243140809096156</v>
          </cell>
          <cell r="S106" t="str">
            <v>n/d</v>
          </cell>
          <cell r="T106" t="str">
            <v>n/d</v>
          </cell>
          <cell r="U106" t="str">
            <v>input</v>
          </cell>
          <cell r="V106">
            <v>516288</v>
          </cell>
          <cell r="W106" t="str">
            <v>input</v>
          </cell>
          <cell r="X106" t="str">
            <v>input</v>
          </cell>
          <cell r="Y106">
            <v>373151</v>
          </cell>
          <cell r="Z106">
            <v>693348</v>
          </cell>
          <cell r="AA106">
            <v>1066499</v>
          </cell>
          <cell r="AB106">
            <v>3.6613214413226771</v>
          </cell>
          <cell r="AC106">
            <v>1066499</v>
          </cell>
          <cell r="AD106">
            <v>1582787</v>
          </cell>
          <cell r="AE106">
            <v>0</v>
          </cell>
          <cell r="AF106" t="str">
            <v xml:space="preserve">Grant Boyd was appointed SVP, Resource Management - Growth Properties on November 3, 2011. As such, STIP and LTIP values prior to 2012 have not been included in taregt calculations. </v>
          </cell>
          <cell r="AH106" t="str">
            <v>n/a</v>
          </cell>
          <cell r="AI106" t="str">
            <v>n/a</v>
          </cell>
          <cell r="AJ106">
            <v>0</v>
          </cell>
        </row>
        <row r="107">
          <cell r="A107" t="str">
            <v>TSX:MEG__2011</v>
          </cell>
          <cell r="B107" t="str">
            <v>TSX:MEG</v>
          </cell>
          <cell r="C107" t="str">
            <v>MEG Energy Corp.</v>
          </cell>
          <cell r="D107">
            <v>2011</v>
          </cell>
          <cell r="E107">
            <v>12</v>
          </cell>
          <cell r="F107" t="str">
            <v>CAD</v>
          </cell>
          <cell r="G107">
            <v>1</v>
          </cell>
          <cell r="K107">
            <v>8002.3710899999996</v>
          </cell>
          <cell r="L107">
            <v>9745.2740900000008</v>
          </cell>
          <cell r="M107">
            <v>0</v>
          </cell>
          <cell r="N107">
            <v>0</v>
          </cell>
          <cell r="O107">
            <v>0</v>
          </cell>
          <cell r="P107">
            <v>0</v>
          </cell>
          <cell r="Q107" t="str">
            <v>n/a</v>
          </cell>
          <cell r="R107" t="str">
            <v>input</v>
          </cell>
          <cell r="S107">
            <v>0</v>
          </cell>
          <cell r="T107">
            <v>0</v>
          </cell>
          <cell r="U107">
            <v>0</v>
          </cell>
          <cell r="V107">
            <v>0</v>
          </cell>
          <cell r="W107">
            <v>0</v>
          </cell>
          <cell r="X107">
            <v>0</v>
          </cell>
          <cell r="Y107">
            <v>0</v>
          </cell>
          <cell r="Z107">
            <v>0</v>
          </cell>
          <cell r="AA107" t="str">
            <v>n/a</v>
          </cell>
          <cell r="AB107" t="str">
            <v>input</v>
          </cell>
          <cell r="AC107" t="str">
            <v>input</v>
          </cell>
          <cell r="AD107" t="str">
            <v>input</v>
          </cell>
          <cell r="AE107">
            <v>0</v>
          </cell>
          <cell r="AH107">
            <v>0</v>
          </cell>
          <cell r="AI107">
            <v>0</v>
          </cell>
          <cell r="AJ107">
            <v>0</v>
          </cell>
        </row>
        <row r="108">
          <cell r="A108" t="str">
            <v>TSX:MEG__2010</v>
          </cell>
          <cell r="B108" t="str">
            <v>TSX:MEG</v>
          </cell>
          <cell r="C108" t="str">
            <v>MEG Energy Corp.</v>
          </cell>
          <cell r="D108">
            <v>2010</v>
          </cell>
          <cell r="E108">
            <v>12</v>
          </cell>
          <cell r="F108" t="str">
            <v>CAD</v>
          </cell>
          <cell r="G108">
            <v>1</v>
          </cell>
          <cell r="K108">
            <v>8002.3710899999996</v>
          </cell>
          <cell r="L108">
            <v>9745.2740900000008</v>
          </cell>
          <cell r="M108">
            <v>0</v>
          </cell>
          <cell r="N108">
            <v>0</v>
          </cell>
          <cell r="O108">
            <v>0</v>
          </cell>
          <cell r="P108">
            <v>0</v>
          </cell>
          <cell r="Q108" t="str">
            <v>n/a</v>
          </cell>
          <cell r="R108" t="str">
            <v>input</v>
          </cell>
          <cell r="S108">
            <v>0</v>
          </cell>
          <cell r="T108">
            <v>0</v>
          </cell>
          <cell r="U108">
            <v>0</v>
          </cell>
          <cell r="V108">
            <v>0</v>
          </cell>
          <cell r="W108">
            <v>0</v>
          </cell>
          <cell r="X108">
            <v>0</v>
          </cell>
          <cell r="Y108">
            <v>0</v>
          </cell>
          <cell r="Z108">
            <v>0</v>
          </cell>
          <cell r="AA108" t="str">
            <v>n/a</v>
          </cell>
          <cell r="AB108" t="str">
            <v>input</v>
          </cell>
          <cell r="AC108" t="str">
            <v>input</v>
          </cell>
          <cell r="AD108" t="str">
            <v>input</v>
          </cell>
          <cell r="AE108">
            <v>0</v>
          </cell>
          <cell r="AH108">
            <v>0</v>
          </cell>
          <cell r="AI108">
            <v>0</v>
          </cell>
          <cell r="AJ108">
            <v>0</v>
          </cell>
        </row>
        <row r="109">
          <cell r="A109" t="str">
            <v>TSX:MEG_NEO 2_Target</v>
          </cell>
          <cell r="B109" t="str">
            <v>TSX:MEG</v>
          </cell>
          <cell r="C109" t="str">
            <v>MEG Energy Corp.</v>
          </cell>
          <cell r="D109" t="str">
            <v>Target</v>
          </cell>
          <cell r="E109">
            <v>12</v>
          </cell>
          <cell r="F109" t="str">
            <v>CAD</v>
          </cell>
          <cell r="G109">
            <v>1</v>
          </cell>
          <cell r="H109" t="str">
            <v>Grant Boyd</v>
          </cell>
          <cell r="I109" t="str">
            <v>SVP, Management - Growth Properties</v>
          </cell>
          <cell r="J109" t="str">
            <v>NEO 2</v>
          </cell>
          <cell r="K109">
            <v>8002.3710899999996</v>
          </cell>
          <cell r="L109">
            <v>9745.2740900000008</v>
          </cell>
          <cell r="M109">
            <v>291288</v>
          </cell>
          <cell r="N109">
            <v>291288</v>
          </cell>
          <cell r="O109" t="str">
            <v>n/d</v>
          </cell>
          <cell r="P109">
            <v>225000</v>
          </cell>
          <cell r="Q109">
            <v>225000</v>
          </cell>
          <cell r="R109">
            <v>0.77243140809096156</v>
          </cell>
          <cell r="S109">
            <v>0.77243140809096156</v>
          </cell>
          <cell r="T109" t="str">
            <v>n/d</v>
          </cell>
          <cell r="U109">
            <v>225000</v>
          </cell>
          <cell r="V109">
            <v>516288</v>
          </cell>
          <cell r="W109">
            <v>516288</v>
          </cell>
          <cell r="X109" t="str">
            <v>input</v>
          </cell>
          <cell r="Y109">
            <v>373151</v>
          </cell>
          <cell r="Z109">
            <v>693348</v>
          </cell>
          <cell r="AA109">
            <v>0</v>
          </cell>
          <cell r="AB109">
            <v>3.6613214413226771</v>
          </cell>
          <cell r="AC109">
            <v>1066499</v>
          </cell>
          <cell r="AD109">
            <v>0</v>
          </cell>
          <cell r="AE109">
            <v>1582787</v>
          </cell>
          <cell r="AF109" t="str">
            <v xml:space="preserve">Grant Boyd was appointed SVP, Resource Management - Growth Properties on November 3, 2011. As such, STIP and LTIP values prior to 2012 have not been included in taregt calculations. </v>
          </cell>
          <cell r="AG109">
            <v>0</v>
          </cell>
          <cell r="AH109">
            <v>0</v>
          </cell>
          <cell r="AI109">
            <v>0</v>
          </cell>
          <cell r="AJ109">
            <v>0</v>
          </cell>
        </row>
        <row r="110">
          <cell r="A110" t="str">
            <v>TSX:TRP_CEO_2012</v>
          </cell>
          <cell r="B110" t="str">
            <v>TSX:TRP</v>
          </cell>
          <cell r="C110" t="str">
            <v>TransCanada Corp.</v>
          </cell>
          <cell r="D110">
            <v>2012</v>
          </cell>
          <cell r="E110">
            <v>12</v>
          </cell>
          <cell r="F110" t="str">
            <v>CAD</v>
          </cell>
          <cell r="G110">
            <v>1</v>
          </cell>
          <cell r="H110" t="str">
            <v>Russell Girling</v>
          </cell>
          <cell r="I110" t="str">
            <v>President and CEO</v>
          </cell>
          <cell r="J110" t="str">
            <v>CEO</v>
          </cell>
          <cell r="K110">
            <v>32430.09</v>
          </cell>
          <cell r="L110">
            <v>58958.09</v>
          </cell>
          <cell r="M110">
            <v>1266674</v>
          </cell>
          <cell r="N110">
            <v>1266674</v>
          </cell>
          <cell r="O110" t="str">
            <v>n/d</v>
          </cell>
          <cell r="P110">
            <v>1200000</v>
          </cell>
          <cell r="Q110">
            <v>1200000</v>
          </cell>
          <cell r="R110">
            <v>0.94736293631984236</v>
          </cell>
          <cell r="S110">
            <v>1</v>
          </cell>
          <cell r="T110">
            <v>2</v>
          </cell>
          <cell r="U110">
            <v>1266674</v>
          </cell>
          <cell r="V110">
            <v>2466674</v>
          </cell>
          <cell r="W110">
            <v>2533348</v>
          </cell>
          <cell r="X110">
            <v>3800022</v>
          </cell>
          <cell r="Y110">
            <v>2530000</v>
          </cell>
          <cell r="Z110">
            <v>2070000</v>
          </cell>
          <cell r="AA110">
            <v>4600000</v>
          </cell>
          <cell r="AB110">
            <v>3.6315579225593959</v>
          </cell>
          <cell r="AC110">
            <v>4600000</v>
          </cell>
          <cell r="AD110">
            <v>7066674</v>
          </cell>
          <cell r="AE110">
            <v>0</v>
          </cell>
          <cell r="AH110" t="str">
            <v>4X base salary</v>
          </cell>
          <cell r="AI110" t="str">
            <v>5 years</v>
          </cell>
          <cell r="AJ110" t="str">
            <v>Executives must buy and hold 50% of all stock options they exercise until they meet their SOG. 50% of Executives' total ownership must be in TransCanada shares, and the remaining 50% can be in unvested ESUs.</v>
          </cell>
        </row>
        <row r="111">
          <cell r="A111" t="str">
            <v>TSX:TRP_CEO_2011</v>
          </cell>
          <cell r="B111" t="str">
            <v>TSX:TRP</v>
          </cell>
          <cell r="C111" t="str">
            <v>TransCanada Corp.</v>
          </cell>
          <cell r="D111">
            <v>2011</v>
          </cell>
          <cell r="E111">
            <v>12</v>
          </cell>
          <cell r="F111" t="str">
            <v>CAD</v>
          </cell>
          <cell r="G111">
            <v>1</v>
          </cell>
          <cell r="H111" t="str">
            <v>Russell Girling</v>
          </cell>
          <cell r="I111" t="str">
            <v>President and CEO</v>
          </cell>
          <cell r="J111" t="str">
            <v>CEO</v>
          </cell>
          <cell r="K111">
            <v>32430.09</v>
          </cell>
          <cell r="L111">
            <v>58958.09</v>
          </cell>
          <cell r="M111">
            <v>1083337</v>
          </cell>
          <cell r="N111">
            <v>1083337</v>
          </cell>
          <cell r="O111">
            <v>0</v>
          </cell>
          <cell r="P111">
            <v>1350000</v>
          </cell>
          <cell r="Q111">
            <v>1350000</v>
          </cell>
          <cell r="R111">
            <v>1.2461496284166422</v>
          </cell>
          <cell r="S111">
            <v>0</v>
          </cell>
          <cell r="T111">
            <v>0</v>
          </cell>
          <cell r="U111">
            <v>0</v>
          </cell>
          <cell r="V111">
            <v>0</v>
          </cell>
          <cell r="W111">
            <v>0</v>
          </cell>
          <cell r="X111">
            <v>0</v>
          </cell>
          <cell r="Y111">
            <v>2700000</v>
          </cell>
          <cell r="Z111">
            <v>900000</v>
          </cell>
          <cell r="AA111">
            <v>3600000</v>
          </cell>
          <cell r="AB111">
            <v>3.3230656757777126</v>
          </cell>
          <cell r="AC111">
            <v>3600000</v>
          </cell>
          <cell r="AD111">
            <v>6033337</v>
          </cell>
          <cell r="AE111">
            <v>0</v>
          </cell>
          <cell r="AH111">
            <v>0</v>
          </cell>
          <cell r="AI111">
            <v>0</v>
          </cell>
          <cell r="AJ111">
            <v>0</v>
          </cell>
        </row>
        <row r="112">
          <cell r="A112" t="str">
            <v>TSX:TRP_CEO_2010</v>
          </cell>
          <cell r="B112" t="str">
            <v>TSX:TRP</v>
          </cell>
          <cell r="C112" t="str">
            <v>TransCanada Corp.</v>
          </cell>
          <cell r="D112">
            <v>2010</v>
          </cell>
          <cell r="E112">
            <v>12</v>
          </cell>
          <cell r="F112" t="str">
            <v>CAD</v>
          </cell>
          <cell r="G112">
            <v>1</v>
          </cell>
          <cell r="H112" t="str">
            <v>Russell Girling</v>
          </cell>
          <cell r="I112" t="str">
            <v>President and CEO</v>
          </cell>
          <cell r="J112" t="str">
            <v>CEO</v>
          </cell>
          <cell r="K112">
            <v>32430.09</v>
          </cell>
          <cell r="L112">
            <v>58958.09</v>
          </cell>
          <cell r="M112">
            <v>900006</v>
          </cell>
          <cell r="N112">
            <v>900006</v>
          </cell>
          <cell r="O112">
            <v>0</v>
          </cell>
          <cell r="P112">
            <v>1100000</v>
          </cell>
          <cell r="Q112">
            <v>1100000</v>
          </cell>
          <cell r="R112">
            <v>1.2222140741283947</v>
          </cell>
          <cell r="S112">
            <v>0</v>
          </cell>
          <cell r="T112">
            <v>0</v>
          </cell>
          <cell r="U112">
            <v>0</v>
          </cell>
          <cell r="V112">
            <v>0</v>
          </cell>
          <cell r="W112">
            <v>0</v>
          </cell>
          <cell r="X112">
            <v>0</v>
          </cell>
          <cell r="Y112">
            <v>2100000</v>
          </cell>
          <cell r="Z112">
            <v>1254000</v>
          </cell>
          <cell r="AA112">
            <v>3354000</v>
          </cell>
          <cell r="AB112">
            <v>3.7266418223878506</v>
          </cell>
          <cell r="AC112">
            <v>3354000</v>
          </cell>
          <cell r="AD112">
            <v>5354006</v>
          </cell>
          <cell r="AE112">
            <v>0</v>
          </cell>
          <cell r="AH112">
            <v>0</v>
          </cell>
          <cell r="AI112">
            <v>0</v>
          </cell>
          <cell r="AJ112">
            <v>0</v>
          </cell>
        </row>
        <row r="113">
          <cell r="A113" t="str">
            <v>TSX:TRP_CEO_Target</v>
          </cell>
          <cell r="B113" t="str">
            <v>TSX:TRP</v>
          </cell>
          <cell r="C113" t="str">
            <v>TransCanada Corp.</v>
          </cell>
          <cell r="D113" t="str">
            <v>Target</v>
          </cell>
          <cell r="E113">
            <v>12</v>
          </cell>
          <cell r="F113" t="str">
            <v>CAD</v>
          </cell>
          <cell r="G113">
            <v>1</v>
          </cell>
          <cell r="H113" t="str">
            <v>Russell Girling</v>
          </cell>
          <cell r="I113" t="str">
            <v>President and CEO</v>
          </cell>
          <cell r="J113" t="str">
            <v>CEO</v>
          </cell>
          <cell r="K113">
            <v>32430.09</v>
          </cell>
          <cell r="L113">
            <v>58958.09</v>
          </cell>
          <cell r="M113">
            <v>1266674</v>
          </cell>
          <cell r="N113">
            <v>1266674</v>
          </cell>
          <cell r="O113" t="str">
            <v>n/d</v>
          </cell>
          <cell r="P113">
            <v>1200000</v>
          </cell>
          <cell r="Q113">
            <v>1200000</v>
          </cell>
          <cell r="R113">
            <v>0.94736293631984236</v>
          </cell>
          <cell r="S113">
            <v>1</v>
          </cell>
          <cell r="T113">
            <v>2</v>
          </cell>
          <cell r="U113">
            <v>1266674</v>
          </cell>
          <cell r="V113">
            <v>2466674</v>
          </cell>
          <cell r="W113">
            <v>2533348</v>
          </cell>
          <cell r="X113">
            <v>3800022</v>
          </cell>
          <cell r="Y113">
            <v>2443333.3333333335</v>
          </cell>
          <cell r="Z113">
            <v>1408000</v>
          </cell>
          <cell r="AA113">
            <v>0</v>
          </cell>
          <cell r="AB113">
            <v>3.5604218069083196</v>
          </cell>
          <cell r="AC113">
            <v>4509893.7318437891</v>
          </cell>
          <cell r="AD113">
            <v>0</v>
          </cell>
          <cell r="AE113">
            <v>7043241.7318437891</v>
          </cell>
          <cell r="AF113">
            <v>0</v>
          </cell>
          <cell r="AG113">
            <v>0</v>
          </cell>
          <cell r="AH113">
            <v>0</v>
          </cell>
          <cell r="AI113">
            <v>0</v>
          </cell>
          <cell r="AJ113">
            <v>0</v>
          </cell>
        </row>
        <row r="114">
          <cell r="A114" t="str">
            <v>TSX:TRP_CFO_2012</v>
          </cell>
          <cell r="B114" t="str">
            <v>TSX:TRP</v>
          </cell>
          <cell r="C114" t="str">
            <v>TransCanada Corp.</v>
          </cell>
          <cell r="D114">
            <v>2012</v>
          </cell>
          <cell r="E114">
            <v>12</v>
          </cell>
          <cell r="F114" t="str">
            <v>CAD</v>
          </cell>
          <cell r="G114">
            <v>1</v>
          </cell>
          <cell r="H114" t="str">
            <v>Donald R. Marchand</v>
          </cell>
          <cell r="I114" t="str">
            <v>EVP and CFO</v>
          </cell>
          <cell r="J114" t="str">
            <v>CFO</v>
          </cell>
          <cell r="K114">
            <v>32430.09</v>
          </cell>
          <cell r="L114">
            <v>58958.09</v>
          </cell>
          <cell r="M114">
            <v>451674</v>
          </cell>
          <cell r="N114">
            <v>451674</v>
          </cell>
          <cell r="O114" t="str">
            <v>n/d</v>
          </cell>
          <cell r="P114">
            <v>460000</v>
          </cell>
          <cell r="Q114">
            <v>460000</v>
          </cell>
          <cell r="R114">
            <v>1.0184336490477646</v>
          </cell>
          <cell r="S114">
            <v>0.65</v>
          </cell>
          <cell r="T114">
            <v>1.3</v>
          </cell>
          <cell r="U114">
            <v>293588.10000000003</v>
          </cell>
          <cell r="V114">
            <v>911674</v>
          </cell>
          <cell r="W114">
            <v>745262.1</v>
          </cell>
          <cell r="X114">
            <v>1038850.2</v>
          </cell>
          <cell r="Y114">
            <v>517500</v>
          </cell>
          <cell r="Z114">
            <v>517500</v>
          </cell>
          <cell r="AA114">
            <v>1035000</v>
          </cell>
          <cell r="AB114">
            <v>2.2914757103574703</v>
          </cell>
          <cell r="AC114">
            <v>1035000</v>
          </cell>
          <cell r="AD114">
            <v>1946674</v>
          </cell>
          <cell r="AE114">
            <v>0</v>
          </cell>
          <cell r="AH114" t="str">
            <v>2X base salary</v>
          </cell>
          <cell r="AI114" t="str">
            <v>5 years</v>
          </cell>
          <cell r="AJ114">
            <v>0</v>
          </cell>
        </row>
        <row r="115">
          <cell r="A115" t="str">
            <v>TSX:TRP_CFO_2011</v>
          </cell>
          <cell r="B115" t="str">
            <v>TSX:TRP</v>
          </cell>
          <cell r="C115" t="str">
            <v>TransCanada Corp.</v>
          </cell>
          <cell r="D115">
            <v>2011</v>
          </cell>
          <cell r="E115">
            <v>12</v>
          </cell>
          <cell r="F115" t="str">
            <v>CAD</v>
          </cell>
          <cell r="G115">
            <v>1</v>
          </cell>
          <cell r="H115" t="str">
            <v>Donald R. Marchand</v>
          </cell>
          <cell r="I115" t="str">
            <v>EVP and CFO</v>
          </cell>
          <cell r="J115" t="str">
            <v>CFO</v>
          </cell>
          <cell r="K115">
            <v>32430.09</v>
          </cell>
          <cell r="L115">
            <v>58958.09</v>
          </cell>
          <cell r="M115">
            <v>403338</v>
          </cell>
          <cell r="N115">
            <v>403338</v>
          </cell>
          <cell r="O115">
            <v>0</v>
          </cell>
          <cell r="P115">
            <v>450000</v>
          </cell>
          <cell r="Q115">
            <v>450000</v>
          </cell>
          <cell r="R115">
            <v>1.1156895705338947</v>
          </cell>
          <cell r="S115">
            <v>0</v>
          </cell>
          <cell r="T115">
            <v>0</v>
          </cell>
          <cell r="U115">
            <v>0</v>
          </cell>
          <cell r="V115">
            <v>0</v>
          </cell>
          <cell r="W115">
            <v>0</v>
          </cell>
          <cell r="X115">
            <v>0</v>
          </cell>
          <cell r="Y115">
            <v>525000</v>
          </cell>
          <cell r="Z115">
            <v>175000</v>
          </cell>
          <cell r="AA115">
            <v>700000</v>
          </cell>
          <cell r="AB115">
            <v>1.7355171097193918</v>
          </cell>
          <cell r="AC115">
            <v>700000</v>
          </cell>
          <cell r="AD115">
            <v>1553338</v>
          </cell>
          <cell r="AE115">
            <v>0</v>
          </cell>
          <cell r="AH115">
            <v>0</v>
          </cell>
          <cell r="AI115">
            <v>0</v>
          </cell>
          <cell r="AJ115">
            <v>0</v>
          </cell>
        </row>
        <row r="116">
          <cell r="A116" t="str">
            <v>TSX:TRP_CFO_2010</v>
          </cell>
          <cell r="B116" t="str">
            <v>TSX:TRP</v>
          </cell>
          <cell r="C116" t="str">
            <v>TransCanada Corp.</v>
          </cell>
          <cell r="D116">
            <v>2010</v>
          </cell>
          <cell r="E116">
            <v>12</v>
          </cell>
          <cell r="F116" t="str">
            <v>CAD</v>
          </cell>
          <cell r="G116">
            <v>1</v>
          </cell>
          <cell r="H116" t="str">
            <v>Donald R. Marchand</v>
          </cell>
          <cell r="I116" t="str">
            <v>EVP and CFO</v>
          </cell>
          <cell r="J116" t="str">
            <v>CFO</v>
          </cell>
          <cell r="K116">
            <v>32430.09</v>
          </cell>
          <cell r="L116">
            <v>58958.09</v>
          </cell>
          <cell r="M116">
            <v>320004</v>
          </cell>
          <cell r="N116">
            <v>320004</v>
          </cell>
          <cell r="O116">
            <v>0</v>
          </cell>
          <cell r="P116">
            <v>299250</v>
          </cell>
          <cell r="Q116">
            <v>299250</v>
          </cell>
          <cell r="R116">
            <v>0.93514456069299134</v>
          </cell>
          <cell r="S116">
            <v>0</v>
          </cell>
          <cell r="T116">
            <v>0</v>
          </cell>
          <cell r="U116">
            <v>0</v>
          </cell>
          <cell r="V116">
            <v>0</v>
          </cell>
          <cell r="W116">
            <v>0</v>
          </cell>
          <cell r="X116">
            <v>0</v>
          </cell>
          <cell r="Y116">
            <v>248000</v>
          </cell>
          <cell r="Z116">
            <v>320400</v>
          </cell>
          <cell r="AA116">
            <v>568400</v>
          </cell>
          <cell r="AB116">
            <v>1.7762277971525355</v>
          </cell>
          <cell r="AC116">
            <v>568400</v>
          </cell>
          <cell r="AD116">
            <v>1187654</v>
          </cell>
          <cell r="AE116">
            <v>0</v>
          </cell>
          <cell r="AH116">
            <v>0</v>
          </cell>
          <cell r="AI116">
            <v>0</v>
          </cell>
          <cell r="AJ116">
            <v>0</v>
          </cell>
        </row>
        <row r="117">
          <cell r="A117" t="str">
            <v>TSX:TRP_CFO_Target</v>
          </cell>
          <cell r="B117" t="str">
            <v>TSX:TRP</v>
          </cell>
          <cell r="C117" t="str">
            <v>TransCanada Corp.</v>
          </cell>
          <cell r="D117" t="str">
            <v>Target</v>
          </cell>
          <cell r="E117">
            <v>12</v>
          </cell>
          <cell r="F117" t="str">
            <v>CAD</v>
          </cell>
          <cell r="G117">
            <v>1</v>
          </cell>
          <cell r="H117" t="str">
            <v>Donald R. Marchand</v>
          </cell>
          <cell r="I117" t="str">
            <v>EVP and CFO</v>
          </cell>
          <cell r="J117" t="str">
            <v>CFO</v>
          </cell>
          <cell r="K117">
            <v>32430.09</v>
          </cell>
          <cell r="L117">
            <v>58958.09</v>
          </cell>
          <cell r="M117">
            <v>451674</v>
          </cell>
          <cell r="N117">
            <v>451674</v>
          </cell>
          <cell r="O117" t="str">
            <v>n/d</v>
          </cell>
          <cell r="P117">
            <v>460000</v>
          </cell>
          <cell r="Q117">
            <v>460000</v>
          </cell>
          <cell r="R117">
            <v>1.0184336490477646</v>
          </cell>
          <cell r="S117">
            <v>0.65</v>
          </cell>
          <cell r="T117">
            <v>1.3</v>
          </cell>
          <cell r="U117">
            <v>293588.10000000003</v>
          </cell>
          <cell r="V117">
            <v>911674</v>
          </cell>
          <cell r="W117">
            <v>745262.1</v>
          </cell>
          <cell r="X117">
            <v>1038850.2</v>
          </cell>
          <cell r="Y117">
            <v>430166.66666666669</v>
          </cell>
          <cell r="Z117">
            <v>337633.33333333331</v>
          </cell>
          <cell r="AA117">
            <v>0</v>
          </cell>
          <cell r="AB117">
            <v>1.9344068724097994</v>
          </cell>
          <cell r="AC117">
            <v>873721.28968882374</v>
          </cell>
          <cell r="AD117">
            <v>0</v>
          </cell>
          <cell r="AE117">
            <v>1618983.3896888238</v>
          </cell>
          <cell r="AF117">
            <v>0</v>
          </cell>
          <cell r="AG117">
            <v>0</v>
          </cell>
          <cell r="AH117">
            <v>0</v>
          </cell>
          <cell r="AI117">
            <v>0</v>
          </cell>
          <cell r="AJ117">
            <v>0</v>
          </cell>
        </row>
        <row r="118">
          <cell r="A118" t="str">
            <v>TSX:TRP_NEO 1_2012</v>
          </cell>
          <cell r="B118" t="str">
            <v>TSX:TRP</v>
          </cell>
          <cell r="C118" t="str">
            <v>TransCanada Corp.</v>
          </cell>
          <cell r="D118">
            <v>2012</v>
          </cell>
          <cell r="E118">
            <v>12</v>
          </cell>
          <cell r="F118" t="str">
            <v>CAD</v>
          </cell>
          <cell r="G118">
            <v>1</v>
          </cell>
          <cell r="H118" t="str">
            <v>Alexander Pourbaix</v>
          </cell>
          <cell r="I118" t="str">
            <v>President, Energy &amp; Oil Pipelines</v>
          </cell>
          <cell r="J118" t="str">
            <v>NEO 1</v>
          </cell>
          <cell r="K118">
            <v>32430.09</v>
          </cell>
          <cell r="L118">
            <v>58958.09</v>
          </cell>
          <cell r="M118">
            <v>760834</v>
          </cell>
          <cell r="N118">
            <v>760834</v>
          </cell>
          <cell r="O118" t="str">
            <v>n/d</v>
          </cell>
          <cell r="P118">
            <v>800000</v>
          </cell>
          <cell r="Q118">
            <v>800000</v>
          </cell>
          <cell r="R118">
            <v>1.0514777205014498</v>
          </cell>
          <cell r="S118">
            <v>0.75</v>
          </cell>
          <cell r="T118">
            <v>1.5</v>
          </cell>
          <cell r="U118">
            <v>570625.5</v>
          </cell>
          <cell r="V118">
            <v>1560834</v>
          </cell>
          <cell r="W118">
            <v>1331459.5</v>
          </cell>
          <cell r="X118">
            <v>1902085</v>
          </cell>
          <cell r="Y118">
            <v>1147500</v>
          </cell>
          <cell r="Z118">
            <v>1147500</v>
          </cell>
          <cell r="AA118">
            <v>2295000</v>
          </cell>
          <cell r="AB118">
            <v>3.0164267106885339</v>
          </cell>
          <cell r="AC118">
            <v>2295000</v>
          </cell>
          <cell r="AD118">
            <v>3855834</v>
          </cell>
          <cell r="AE118">
            <v>0</v>
          </cell>
          <cell r="AH118" t="str">
            <v>2X base salary</v>
          </cell>
          <cell r="AI118" t="str">
            <v>5 years</v>
          </cell>
          <cell r="AJ118">
            <v>0</v>
          </cell>
        </row>
        <row r="119">
          <cell r="A119" t="str">
            <v>TSX:TRP_NEO 1_2011</v>
          </cell>
          <cell r="B119" t="str">
            <v>TSX:TRP</v>
          </cell>
          <cell r="C119" t="str">
            <v>TransCanada Corp.</v>
          </cell>
          <cell r="D119">
            <v>2011</v>
          </cell>
          <cell r="E119">
            <v>12</v>
          </cell>
          <cell r="F119" t="str">
            <v>CAD</v>
          </cell>
          <cell r="G119">
            <v>1</v>
          </cell>
          <cell r="H119" t="str">
            <v>Alexander Pourbaix</v>
          </cell>
          <cell r="I119" t="str">
            <v>President, Energy &amp; Oil Pipelines</v>
          </cell>
          <cell r="J119" t="str">
            <v>NEO 1</v>
          </cell>
          <cell r="K119">
            <v>32430.09</v>
          </cell>
          <cell r="L119">
            <v>58958.09</v>
          </cell>
          <cell r="M119">
            <v>733338</v>
          </cell>
          <cell r="N119">
            <v>733338</v>
          </cell>
          <cell r="O119">
            <v>0</v>
          </cell>
          <cell r="P119">
            <v>1050000</v>
          </cell>
          <cell r="Q119">
            <v>1050000</v>
          </cell>
          <cell r="R119">
            <v>1.4318090703059163</v>
          </cell>
          <cell r="S119">
            <v>0</v>
          </cell>
          <cell r="T119">
            <v>0</v>
          </cell>
          <cell r="U119">
            <v>0</v>
          </cell>
          <cell r="V119">
            <v>0</v>
          </cell>
          <cell r="W119">
            <v>0</v>
          </cell>
          <cell r="X119">
            <v>0</v>
          </cell>
          <cell r="Y119">
            <v>1665000</v>
          </cell>
          <cell r="Z119">
            <v>555000</v>
          </cell>
          <cell r="AA119">
            <v>2220000</v>
          </cell>
          <cell r="AB119">
            <v>3.0272534629325087</v>
          </cell>
          <cell r="AC119">
            <v>2220000</v>
          </cell>
          <cell r="AD119">
            <v>4003338</v>
          </cell>
          <cell r="AE119">
            <v>0</v>
          </cell>
          <cell r="AH119">
            <v>0</v>
          </cell>
          <cell r="AI119">
            <v>0</v>
          </cell>
          <cell r="AJ119">
            <v>0</v>
          </cell>
        </row>
        <row r="120">
          <cell r="A120" t="str">
            <v>TSX:TRP_NEO 1_2010</v>
          </cell>
          <cell r="B120" t="str">
            <v>TSX:TRP</v>
          </cell>
          <cell r="C120" t="str">
            <v>TransCanada Corp.</v>
          </cell>
          <cell r="D120">
            <v>2010</v>
          </cell>
          <cell r="E120">
            <v>12</v>
          </cell>
          <cell r="F120" t="str">
            <v>CAD</v>
          </cell>
          <cell r="G120">
            <v>1</v>
          </cell>
          <cell r="H120" t="str">
            <v>Alexander Pourbaix</v>
          </cell>
          <cell r="I120" t="str">
            <v>President, Energy &amp; Oil Pipelines</v>
          </cell>
          <cell r="J120" t="str">
            <v>NEO 1</v>
          </cell>
          <cell r="K120">
            <v>32430.09</v>
          </cell>
          <cell r="L120">
            <v>58958.09</v>
          </cell>
          <cell r="M120">
            <v>700008</v>
          </cell>
          <cell r="N120">
            <v>700008</v>
          </cell>
          <cell r="O120">
            <v>0</v>
          </cell>
          <cell r="P120">
            <v>798000</v>
          </cell>
          <cell r="Q120">
            <v>798000</v>
          </cell>
          <cell r="R120">
            <v>1.1399869715774678</v>
          </cell>
          <cell r="S120">
            <v>0</v>
          </cell>
          <cell r="T120">
            <v>0</v>
          </cell>
          <cell r="U120">
            <v>0</v>
          </cell>
          <cell r="V120">
            <v>0</v>
          </cell>
          <cell r="W120">
            <v>0</v>
          </cell>
          <cell r="X120">
            <v>0</v>
          </cell>
          <cell r="Y120">
            <v>1500000</v>
          </cell>
          <cell r="Z120">
            <v>649600</v>
          </cell>
          <cell r="AA120">
            <v>2149600</v>
          </cell>
          <cell r="AB120">
            <v>3.0708220477480257</v>
          </cell>
          <cell r="AC120">
            <v>2149600</v>
          </cell>
          <cell r="AD120">
            <v>3647608</v>
          </cell>
          <cell r="AE120">
            <v>0</v>
          </cell>
          <cell r="AH120">
            <v>0</v>
          </cell>
          <cell r="AI120">
            <v>0</v>
          </cell>
          <cell r="AJ120">
            <v>0</v>
          </cell>
        </row>
        <row r="121">
          <cell r="A121" t="str">
            <v>TSX:TRP_NEO 1_Target</v>
          </cell>
          <cell r="B121" t="str">
            <v>TSX:TRP</v>
          </cell>
          <cell r="C121" t="str">
            <v>TransCanada Corp.</v>
          </cell>
          <cell r="D121" t="str">
            <v>Target</v>
          </cell>
          <cell r="E121">
            <v>12</v>
          </cell>
          <cell r="F121" t="str">
            <v>CAD</v>
          </cell>
          <cell r="G121">
            <v>1</v>
          </cell>
          <cell r="H121" t="str">
            <v>Alexander Pourbaix</v>
          </cell>
          <cell r="I121" t="str">
            <v>President, Energy &amp; Oil Pipelines</v>
          </cell>
          <cell r="J121" t="str">
            <v>NEO 1</v>
          </cell>
          <cell r="K121">
            <v>32430.09</v>
          </cell>
          <cell r="L121">
            <v>58958.09</v>
          </cell>
          <cell r="M121">
            <v>760834</v>
          </cell>
          <cell r="N121">
            <v>760834</v>
          </cell>
          <cell r="O121" t="str">
            <v>n/d</v>
          </cell>
          <cell r="P121">
            <v>800000</v>
          </cell>
          <cell r="Q121">
            <v>800000</v>
          </cell>
          <cell r="R121">
            <v>1.0514777205014498</v>
          </cell>
          <cell r="S121">
            <v>0.75</v>
          </cell>
          <cell r="T121">
            <v>1.5</v>
          </cell>
          <cell r="U121">
            <v>570625.5</v>
          </cell>
          <cell r="V121">
            <v>1560834</v>
          </cell>
          <cell r="W121">
            <v>1331459.5</v>
          </cell>
          <cell r="X121">
            <v>1902085</v>
          </cell>
          <cell r="Y121">
            <v>1437500</v>
          </cell>
          <cell r="Z121">
            <v>784033.33333333337</v>
          </cell>
          <cell r="AA121">
            <v>0</v>
          </cell>
          <cell r="AB121">
            <v>3.0381674071230229</v>
          </cell>
          <cell r="AC121">
            <v>2311541.0610310379</v>
          </cell>
          <cell r="AD121">
            <v>0</v>
          </cell>
          <cell r="AE121">
            <v>3643000.5610310379</v>
          </cell>
          <cell r="AF121">
            <v>0</v>
          </cell>
          <cell r="AG121">
            <v>0</v>
          </cell>
          <cell r="AH121">
            <v>0</v>
          </cell>
          <cell r="AI121">
            <v>0</v>
          </cell>
          <cell r="AJ121">
            <v>0</v>
          </cell>
        </row>
        <row r="122">
          <cell r="A122" t="str">
            <v>TSX:TRP_NEO 2_2012</v>
          </cell>
          <cell r="B122" t="str">
            <v>TSX:TRP</v>
          </cell>
          <cell r="C122" t="str">
            <v>TransCanada Corp.</v>
          </cell>
          <cell r="D122">
            <v>2012</v>
          </cell>
          <cell r="E122">
            <v>12</v>
          </cell>
          <cell r="F122" t="str">
            <v>CAD</v>
          </cell>
          <cell r="G122">
            <v>1</v>
          </cell>
          <cell r="H122" t="str">
            <v>Gregory Lohnes</v>
          </cell>
          <cell r="I122" t="str">
            <v>President, Natural Gas Pipelines</v>
          </cell>
          <cell r="J122" t="str">
            <v>NEO 2</v>
          </cell>
          <cell r="K122">
            <v>32430.09</v>
          </cell>
          <cell r="L122">
            <v>58958.09</v>
          </cell>
          <cell r="M122">
            <v>530834</v>
          </cell>
          <cell r="N122">
            <v>530834</v>
          </cell>
          <cell r="O122" t="str">
            <v>n/d</v>
          </cell>
          <cell r="P122">
            <v>470000</v>
          </cell>
          <cell r="Q122">
            <v>470000</v>
          </cell>
          <cell r="R122">
            <v>0.88539920201042133</v>
          </cell>
          <cell r="S122">
            <v>0.65</v>
          </cell>
          <cell r="T122">
            <v>1.3</v>
          </cell>
          <cell r="U122">
            <v>345042.10000000003</v>
          </cell>
          <cell r="V122">
            <v>1000834</v>
          </cell>
          <cell r="W122">
            <v>875876.1</v>
          </cell>
          <cell r="X122">
            <v>1220918.2</v>
          </cell>
          <cell r="Y122">
            <v>562500</v>
          </cell>
          <cell r="Z122">
            <v>562500</v>
          </cell>
          <cell r="AA122">
            <v>1125000</v>
          </cell>
          <cell r="AB122">
            <v>2.1193066005568597</v>
          </cell>
          <cell r="AC122">
            <v>1125000</v>
          </cell>
          <cell r="AD122">
            <v>2125834</v>
          </cell>
          <cell r="AE122">
            <v>0</v>
          </cell>
          <cell r="AF122" t="str">
            <v>Gregory Lohnes was appointed EVP, Operations and Major Projects on November 1, 2012. The data recorded represents the compensation for his previous position as he was not promooted until the end of 2012.</v>
          </cell>
          <cell r="AH122" t="str">
            <v>2X base salary</v>
          </cell>
          <cell r="AI122" t="str">
            <v>5 years</v>
          </cell>
          <cell r="AJ122">
            <v>0</v>
          </cell>
        </row>
        <row r="123">
          <cell r="A123" t="str">
            <v>TSX:TRP_NEO 2_2011</v>
          </cell>
          <cell r="B123" t="str">
            <v>TSX:TRP</v>
          </cell>
          <cell r="C123" t="str">
            <v>TransCanada Corp.</v>
          </cell>
          <cell r="D123">
            <v>2011</v>
          </cell>
          <cell r="E123">
            <v>12</v>
          </cell>
          <cell r="F123" t="str">
            <v>CAD</v>
          </cell>
          <cell r="G123">
            <v>1</v>
          </cell>
          <cell r="H123" t="str">
            <v>Gregory Lohnes</v>
          </cell>
          <cell r="I123" t="str">
            <v>President, Natural Gas Pipelines</v>
          </cell>
          <cell r="J123" t="str">
            <v>NEO 2</v>
          </cell>
          <cell r="K123">
            <v>32430.09</v>
          </cell>
          <cell r="L123">
            <v>58958.09</v>
          </cell>
          <cell r="M123">
            <v>508334</v>
          </cell>
          <cell r="N123">
            <v>508334</v>
          </cell>
          <cell r="O123">
            <v>0</v>
          </cell>
          <cell r="P123">
            <v>550000</v>
          </cell>
          <cell r="Q123">
            <v>550000</v>
          </cell>
          <cell r="R123">
            <v>1.0819657941432208</v>
          </cell>
          <cell r="S123">
            <v>0</v>
          </cell>
          <cell r="T123">
            <v>0</v>
          </cell>
          <cell r="U123">
            <v>0</v>
          </cell>
          <cell r="V123">
            <v>0</v>
          </cell>
          <cell r="W123">
            <v>0</v>
          </cell>
          <cell r="X123">
            <v>0</v>
          </cell>
          <cell r="Y123">
            <v>822375</v>
          </cell>
          <cell r="Z123">
            <v>274125</v>
          </cell>
          <cell r="AA123">
            <v>1096500</v>
          </cell>
          <cell r="AB123">
            <v>2.1570463514146212</v>
          </cell>
          <cell r="AC123">
            <v>1096500</v>
          </cell>
          <cell r="AD123">
            <v>2154834</v>
          </cell>
          <cell r="AE123">
            <v>0</v>
          </cell>
          <cell r="AH123">
            <v>0</v>
          </cell>
          <cell r="AI123">
            <v>0</v>
          </cell>
          <cell r="AJ123">
            <v>0</v>
          </cell>
        </row>
        <row r="124">
          <cell r="A124" t="str">
            <v>TSX:TRP_NEO 2_2010</v>
          </cell>
          <cell r="B124" t="str">
            <v>TSX:TRP</v>
          </cell>
          <cell r="C124" t="str">
            <v>TransCanada Corp.</v>
          </cell>
          <cell r="D124">
            <v>2010</v>
          </cell>
          <cell r="E124">
            <v>12</v>
          </cell>
          <cell r="F124" t="str">
            <v>CAD</v>
          </cell>
          <cell r="G124">
            <v>1</v>
          </cell>
          <cell r="H124" t="str">
            <v>Gregory Lohnes</v>
          </cell>
          <cell r="I124" t="str">
            <v>President, Natural Gas Pipelines</v>
          </cell>
          <cell r="J124" t="str">
            <v>NEO 2</v>
          </cell>
          <cell r="K124">
            <v>32430.09</v>
          </cell>
          <cell r="L124">
            <v>58958.09</v>
          </cell>
          <cell r="M124">
            <v>465006</v>
          </cell>
          <cell r="N124">
            <v>465006</v>
          </cell>
          <cell r="O124">
            <v>0</v>
          </cell>
          <cell r="P124">
            <v>570000</v>
          </cell>
          <cell r="Q124">
            <v>570000</v>
          </cell>
          <cell r="R124">
            <v>1.2257906349595489</v>
          </cell>
          <cell r="S124">
            <v>0</v>
          </cell>
          <cell r="T124">
            <v>0</v>
          </cell>
          <cell r="U124">
            <v>0</v>
          </cell>
          <cell r="V124">
            <v>0</v>
          </cell>
          <cell r="W124">
            <v>0</v>
          </cell>
          <cell r="X124">
            <v>0</v>
          </cell>
          <cell r="Y124">
            <v>615000</v>
          </cell>
          <cell r="Z124">
            <v>354600</v>
          </cell>
          <cell r="AA124">
            <v>969600</v>
          </cell>
          <cell r="AB124">
            <v>2.0851343853627693</v>
          </cell>
          <cell r="AC124">
            <v>969600</v>
          </cell>
          <cell r="AD124">
            <v>2004606</v>
          </cell>
          <cell r="AE124">
            <v>0</v>
          </cell>
          <cell r="AH124">
            <v>0</v>
          </cell>
          <cell r="AI124">
            <v>0</v>
          </cell>
          <cell r="AJ124">
            <v>0</v>
          </cell>
        </row>
        <row r="125">
          <cell r="A125" t="str">
            <v>TSX:TRP_NEO 2_Target</v>
          </cell>
          <cell r="B125" t="str">
            <v>TSX:TRP</v>
          </cell>
          <cell r="C125" t="str">
            <v>TransCanada Corp.</v>
          </cell>
          <cell r="D125" t="str">
            <v>Target</v>
          </cell>
          <cell r="E125">
            <v>12</v>
          </cell>
          <cell r="F125" t="str">
            <v>CAD</v>
          </cell>
          <cell r="G125">
            <v>1</v>
          </cell>
          <cell r="H125" t="str">
            <v>Gregory Lohnes</v>
          </cell>
          <cell r="I125" t="str">
            <v>President, Natural Gas Pipelines</v>
          </cell>
          <cell r="J125" t="str">
            <v>NEO 2</v>
          </cell>
          <cell r="K125">
            <v>32430.09</v>
          </cell>
          <cell r="L125">
            <v>58958.09</v>
          </cell>
          <cell r="M125">
            <v>530834</v>
          </cell>
          <cell r="N125">
            <v>530834</v>
          </cell>
          <cell r="O125" t="str">
            <v>n/d</v>
          </cell>
          <cell r="P125">
            <v>470000</v>
          </cell>
          <cell r="Q125">
            <v>470000</v>
          </cell>
          <cell r="R125">
            <v>0.88539920201042133</v>
          </cell>
          <cell r="S125">
            <v>0.65</v>
          </cell>
          <cell r="T125">
            <v>1.3</v>
          </cell>
          <cell r="U125">
            <v>345042.10000000003</v>
          </cell>
          <cell r="V125">
            <v>1000834</v>
          </cell>
          <cell r="W125">
            <v>875876.1</v>
          </cell>
          <cell r="X125">
            <v>1220918.2</v>
          </cell>
          <cell r="Y125">
            <v>666625</v>
          </cell>
          <cell r="Z125">
            <v>397075</v>
          </cell>
          <cell r="AA125">
            <v>0</v>
          </cell>
          <cell r="AB125">
            <v>2.1204957791114167</v>
          </cell>
          <cell r="AC125">
            <v>1125631.2564088297</v>
          </cell>
          <cell r="AD125">
            <v>0</v>
          </cell>
          <cell r="AE125">
            <v>2001507.3564088298</v>
          </cell>
          <cell r="AF125" t="str">
            <v>Gregory Lohnes was appointed EVP, Operations and Major Projects on November 1, 2012. The data recorded represents the compensation for his previous position as he was not promooted until the end of 2012.</v>
          </cell>
          <cell r="AG125">
            <v>0</v>
          </cell>
          <cell r="AH125">
            <v>0</v>
          </cell>
          <cell r="AI125">
            <v>0</v>
          </cell>
          <cell r="AJ125">
            <v>0</v>
          </cell>
        </row>
        <row r="126">
          <cell r="A126" t="str">
            <v>TSX:TRP_NEO 3_2012</v>
          </cell>
          <cell r="B126" t="str">
            <v>TSX:TRP</v>
          </cell>
          <cell r="C126" t="str">
            <v>TransCanada Corp.</v>
          </cell>
          <cell r="D126">
            <v>2012</v>
          </cell>
          <cell r="E126">
            <v>12</v>
          </cell>
          <cell r="F126" t="str">
            <v>CAD</v>
          </cell>
          <cell r="G126">
            <v>1</v>
          </cell>
          <cell r="H126" t="str">
            <v>Karl Johannson</v>
          </cell>
          <cell r="I126" t="str">
            <v>SVP, Canadian and Eastern U.S. Gas Pipelines</v>
          </cell>
          <cell r="J126" t="str">
            <v>NEO 3</v>
          </cell>
          <cell r="K126">
            <v>32430.09</v>
          </cell>
          <cell r="L126">
            <v>58958.09</v>
          </cell>
          <cell r="M126">
            <v>540000</v>
          </cell>
          <cell r="N126">
            <v>540000</v>
          </cell>
          <cell r="O126" t="str">
            <v>n/d</v>
          </cell>
          <cell r="P126">
            <v>405000</v>
          </cell>
          <cell r="Q126">
            <v>405000</v>
          </cell>
          <cell r="R126">
            <v>0.75</v>
          </cell>
          <cell r="S126">
            <v>0.65</v>
          </cell>
          <cell r="T126">
            <v>1.3</v>
          </cell>
          <cell r="U126">
            <v>351000</v>
          </cell>
          <cell r="V126">
            <v>945000</v>
          </cell>
          <cell r="W126">
            <v>891000</v>
          </cell>
          <cell r="X126">
            <v>1242000</v>
          </cell>
          <cell r="Y126">
            <v>353333</v>
          </cell>
          <cell r="Z126">
            <v>426667</v>
          </cell>
          <cell r="AA126">
            <v>780000</v>
          </cell>
          <cell r="AB126">
            <v>1.4444444444444444</v>
          </cell>
          <cell r="AC126">
            <v>780000</v>
          </cell>
          <cell r="AD126">
            <v>1725000</v>
          </cell>
          <cell r="AE126">
            <v>0</v>
          </cell>
          <cell r="AF126" t="str">
            <v>Karl Johannson was appointed President, Natural Gas Pipelines on November 1, 2012. Prior thereto, he was SVP, Canadian and Eastern U.S. Gas Pipelines. The data recorded represents his compensation for his previous positionb as he was not promoted until the end of 2012.</v>
          </cell>
          <cell r="AH126" t="str">
            <v>1X base salary</v>
          </cell>
          <cell r="AI126" t="str">
            <v>5 years</v>
          </cell>
          <cell r="AJ126">
            <v>0</v>
          </cell>
        </row>
        <row r="127">
          <cell r="A127" t="str">
            <v>TSX:TRP_NEO 3_2011</v>
          </cell>
          <cell r="B127" t="str">
            <v>TSX:TRP</v>
          </cell>
          <cell r="C127" t="str">
            <v>TransCanada Corp.</v>
          </cell>
          <cell r="D127">
            <v>2011</v>
          </cell>
          <cell r="E127">
            <v>12</v>
          </cell>
          <cell r="F127" t="str">
            <v>CAD</v>
          </cell>
          <cell r="G127">
            <v>1</v>
          </cell>
          <cell r="H127" t="str">
            <v>Karl Johannson</v>
          </cell>
          <cell r="I127" t="str">
            <v>SVP, Canadian and Eastern U.S. Gas Pipelines</v>
          </cell>
          <cell r="J127" t="str">
            <v>NEO 3</v>
          </cell>
          <cell r="K127">
            <v>32430.09</v>
          </cell>
          <cell r="L127">
            <v>58958.09</v>
          </cell>
          <cell r="M127">
            <v>600000</v>
          </cell>
          <cell r="N127">
            <v>600000</v>
          </cell>
          <cell r="O127">
            <v>0</v>
          </cell>
          <cell r="P127">
            <v>512500</v>
          </cell>
          <cell r="Q127">
            <v>512500</v>
          </cell>
          <cell r="R127">
            <v>0.85416666666666663</v>
          </cell>
          <cell r="S127">
            <v>0</v>
          </cell>
          <cell r="T127">
            <v>0</v>
          </cell>
          <cell r="U127">
            <v>0</v>
          </cell>
          <cell r="V127">
            <v>0</v>
          </cell>
          <cell r="W127">
            <v>0</v>
          </cell>
          <cell r="X127">
            <v>0</v>
          </cell>
          <cell r="Y127">
            <v>417600</v>
          </cell>
          <cell r="Z127">
            <v>104400</v>
          </cell>
          <cell r="AA127">
            <v>522000</v>
          </cell>
          <cell r="AB127">
            <v>0.87</v>
          </cell>
          <cell r="AC127">
            <v>522000</v>
          </cell>
          <cell r="AD127">
            <v>1634500</v>
          </cell>
          <cell r="AE127">
            <v>0</v>
          </cell>
          <cell r="AH127">
            <v>0</v>
          </cell>
          <cell r="AI127">
            <v>0</v>
          </cell>
          <cell r="AJ127">
            <v>0</v>
          </cell>
        </row>
        <row r="128">
          <cell r="A128" t="str">
            <v>TSX:TRP_NEO 3_2010</v>
          </cell>
          <cell r="B128" t="str">
            <v>TSX:TRP</v>
          </cell>
          <cell r="C128" t="str">
            <v>TransCanada Corp.</v>
          </cell>
          <cell r="D128">
            <v>2010</v>
          </cell>
          <cell r="E128">
            <v>12</v>
          </cell>
          <cell r="F128" t="str">
            <v>CAD</v>
          </cell>
          <cell r="G128">
            <v>1</v>
          </cell>
          <cell r="H128" t="str">
            <v>Karl Johannson</v>
          </cell>
          <cell r="I128" t="str">
            <v>SVP, Canadian and Eastern U.S. Gas Pipelines</v>
          </cell>
          <cell r="J128" t="str">
            <v>NEO 3</v>
          </cell>
          <cell r="K128">
            <v>32430.09</v>
          </cell>
          <cell r="L128">
            <v>58958.09</v>
          </cell>
          <cell r="M128">
            <v>587502</v>
          </cell>
          <cell r="N128">
            <v>587502</v>
          </cell>
          <cell r="O128">
            <v>0</v>
          </cell>
          <cell r="P128">
            <v>451250</v>
          </cell>
          <cell r="Q128">
            <v>451250</v>
          </cell>
          <cell r="R128">
            <v>0.76808249163407105</v>
          </cell>
          <cell r="S128">
            <v>0</v>
          </cell>
          <cell r="T128">
            <v>0</v>
          </cell>
          <cell r="U128">
            <v>0</v>
          </cell>
          <cell r="V128">
            <v>0</v>
          </cell>
          <cell r="W128">
            <v>0</v>
          </cell>
          <cell r="X128">
            <v>0</v>
          </cell>
          <cell r="Y128">
            <v>400000</v>
          </cell>
          <cell r="Z128">
            <v>100000</v>
          </cell>
          <cell r="AA128">
            <v>500000</v>
          </cell>
          <cell r="AB128">
            <v>0.85106093255852744</v>
          </cell>
          <cell r="AC128">
            <v>500000</v>
          </cell>
          <cell r="AD128">
            <v>1538752</v>
          </cell>
          <cell r="AE128">
            <v>0</v>
          </cell>
          <cell r="AH128">
            <v>0</v>
          </cell>
          <cell r="AI128">
            <v>0</v>
          </cell>
          <cell r="AJ128">
            <v>0</v>
          </cell>
        </row>
        <row r="129">
          <cell r="A129" t="str">
            <v>TSX:TRP_NEO 3_Target</v>
          </cell>
          <cell r="B129" t="str">
            <v>TSX:TRP</v>
          </cell>
          <cell r="C129" t="str">
            <v>TransCanada Corp.</v>
          </cell>
          <cell r="D129" t="str">
            <v>Target</v>
          </cell>
          <cell r="E129">
            <v>12</v>
          </cell>
          <cell r="F129" t="str">
            <v>CAD</v>
          </cell>
          <cell r="G129">
            <v>1</v>
          </cell>
          <cell r="H129" t="str">
            <v>Karl Johannson</v>
          </cell>
          <cell r="I129" t="str">
            <v>SVP, Canadian and Eastern U.S. Gas Pipelines</v>
          </cell>
          <cell r="J129" t="str">
            <v>NEO 3</v>
          </cell>
          <cell r="K129">
            <v>32430.09</v>
          </cell>
          <cell r="L129">
            <v>58958.09</v>
          </cell>
          <cell r="M129">
            <v>540000</v>
          </cell>
          <cell r="N129">
            <v>540000</v>
          </cell>
          <cell r="O129" t="str">
            <v>n/d</v>
          </cell>
          <cell r="P129">
            <v>405000</v>
          </cell>
          <cell r="Q129">
            <v>405000</v>
          </cell>
          <cell r="R129">
            <v>0.75</v>
          </cell>
          <cell r="S129">
            <v>0.65</v>
          </cell>
          <cell r="T129">
            <v>1.3</v>
          </cell>
          <cell r="U129">
            <v>351000</v>
          </cell>
          <cell r="V129">
            <v>945000</v>
          </cell>
          <cell r="W129">
            <v>891000</v>
          </cell>
          <cell r="X129">
            <v>1242000</v>
          </cell>
          <cell r="Y129">
            <v>390311</v>
          </cell>
          <cell r="Z129">
            <v>210355.66666666666</v>
          </cell>
          <cell r="AA129">
            <v>0</v>
          </cell>
          <cell r="AB129">
            <v>1.0551684590009904</v>
          </cell>
          <cell r="AC129">
            <v>569790.96786053479</v>
          </cell>
          <cell r="AD129">
            <v>0</v>
          </cell>
          <cell r="AE129">
            <v>1460790.9678605348</v>
          </cell>
          <cell r="AF129" t="str">
            <v>Karl Johannson was appointed President, Natural Gas Pipelines on November 1, 2012. Prior thereto, he was SVP, Canadian and Eastern U.S. Gas Pipelines. The data recorded represents his compensation for his previous positionb as he was not promoted until the end of 2012.</v>
          </cell>
          <cell r="AG129">
            <v>0</v>
          </cell>
          <cell r="AH129">
            <v>0</v>
          </cell>
          <cell r="AI129">
            <v>0</v>
          </cell>
          <cell r="AJ129">
            <v>0</v>
          </cell>
        </row>
        <row r="130">
          <cell r="A130" t="str">
            <v>TSX:GEI_CEO_2012</v>
          </cell>
          <cell r="B130" t="str">
            <v>TSX:GEI</v>
          </cell>
          <cell r="C130" t="str">
            <v>Gibson Energy Inc.</v>
          </cell>
          <cell r="D130">
            <v>2012</v>
          </cell>
          <cell r="E130">
            <v>12</v>
          </cell>
          <cell r="F130" t="str">
            <v>CAD</v>
          </cell>
          <cell r="G130">
            <v>1</v>
          </cell>
          <cell r="H130" t="str">
            <v>Stewart Hanlon</v>
          </cell>
          <cell r="I130" t="str">
            <v>President and CEO</v>
          </cell>
          <cell r="J130" t="str">
            <v>CEO</v>
          </cell>
          <cell r="K130">
            <v>2940.2460799999999</v>
          </cell>
          <cell r="L130">
            <v>3559.7560800000001</v>
          </cell>
          <cell r="M130">
            <v>500000</v>
          </cell>
          <cell r="N130">
            <v>500000</v>
          </cell>
          <cell r="O130">
            <v>500000</v>
          </cell>
          <cell r="P130">
            <v>750000</v>
          </cell>
          <cell r="Q130">
            <v>750000</v>
          </cell>
          <cell r="R130">
            <v>1.5</v>
          </cell>
          <cell r="S130" t="str">
            <v>n/d</v>
          </cell>
          <cell r="T130">
            <v>1</v>
          </cell>
          <cell r="U130" t="str">
            <v>input</v>
          </cell>
          <cell r="V130">
            <v>1250000</v>
          </cell>
          <cell r="W130" t="str">
            <v>input</v>
          </cell>
          <cell r="X130">
            <v>1000000</v>
          </cell>
          <cell r="Y130">
            <v>297482</v>
          </cell>
          <cell r="Z130">
            <v>0</v>
          </cell>
          <cell r="AA130">
            <v>297482</v>
          </cell>
          <cell r="AB130">
            <v>0.59496400000000005</v>
          </cell>
          <cell r="AC130">
            <v>297482</v>
          </cell>
          <cell r="AD130">
            <v>1547482</v>
          </cell>
          <cell r="AE130">
            <v>0</v>
          </cell>
          <cell r="AG130" t="str">
            <v>Option grants recorded in 2011 for all NEOs have been excluded, as these were not new grants, rather, they were replacement grants following the Company's IPO and therefore do not represent new value.</v>
          </cell>
          <cell r="AH130" t="str">
            <v>6X base salary</v>
          </cell>
          <cell r="AI130" t="str">
            <v>3 years</v>
          </cell>
          <cell r="AJ130">
            <v>0</v>
          </cell>
        </row>
        <row r="131">
          <cell r="A131" t="str">
            <v>TSX:GEI_CEO_2011</v>
          </cell>
          <cell r="B131" t="str">
            <v>TSX:GEI</v>
          </cell>
          <cell r="C131" t="str">
            <v>Gibson Energy Inc.</v>
          </cell>
          <cell r="D131">
            <v>2011</v>
          </cell>
          <cell r="E131">
            <v>12</v>
          </cell>
          <cell r="F131" t="str">
            <v>CAD</v>
          </cell>
          <cell r="G131">
            <v>1</v>
          </cell>
          <cell r="H131" t="str">
            <v>Stewart Hanlon</v>
          </cell>
          <cell r="I131" t="str">
            <v>President and CEO</v>
          </cell>
          <cell r="J131" t="str">
            <v>CEO</v>
          </cell>
          <cell r="K131">
            <v>2940.2460799999999</v>
          </cell>
          <cell r="L131">
            <v>3559.7560800000001</v>
          </cell>
          <cell r="M131">
            <v>421750</v>
          </cell>
          <cell r="N131">
            <v>421750</v>
          </cell>
          <cell r="O131">
            <v>0</v>
          </cell>
          <cell r="P131">
            <v>650000</v>
          </cell>
          <cell r="Q131">
            <v>650000</v>
          </cell>
          <cell r="R131">
            <v>1.5411973918197985</v>
          </cell>
          <cell r="S131">
            <v>0</v>
          </cell>
          <cell r="T131">
            <v>0</v>
          </cell>
          <cell r="U131">
            <v>0</v>
          </cell>
          <cell r="V131">
            <v>0</v>
          </cell>
          <cell r="W131">
            <v>0</v>
          </cell>
          <cell r="X131">
            <v>0</v>
          </cell>
          <cell r="Y131">
            <v>0</v>
          </cell>
          <cell r="Z131">
            <v>252227</v>
          </cell>
          <cell r="AA131">
            <v>252227</v>
          </cell>
          <cell r="AB131">
            <v>0.59804860699466511</v>
          </cell>
          <cell r="AC131">
            <v>252227</v>
          </cell>
          <cell r="AD131">
            <v>1323977</v>
          </cell>
          <cell r="AE131">
            <v>0</v>
          </cell>
          <cell r="AH131">
            <v>0</v>
          </cell>
          <cell r="AI131">
            <v>0</v>
          </cell>
          <cell r="AJ131">
            <v>0</v>
          </cell>
        </row>
        <row r="132">
          <cell r="A132" t="str">
            <v>TSX:GEI__2010</v>
          </cell>
          <cell r="B132" t="str">
            <v>TSX:GEI</v>
          </cell>
          <cell r="C132" t="str">
            <v>Gibson Energy Inc.</v>
          </cell>
          <cell r="D132">
            <v>2010</v>
          </cell>
          <cell r="E132">
            <v>12</v>
          </cell>
          <cell r="F132" t="str">
            <v>CAD</v>
          </cell>
          <cell r="G132">
            <v>1</v>
          </cell>
          <cell r="K132">
            <v>2940.2460799999999</v>
          </cell>
          <cell r="L132">
            <v>3559.7560800000001</v>
          </cell>
          <cell r="M132">
            <v>0</v>
          </cell>
          <cell r="N132">
            <v>0</v>
          </cell>
          <cell r="O132">
            <v>0</v>
          </cell>
          <cell r="P132">
            <v>0</v>
          </cell>
          <cell r="Q132">
            <v>0</v>
          </cell>
          <cell r="R132" t="str">
            <v>input</v>
          </cell>
          <cell r="S132">
            <v>0</v>
          </cell>
          <cell r="T132">
            <v>0</v>
          </cell>
          <cell r="U132">
            <v>0</v>
          </cell>
          <cell r="V132">
            <v>0</v>
          </cell>
          <cell r="W132">
            <v>0</v>
          </cell>
          <cell r="X132">
            <v>0</v>
          </cell>
          <cell r="Y132">
            <v>0</v>
          </cell>
          <cell r="Z132">
            <v>0</v>
          </cell>
          <cell r="AA132">
            <v>0</v>
          </cell>
          <cell r="AB132" t="str">
            <v>input</v>
          </cell>
          <cell r="AC132">
            <v>0</v>
          </cell>
          <cell r="AD132">
            <v>0</v>
          </cell>
          <cell r="AE132">
            <v>0</v>
          </cell>
          <cell r="AG132" t="str">
            <v xml:space="preserve"> </v>
          </cell>
          <cell r="AH132">
            <v>0</v>
          </cell>
          <cell r="AI132">
            <v>0</v>
          </cell>
          <cell r="AJ132">
            <v>0</v>
          </cell>
        </row>
        <row r="133">
          <cell r="A133" t="str">
            <v>TSX:GEI_CEO_Target</v>
          </cell>
          <cell r="B133" t="str">
            <v>TSX:GEI</v>
          </cell>
          <cell r="C133" t="str">
            <v>Gibson Energy Inc.</v>
          </cell>
          <cell r="D133" t="str">
            <v>Target</v>
          </cell>
          <cell r="E133">
            <v>12</v>
          </cell>
          <cell r="F133" t="str">
            <v>CAD</v>
          </cell>
          <cell r="G133">
            <v>1</v>
          </cell>
          <cell r="H133" t="str">
            <v>Stewart Hanlon</v>
          </cell>
          <cell r="I133" t="str">
            <v>President and CEO</v>
          </cell>
          <cell r="J133" t="str">
            <v>CEO</v>
          </cell>
          <cell r="K133">
            <v>2940.2460799999999</v>
          </cell>
          <cell r="L133">
            <v>3559.7560800000001</v>
          </cell>
          <cell r="M133">
            <v>500000</v>
          </cell>
          <cell r="N133">
            <v>500000</v>
          </cell>
          <cell r="O133">
            <v>500000</v>
          </cell>
          <cell r="P133">
            <v>750000</v>
          </cell>
          <cell r="Q133">
            <v>750000</v>
          </cell>
          <cell r="R133">
            <v>1.5</v>
          </cell>
          <cell r="S133">
            <v>1.5205986959098992</v>
          </cell>
          <cell r="T133">
            <v>1</v>
          </cell>
          <cell r="U133">
            <v>760299.3479549496</v>
          </cell>
          <cell r="V133">
            <v>1250000</v>
          </cell>
          <cell r="W133">
            <v>1260299.3479549496</v>
          </cell>
          <cell r="X133">
            <v>1000000</v>
          </cell>
          <cell r="Y133">
            <v>148741</v>
          </cell>
          <cell r="Z133">
            <v>126113.5</v>
          </cell>
          <cell r="AA133">
            <v>0</v>
          </cell>
          <cell r="AB133">
            <v>0.59650630349733258</v>
          </cell>
          <cell r="AC133">
            <v>298253.15174866631</v>
          </cell>
          <cell r="AD133">
            <v>0</v>
          </cell>
          <cell r="AE133">
            <v>1558552.4997036159</v>
          </cell>
          <cell r="AF133">
            <v>0</v>
          </cell>
          <cell r="AG133">
            <v>0</v>
          </cell>
          <cell r="AH133">
            <v>0</v>
          </cell>
          <cell r="AI133">
            <v>0</v>
          </cell>
          <cell r="AJ133">
            <v>0</v>
          </cell>
        </row>
        <row r="134">
          <cell r="A134" t="str">
            <v>TSX:GEI_CFO_2012</v>
          </cell>
          <cell r="B134" t="str">
            <v>TSX:GEI</v>
          </cell>
          <cell r="C134" t="str">
            <v>Gibson Energy Inc.</v>
          </cell>
          <cell r="D134">
            <v>2012</v>
          </cell>
          <cell r="E134">
            <v>12</v>
          </cell>
          <cell r="F134" t="str">
            <v>CAD</v>
          </cell>
          <cell r="G134">
            <v>1</v>
          </cell>
          <cell r="H134" t="str">
            <v>Donald Fowlis</v>
          </cell>
          <cell r="I134" t="str">
            <v>CFO</v>
          </cell>
          <cell r="J134" t="str">
            <v>CFO</v>
          </cell>
          <cell r="K134">
            <v>2940.2460799999999</v>
          </cell>
          <cell r="L134">
            <v>3559.7560800000001</v>
          </cell>
          <cell r="M134">
            <v>300000</v>
          </cell>
          <cell r="N134">
            <v>300000</v>
          </cell>
          <cell r="O134">
            <v>300000</v>
          </cell>
          <cell r="P134">
            <v>200000</v>
          </cell>
          <cell r="Q134">
            <v>200000</v>
          </cell>
          <cell r="R134">
            <v>0.66666666666666663</v>
          </cell>
          <cell r="S134" t="str">
            <v>n/d</v>
          </cell>
          <cell r="T134">
            <v>1</v>
          </cell>
          <cell r="U134" t="str">
            <v>input</v>
          </cell>
          <cell r="V134">
            <v>500000</v>
          </cell>
          <cell r="W134" t="str">
            <v>input</v>
          </cell>
          <cell r="X134">
            <v>600000</v>
          </cell>
          <cell r="Y134">
            <v>87497</v>
          </cell>
          <cell r="Z134">
            <v>0</v>
          </cell>
          <cell r="AA134">
            <v>87497</v>
          </cell>
          <cell r="AB134">
            <v>0.29165666666666668</v>
          </cell>
          <cell r="AC134">
            <v>87497</v>
          </cell>
          <cell r="AD134">
            <v>587497</v>
          </cell>
          <cell r="AE134">
            <v>0</v>
          </cell>
          <cell r="AF134" t="str">
            <v xml:space="preserve">Mr. Fowlis was on a health-related leave of absence for approximately four months during 2012. As such, STIP and LTIP values prior to 2011 have not been included in taregt calculations. </v>
          </cell>
          <cell r="AH134" t="str">
            <v>2X base salary</v>
          </cell>
          <cell r="AI134" t="str">
            <v>3 years</v>
          </cell>
          <cell r="AJ134">
            <v>0</v>
          </cell>
        </row>
        <row r="135">
          <cell r="A135" t="str">
            <v>TSX:GEI_CFO_2011</v>
          </cell>
          <cell r="B135" t="str">
            <v>TSX:GEI</v>
          </cell>
          <cell r="C135" t="str">
            <v>Gibson Energy Inc.</v>
          </cell>
          <cell r="D135">
            <v>2011</v>
          </cell>
          <cell r="E135">
            <v>12</v>
          </cell>
          <cell r="F135" t="str">
            <v>CAD</v>
          </cell>
          <cell r="G135">
            <v>1</v>
          </cell>
          <cell r="H135" t="str">
            <v>Donald Fowlis</v>
          </cell>
          <cell r="I135" t="str">
            <v>CFO</v>
          </cell>
          <cell r="J135" t="str">
            <v>CFO</v>
          </cell>
          <cell r="K135">
            <v>2940.2460799999999</v>
          </cell>
          <cell r="L135">
            <v>3559.7560800000001</v>
          </cell>
          <cell r="M135">
            <v>248250</v>
          </cell>
          <cell r="N135">
            <v>248250</v>
          </cell>
          <cell r="O135">
            <v>0</v>
          </cell>
          <cell r="P135">
            <v>225000</v>
          </cell>
          <cell r="Q135">
            <v>225000</v>
          </cell>
          <cell r="R135">
            <v>0.90634441087613293</v>
          </cell>
          <cell r="S135">
            <v>0</v>
          </cell>
          <cell r="T135">
            <v>0</v>
          </cell>
          <cell r="U135">
            <v>0</v>
          </cell>
          <cell r="V135">
            <v>0</v>
          </cell>
          <cell r="W135">
            <v>0</v>
          </cell>
          <cell r="X135">
            <v>0</v>
          </cell>
          <cell r="Y135">
            <v>0</v>
          </cell>
          <cell r="Z135">
            <v>252227</v>
          </cell>
          <cell r="AA135">
            <v>252227</v>
          </cell>
          <cell r="AB135">
            <v>1.0160201409869083</v>
          </cell>
          <cell r="AC135">
            <v>252227</v>
          </cell>
          <cell r="AD135">
            <v>725477</v>
          </cell>
          <cell r="AE135">
            <v>0</v>
          </cell>
          <cell r="AH135">
            <v>0</v>
          </cell>
          <cell r="AI135">
            <v>0</v>
          </cell>
          <cell r="AJ135">
            <v>0</v>
          </cell>
        </row>
        <row r="136">
          <cell r="A136" t="str">
            <v>TSX:GEI__2010</v>
          </cell>
          <cell r="B136" t="str">
            <v>TSX:GEI</v>
          </cell>
          <cell r="C136" t="str">
            <v>Gibson Energy Inc.</v>
          </cell>
          <cell r="D136">
            <v>2010</v>
          </cell>
          <cell r="E136">
            <v>12</v>
          </cell>
          <cell r="F136" t="str">
            <v>CAD</v>
          </cell>
          <cell r="G136">
            <v>1</v>
          </cell>
          <cell r="K136">
            <v>2940.2460799999999</v>
          </cell>
          <cell r="L136">
            <v>3559.7560800000001</v>
          </cell>
          <cell r="M136">
            <v>0</v>
          </cell>
          <cell r="N136">
            <v>0</v>
          </cell>
          <cell r="O136">
            <v>0</v>
          </cell>
          <cell r="P136">
            <v>0</v>
          </cell>
          <cell r="Q136">
            <v>0</v>
          </cell>
          <cell r="R136" t="str">
            <v>input</v>
          </cell>
          <cell r="S136">
            <v>0</v>
          </cell>
          <cell r="T136">
            <v>0</v>
          </cell>
          <cell r="U136">
            <v>0</v>
          </cell>
          <cell r="V136">
            <v>0</v>
          </cell>
          <cell r="W136">
            <v>0</v>
          </cell>
          <cell r="X136">
            <v>0</v>
          </cell>
          <cell r="Y136">
            <v>0</v>
          </cell>
          <cell r="Z136">
            <v>0</v>
          </cell>
          <cell r="AA136">
            <v>0</v>
          </cell>
          <cell r="AB136" t="str">
            <v>input</v>
          </cell>
          <cell r="AC136">
            <v>0</v>
          </cell>
          <cell r="AD136">
            <v>0</v>
          </cell>
          <cell r="AE136">
            <v>0</v>
          </cell>
          <cell r="AH136">
            <v>0</v>
          </cell>
          <cell r="AI136">
            <v>0</v>
          </cell>
          <cell r="AJ136">
            <v>0</v>
          </cell>
        </row>
        <row r="137">
          <cell r="A137" t="str">
            <v>TSX:GEI_CFO_Target</v>
          </cell>
          <cell r="B137" t="str">
            <v>TSX:GEI</v>
          </cell>
          <cell r="C137" t="str">
            <v>Gibson Energy Inc.</v>
          </cell>
          <cell r="D137" t="str">
            <v>Target</v>
          </cell>
          <cell r="E137">
            <v>12</v>
          </cell>
          <cell r="F137" t="str">
            <v>CAD</v>
          </cell>
          <cell r="G137">
            <v>1</v>
          </cell>
          <cell r="H137" t="str">
            <v>Donald Fowlis</v>
          </cell>
          <cell r="I137" t="str">
            <v>CFO</v>
          </cell>
          <cell r="J137" t="str">
            <v>CFO</v>
          </cell>
          <cell r="K137">
            <v>2940.2460799999999</v>
          </cell>
          <cell r="L137">
            <v>3559.7560800000001</v>
          </cell>
          <cell r="M137">
            <v>300000</v>
          </cell>
          <cell r="N137">
            <v>300000</v>
          </cell>
          <cell r="O137">
            <v>300000</v>
          </cell>
          <cell r="P137">
            <v>200000</v>
          </cell>
          <cell r="Q137">
            <v>200000</v>
          </cell>
          <cell r="R137">
            <v>0.66666666666666663</v>
          </cell>
          <cell r="S137">
            <v>0.78650553877139973</v>
          </cell>
          <cell r="T137">
            <v>1</v>
          </cell>
          <cell r="U137">
            <v>235951.66163141991</v>
          </cell>
          <cell r="V137">
            <v>500000</v>
          </cell>
          <cell r="W137">
            <v>535951.66163141991</v>
          </cell>
          <cell r="X137">
            <v>600000</v>
          </cell>
          <cell r="Y137">
            <v>43748.5</v>
          </cell>
          <cell r="Z137">
            <v>126113.5</v>
          </cell>
          <cell r="AA137">
            <v>0</v>
          </cell>
          <cell r="AB137">
            <v>0.65383840382678748</v>
          </cell>
          <cell r="AC137">
            <v>196151.52114803623</v>
          </cell>
          <cell r="AD137">
            <v>0</v>
          </cell>
          <cell r="AE137">
            <v>732103.18277945614</v>
          </cell>
          <cell r="AF137" t="str">
            <v xml:space="preserve">Mr. Fowlis was on a health-related leave of absence for approximately four months during 2012. As such, STIP and LTIP values prior to 2011 have not been included in taregt calculations. </v>
          </cell>
          <cell r="AG137">
            <v>0</v>
          </cell>
          <cell r="AH137">
            <v>0</v>
          </cell>
          <cell r="AI137">
            <v>0</v>
          </cell>
          <cell r="AJ137">
            <v>0</v>
          </cell>
        </row>
        <row r="138">
          <cell r="A138" t="str">
            <v>TSX:GEI_NEO 2_2012</v>
          </cell>
          <cell r="B138" t="str">
            <v>TSX:GEI</v>
          </cell>
          <cell r="C138" t="str">
            <v>Gibson Energy Inc.</v>
          </cell>
          <cell r="D138">
            <v>2012</v>
          </cell>
          <cell r="E138">
            <v>12</v>
          </cell>
          <cell r="F138" t="str">
            <v>CAD</v>
          </cell>
          <cell r="G138">
            <v>1</v>
          </cell>
          <cell r="H138" t="str">
            <v>Douglas Wilkins</v>
          </cell>
          <cell r="I138" t="str">
            <v>Senior Vice President Marketing Supply and Trading</v>
          </cell>
          <cell r="J138" t="str">
            <v>NEO 2</v>
          </cell>
          <cell r="K138">
            <v>2940.2460799999999</v>
          </cell>
          <cell r="L138">
            <v>3559.7560800000001</v>
          </cell>
          <cell r="M138">
            <v>340000</v>
          </cell>
          <cell r="N138">
            <v>340000</v>
          </cell>
          <cell r="O138">
            <v>340000</v>
          </cell>
          <cell r="P138">
            <v>350000</v>
          </cell>
          <cell r="Q138">
            <v>350000</v>
          </cell>
          <cell r="R138">
            <v>1.0294117647058822</v>
          </cell>
          <cell r="S138" t="str">
            <v>n/d</v>
          </cell>
          <cell r="T138">
            <v>1</v>
          </cell>
          <cell r="U138" t="str">
            <v>input</v>
          </cell>
          <cell r="V138">
            <v>690000</v>
          </cell>
          <cell r="W138" t="str">
            <v>input</v>
          </cell>
          <cell r="X138">
            <v>680000</v>
          </cell>
          <cell r="Y138">
            <v>115498</v>
          </cell>
          <cell r="Z138">
            <v>0</v>
          </cell>
          <cell r="AA138">
            <v>115498</v>
          </cell>
          <cell r="AB138">
            <v>0.3397</v>
          </cell>
          <cell r="AC138">
            <v>115498</v>
          </cell>
          <cell r="AD138">
            <v>805498</v>
          </cell>
          <cell r="AE138">
            <v>0</v>
          </cell>
          <cell r="AH138" t="str">
            <v>2X base salary</v>
          </cell>
          <cell r="AI138" t="str">
            <v>3 years</v>
          </cell>
          <cell r="AJ138">
            <v>0</v>
          </cell>
        </row>
        <row r="139">
          <cell r="A139" t="str">
            <v>TSX:GEI_NEO 2_2011</v>
          </cell>
          <cell r="B139" t="str">
            <v>TSX:GEI</v>
          </cell>
          <cell r="C139" t="str">
            <v>Gibson Energy Inc.</v>
          </cell>
          <cell r="D139">
            <v>2011</v>
          </cell>
          <cell r="E139">
            <v>12</v>
          </cell>
          <cell r="F139" t="str">
            <v>CAD</v>
          </cell>
          <cell r="G139">
            <v>1</v>
          </cell>
          <cell r="H139" t="str">
            <v>Douglas Wilkins</v>
          </cell>
          <cell r="I139" t="str">
            <v>Senior Vice President Marketing Supply and Trading</v>
          </cell>
          <cell r="J139" t="str">
            <v>NEO 2</v>
          </cell>
          <cell r="K139">
            <v>2940.2460799999999</v>
          </cell>
          <cell r="L139">
            <v>3559.7560800000001</v>
          </cell>
          <cell r="M139">
            <v>327500</v>
          </cell>
          <cell r="N139">
            <v>327500</v>
          </cell>
          <cell r="O139">
            <v>0</v>
          </cell>
          <cell r="P139">
            <v>300000</v>
          </cell>
          <cell r="Q139">
            <v>300000</v>
          </cell>
          <cell r="R139">
            <v>0.91603053435114501</v>
          </cell>
          <cell r="S139">
            <v>0</v>
          </cell>
          <cell r="T139">
            <v>0</v>
          </cell>
          <cell r="U139">
            <v>0</v>
          </cell>
          <cell r="V139">
            <v>0</v>
          </cell>
          <cell r="W139">
            <v>0</v>
          </cell>
          <cell r="X139">
            <v>0</v>
          </cell>
          <cell r="Y139">
            <v>0</v>
          </cell>
          <cell r="Z139">
            <v>126114</v>
          </cell>
          <cell r="AA139">
            <v>126114</v>
          </cell>
          <cell r="AB139">
            <v>0.38508091603053435</v>
          </cell>
          <cell r="AC139">
            <v>126114</v>
          </cell>
          <cell r="AD139">
            <v>753614</v>
          </cell>
          <cell r="AE139">
            <v>0</v>
          </cell>
          <cell r="AH139">
            <v>0</v>
          </cell>
          <cell r="AI139">
            <v>0</v>
          </cell>
          <cell r="AJ139">
            <v>0</v>
          </cell>
        </row>
        <row r="140">
          <cell r="A140" t="str">
            <v>TSX:GEI__2010</v>
          </cell>
          <cell r="B140" t="str">
            <v>TSX:GEI</v>
          </cell>
          <cell r="C140" t="str">
            <v>Gibson Energy Inc.</v>
          </cell>
          <cell r="D140">
            <v>2010</v>
          </cell>
          <cell r="E140">
            <v>12</v>
          </cell>
          <cell r="F140" t="str">
            <v>CAD</v>
          </cell>
          <cell r="G140">
            <v>1</v>
          </cell>
          <cell r="K140">
            <v>2940.2460799999999</v>
          </cell>
          <cell r="L140">
            <v>3559.7560800000001</v>
          </cell>
          <cell r="M140">
            <v>0</v>
          </cell>
          <cell r="N140">
            <v>0</v>
          </cell>
          <cell r="O140">
            <v>0</v>
          </cell>
          <cell r="P140">
            <v>0</v>
          </cell>
          <cell r="Q140">
            <v>0</v>
          </cell>
          <cell r="R140" t="str">
            <v>input</v>
          </cell>
          <cell r="S140">
            <v>0</v>
          </cell>
          <cell r="T140">
            <v>0</v>
          </cell>
          <cell r="U140">
            <v>0</v>
          </cell>
          <cell r="V140">
            <v>0</v>
          </cell>
          <cell r="W140">
            <v>0</v>
          </cell>
          <cell r="X140">
            <v>0</v>
          </cell>
          <cell r="Y140">
            <v>0</v>
          </cell>
          <cell r="Z140">
            <v>0</v>
          </cell>
          <cell r="AA140">
            <v>0</v>
          </cell>
          <cell r="AB140" t="str">
            <v>input</v>
          </cell>
          <cell r="AC140">
            <v>0</v>
          </cell>
          <cell r="AD140">
            <v>0</v>
          </cell>
          <cell r="AE140">
            <v>0</v>
          </cell>
          <cell r="AH140">
            <v>0</v>
          </cell>
          <cell r="AI140">
            <v>0</v>
          </cell>
          <cell r="AJ140">
            <v>0</v>
          </cell>
        </row>
        <row r="141">
          <cell r="A141" t="str">
            <v>TSX:GEI_NEO 2_Target</v>
          </cell>
          <cell r="B141" t="str">
            <v>TSX:GEI</v>
          </cell>
          <cell r="C141" t="str">
            <v>Gibson Energy Inc.</v>
          </cell>
          <cell r="D141" t="str">
            <v>Target</v>
          </cell>
          <cell r="E141">
            <v>12</v>
          </cell>
          <cell r="F141" t="str">
            <v>CAD</v>
          </cell>
          <cell r="G141">
            <v>1</v>
          </cell>
          <cell r="H141" t="str">
            <v>Douglas Wilkins</v>
          </cell>
          <cell r="I141" t="str">
            <v>Senior Vice President Marketing Supply and Trading</v>
          </cell>
          <cell r="J141" t="str">
            <v>NEO 2</v>
          </cell>
          <cell r="K141">
            <v>2940.2460799999999</v>
          </cell>
          <cell r="L141">
            <v>3559.7560800000001</v>
          </cell>
          <cell r="M141">
            <v>340000</v>
          </cell>
          <cell r="N141">
            <v>340000</v>
          </cell>
          <cell r="O141">
            <v>340000</v>
          </cell>
          <cell r="P141">
            <v>350000</v>
          </cell>
          <cell r="Q141">
            <v>350000</v>
          </cell>
          <cell r="R141">
            <v>1.0294117647058822</v>
          </cell>
          <cell r="S141">
            <v>0.97272114952851363</v>
          </cell>
          <cell r="T141">
            <v>1</v>
          </cell>
          <cell r="U141">
            <v>330725.19083969464</v>
          </cell>
          <cell r="V141">
            <v>690000</v>
          </cell>
          <cell r="W141">
            <v>670725.19083969458</v>
          </cell>
          <cell r="X141">
            <v>680000</v>
          </cell>
          <cell r="Y141">
            <v>57749</v>
          </cell>
          <cell r="Z141">
            <v>63057</v>
          </cell>
          <cell r="AA141">
            <v>0</v>
          </cell>
          <cell r="AB141">
            <v>0.36239045801526715</v>
          </cell>
          <cell r="AC141">
            <v>123212.75572519083</v>
          </cell>
          <cell r="AD141">
            <v>0</v>
          </cell>
          <cell r="AE141">
            <v>793937.94656488544</v>
          </cell>
          <cell r="AF141">
            <v>0</v>
          </cell>
          <cell r="AG141">
            <v>0</v>
          </cell>
          <cell r="AH141">
            <v>0</v>
          </cell>
          <cell r="AI141">
            <v>0</v>
          </cell>
          <cell r="AJ141">
            <v>0</v>
          </cell>
        </row>
        <row r="142">
          <cell r="A142" t="str">
            <v>TSX:GEI_NEO 1_2012</v>
          </cell>
          <cell r="B142" t="str">
            <v>TSX:GEI</v>
          </cell>
          <cell r="C142" t="str">
            <v>Gibson Energy Inc.</v>
          </cell>
          <cell r="D142">
            <v>2012</v>
          </cell>
          <cell r="E142">
            <v>12</v>
          </cell>
          <cell r="F142" t="str">
            <v>CAD</v>
          </cell>
          <cell r="G142">
            <v>1</v>
          </cell>
          <cell r="H142" t="str">
            <v>Richard Wise</v>
          </cell>
          <cell r="I142" t="str">
            <v>Senior Vice President Operations</v>
          </cell>
          <cell r="J142" t="str">
            <v>NEO 1</v>
          </cell>
          <cell r="K142">
            <v>2940.2460799999999</v>
          </cell>
          <cell r="L142">
            <v>3559.7560800000001</v>
          </cell>
          <cell r="M142">
            <v>340000</v>
          </cell>
          <cell r="N142">
            <v>340000</v>
          </cell>
          <cell r="O142">
            <v>340000</v>
          </cell>
          <cell r="P142">
            <v>325000</v>
          </cell>
          <cell r="Q142">
            <v>325000</v>
          </cell>
          <cell r="R142">
            <v>0.95588235294117652</v>
          </cell>
          <cell r="S142" t="str">
            <v>n/d</v>
          </cell>
          <cell r="T142">
            <v>1</v>
          </cell>
          <cell r="U142" t="str">
            <v>input</v>
          </cell>
          <cell r="V142">
            <v>665000</v>
          </cell>
          <cell r="W142" t="str">
            <v>input</v>
          </cell>
          <cell r="X142">
            <v>680000</v>
          </cell>
          <cell r="Y142">
            <v>104992</v>
          </cell>
          <cell r="Z142">
            <v>0</v>
          </cell>
          <cell r="AA142">
            <v>104992</v>
          </cell>
          <cell r="AB142">
            <v>0.30880000000000002</v>
          </cell>
          <cell r="AC142">
            <v>104992</v>
          </cell>
          <cell r="AD142">
            <v>769992</v>
          </cell>
          <cell r="AE142">
            <v>0</v>
          </cell>
          <cell r="AH142" t="str">
            <v>2X base salary</v>
          </cell>
          <cell r="AI142" t="str">
            <v>3 years</v>
          </cell>
          <cell r="AJ142">
            <v>0</v>
          </cell>
        </row>
        <row r="143">
          <cell r="A143" t="str">
            <v>TSX:GEI_NEO 1_2011</v>
          </cell>
          <cell r="B143" t="str">
            <v>TSX:GEI</v>
          </cell>
          <cell r="C143" t="str">
            <v>Gibson Energy Inc.</v>
          </cell>
          <cell r="D143">
            <v>2011</v>
          </cell>
          <cell r="E143">
            <v>12</v>
          </cell>
          <cell r="F143" t="str">
            <v>CAD</v>
          </cell>
          <cell r="G143">
            <v>1</v>
          </cell>
          <cell r="H143" t="str">
            <v>Richard Wise</v>
          </cell>
          <cell r="I143" t="str">
            <v>Senior Vice President Operations</v>
          </cell>
          <cell r="J143" t="str">
            <v>NEO 1</v>
          </cell>
          <cell r="K143">
            <v>2940.2460799999999</v>
          </cell>
          <cell r="L143">
            <v>3559.7560800000001</v>
          </cell>
          <cell r="M143">
            <v>295000</v>
          </cell>
          <cell r="N143">
            <v>295000</v>
          </cell>
          <cell r="O143">
            <v>0</v>
          </cell>
          <cell r="P143">
            <v>300000</v>
          </cell>
          <cell r="Q143">
            <v>300000</v>
          </cell>
          <cell r="R143">
            <v>1.0169491525423728</v>
          </cell>
          <cell r="S143">
            <v>0</v>
          </cell>
          <cell r="T143">
            <v>0</v>
          </cell>
          <cell r="U143">
            <v>0</v>
          </cell>
          <cell r="V143">
            <v>0</v>
          </cell>
          <cell r="W143">
            <v>0</v>
          </cell>
          <cell r="X143">
            <v>0</v>
          </cell>
          <cell r="Y143">
            <v>0</v>
          </cell>
          <cell r="Z143">
            <v>126114</v>
          </cell>
          <cell r="AA143">
            <v>126114</v>
          </cell>
          <cell r="AB143">
            <v>0.42750508474576271</v>
          </cell>
          <cell r="AC143">
            <v>126114</v>
          </cell>
          <cell r="AD143">
            <v>721114</v>
          </cell>
          <cell r="AE143">
            <v>0</v>
          </cell>
          <cell r="AH143">
            <v>0</v>
          </cell>
          <cell r="AI143">
            <v>0</v>
          </cell>
          <cell r="AJ143">
            <v>0</v>
          </cell>
        </row>
        <row r="144">
          <cell r="A144" t="str">
            <v>TSX:GEI__2010</v>
          </cell>
          <cell r="B144" t="str">
            <v>TSX:GEI</v>
          </cell>
          <cell r="C144" t="str">
            <v>Gibson Energy Inc.</v>
          </cell>
          <cell r="D144">
            <v>2010</v>
          </cell>
          <cell r="E144">
            <v>12</v>
          </cell>
          <cell r="F144" t="str">
            <v>CAD</v>
          </cell>
          <cell r="G144">
            <v>1</v>
          </cell>
          <cell r="K144">
            <v>2940.2460799999999</v>
          </cell>
          <cell r="L144">
            <v>3559.7560800000001</v>
          </cell>
          <cell r="M144">
            <v>0</v>
          </cell>
          <cell r="N144">
            <v>0</v>
          </cell>
          <cell r="O144">
            <v>0</v>
          </cell>
          <cell r="P144">
            <v>0</v>
          </cell>
          <cell r="Q144">
            <v>0</v>
          </cell>
          <cell r="R144" t="str">
            <v>input</v>
          </cell>
          <cell r="S144">
            <v>0</v>
          </cell>
          <cell r="T144">
            <v>0</v>
          </cell>
          <cell r="U144">
            <v>0</v>
          </cell>
          <cell r="V144">
            <v>0</v>
          </cell>
          <cell r="W144">
            <v>0</v>
          </cell>
          <cell r="X144">
            <v>0</v>
          </cell>
          <cell r="Y144">
            <v>0</v>
          </cell>
          <cell r="Z144">
            <v>0</v>
          </cell>
          <cell r="AA144">
            <v>0</v>
          </cell>
          <cell r="AB144" t="str">
            <v>input</v>
          </cell>
          <cell r="AC144">
            <v>0</v>
          </cell>
          <cell r="AD144">
            <v>0</v>
          </cell>
          <cell r="AE144">
            <v>0</v>
          </cell>
          <cell r="AH144">
            <v>0</v>
          </cell>
          <cell r="AI144">
            <v>0</v>
          </cell>
          <cell r="AJ144">
            <v>0</v>
          </cell>
        </row>
        <row r="145">
          <cell r="A145" t="str">
            <v>TSX:GEI_NEO 1_Target</v>
          </cell>
          <cell r="B145" t="str">
            <v>TSX:GEI</v>
          </cell>
          <cell r="C145" t="str">
            <v>Gibson Energy Inc.</v>
          </cell>
          <cell r="D145" t="str">
            <v>Target</v>
          </cell>
          <cell r="E145">
            <v>12</v>
          </cell>
          <cell r="F145" t="str">
            <v>CAD</v>
          </cell>
          <cell r="G145">
            <v>1</v>
          </cell>
          <cell r="H145" t="str">
            <v>Richard Wise</v>
          </cell>
          <cell r="I145" t="str">
            <v>Senior Vice President Operations</v>
          </cell>
          <cell r="J145" t="str">
            <v>NEO 1</v>
          </cell>
          <cell r="K145">
            <v>2940.2460799999999</v>
          </cell>
          <cell r="L145">
            <v>3559.7560800000001</v>
          </cell>
          <cell r="M145">
            <v>340000</v>
          </cell>
          <cell r="N145">
            <v>340000</v>
          </cell>
          <cell r="O145">
            <v>340000</v>
          </cell>
          <cell r="P145">
            <v>325000</v>
          </cell>
          <cell r="Q145">
            <v>325000</v>
          </cell>
          <cell r="R145">
            <v>0.95588235294117652</v>
          </cell>
          <cell r="S145">
            <v>0.98641575274177473</v>
          </cell>
          <cell r="T145">
            <v>1</v>
          </cell>
          <cell r="U145">
            <v>335381.35593220341</v>
          </cell>
          <cell r="V145">
            <v>665000</v>
          </cell>
          <cell r="W145">
            <v>675381.35593220335</v>
          </cell>
          <cell r="X145">
            <v>680000</v>
          </cell>
          <cell r="Y145">
            <v>52496</v>
          </cell>
          <cell r="Z145">
            <v>63057</v>
          </cell>
          <cell r="AA145">
            <v>0</v>
          </cell>
          <cell r="AB145">
            <v>0.36815254237288136</v>
          </cell>
          <cell r="AC145">
            <v>125171.86440677967</v>
          </cell>
          <cell r="AD145">
            <v>0</v>
          </cell>
          <cell r="AE145">
            <v>800553.220338983</v>
          </cell>
          <cell r="AF145">
            <v>0</v>
          </cell>
          <cell r="AG145">
            <v>0</v>
          </cell>
          <cell r="AH145">
            <v>0</v>
          </cell>
          <cell r="AI145">
            <v>0</v>
          </cell>
          <cell r="AJ145">
            <v>0</v>
          </cell>
        </row>
        <row r="146">
          <cell r="A146" t="str">
            <v>TSX:GEI_NEO 3_2012</v>
          </cell>
          <cell r="B146" t="str">
            <v>TSX:GEI</v>
          </cell>
          <cell r="C146" t="str">
            <v>Gibson Energy Inc.</v>
          </cell>
          <cell r="D146">
            <v>2012</v>
          </cell>
          <cell r="E146">
            <v>12</v>
          </cell>
          <cell r="F146" t="str">
            <v>CAD</v>
          </cell>
          <cell r="G146">
            <v>1</v>
          </cell>
          <cell r="H146" t="str">
            <v>Sean Duffee</v>
          </cell>
          <cell r="I146" t="str">
            <v>Vice President Marketing Supply and Trading</v>
          </cell>
          <cell r="J146" t="str">
            <v>NEO 3</v>
          </cell>
          <cell r="K146">
            <v>2940.2460799999999</v>
          </cell>
          <cell r="L146">
            <v>3559.7560800000001</v>
          </cell>
          <cell r="M146">
            <v>329000</v>
          </cell>
          <cell r="N146">
            <v>329000</v>
          </cell>
          <cell r="O146">
            <v>329000</v>
          </cell>
          <cell r="P146">
            <v>330000</v>
          </cell>
          <cell r="Q146">
            <v>330000</v>
          </cell>
          <cell r="R146">
            <v>1.0030395136778116</v>
          </cell>
          <cell r="S146" t="str">
            <v>n/d</v>
          </cell>
          <cell r="T146">
            <v>1</v>
          </cell>
          <cell r="U146" t="str">
            <v>input</v>
          </cell>
          <cell r="V146">
            <v>659000</v>
          </cell>
          <cell r="W146" t="str">
            <v>input</v>
          </cell>
          <cell r="X146">
            <v>658000</v>
          </cell>
          <cell r="Y146">
            <v>83733</v>
          </cell>
          <cell r="Z146">
            <v>0</v>
          </cell>
          <cell r="AA146">
            <v>83733</v>
          </cell>
          <cell r="AB146">
            <v>0.25450759878419454</v>
          </cell>
          <cell r="AC146">
            <v>83733</v>
          </cell>
          <cell r="AD146">
            <v>742733</v>
          </cell>
          <cell r="AE146">
            <v>0</v>
          </cell>
          <cell r="AH146" t="str">
            <v>1.5X base salary</v>
          </cell>
          <cell r="AI146" t="str">
            <v>3 years</v>
          </cell>
          <cell r="AJ146">
            <v>0</v>
          </cell>
        </row>
        <row r="147">
          <cell r="A147" t="str">
            <v>TSX:GEI_NEO3_2011</v>
          </cell>
          <cell r="B147" t="str">
            <v>TSX:GEI</v>
          </cell>
          <cell r="C147" t="str">
            <v>Gibson Energy Inc.</v>
          </cell>
          <cell r="D147">
            <v>2011</v>
          </cell>
          <cell r="E147">
            <v>12</v>
          </cell>
          <cell r="F147" t="str">
            <v>CAD</v>
          </cell>
          <cell r="G147">
            <v>1</v>
          </cell>
          <cell r="H147" t="str">
            <v>Sean Duffee</v>
          </cell>
          <cell r="I147" t="str">
            <v>Vice President Marketing Supply and Trading</v>
          </cell>
          <cell r="J147" t="str">
            <v>NEO3</v>
          </cell>
          <cell r="K147">
            <v>2940.2460799999999</v>
          </cell>
          <cell r="L147">
            <v>3559.7560800000001</v>
          </cell>
          <cell r="M147">
            <v>316500</v>
          </cell>
          <cell r="N147">
            <v>316500</v>
          </cell>
          <cell r="O147">
            <v>0</v>
          </cell>
          <cell r="P147">
            <v>320000</v>
          </cell>
          <cell r="Q147">
            <v>320000</v>
          </cell>
          <cell r="R147">
            <v>1.0110584518167456</v>
          </cell>
          <cell r="S147">
            <v>0</v>
          </cell>
          <cell r="T147">
            <v>0</v>
          </cell>
          <cell r="U147">
            <v>0</v>
          </cell>
          <cell r="V147">
            <v>0</v>
          </cell>
          <cell r="W147">
            <v>0</v>
          </cell>
          <cell r="X147">
            <v>0</v>
          </cell>
          <cell r="Y147">
            <v>0</v>
          </cell>
          <cell r="Z147">
            <v>126114</v>
          </cell>
          <cell r="AA147">
            <v>126114</v>
          </cell>
          <cell r="AB147">
            <v>0.39846445497630334</v>
          </cell>
          <cell r="AC147">
            <v>126114</v>
          </cell>
          <cell r="AD147">
            <v>762614</v>
          </cell>
          <cell r="AE147">
            <v>0</v>
          </cell>
          <cell r="AH147">
            <v>0</v>
          </cell>
          <cell r="AI147">
            <v>0</v>
          </cell>
          <cell r="AJ147">
            <v>0</v>
          </cell>
        </row>
        <row r="148">
          <cell r="A148" t="str">
            <v>TSX:GEI__2010</v>
          </cell>
          <cell r="B148" t="str">
            <v>TSX:GEI</v>
          </cell>
          <cell r="C148" t="str">
            <v>Gibson Energy Inc.</v>
          </cell>
          <cell r="D148">
            <v>2010</v>
          </cell>
          <cell r="E148">
            <v>12</v>
          </cell>
          <cell r="F148" t="str">
            <v>CAD</v>
          </cell>
          <cell r="G148">
            <v>1</v>
          </cell>
          <cell r="K148">
            <v>2940.2460799999999</v>
          </cell>
          <cell r="L148">
            <v>3559.7560800000001</v>
          </cell>
          <cell r="M148">
            <v>0</v>
          </cell>
          <cell r="N148">
            <v>0</v>
          </cell>
          <cell r="O148">
            <v>0</v>
          </cell>
          <cell r="P148">
            <v>0</v>
          </cell>
          <cell r="Q148">
            <v>0</v>
          </cell>
          <cell r="R148" t="str">
            <v>input</v>
          </cell>
          <cell r="S148">
            <v>0</v>
          </cell>
          <cell r="T148">
            <v>0</v>
          </cell>
          <cell r="U148">
            <v>0</v>
          </cell>
          <cell r="V148">
            <v>0</v>
          </cell>
          <cell r="W148">
            <v>0</v>
          </cell>
          <cell r="X148">
            <v>0</v>
          </cell>
          <cell r="Y148">
            <v>0</v>
          </cell>
          <cell r="Z148">
            <v>0</v>
          </cell>
          <cell r="AA148">
            <v>0</v>
          </cell>
          <cell r="AB148" t="str">
            <v>input</v>
          </cell>
          <cell r="AC148">
            <v>0</v>
          </cell>
          <cell r="AD148">
            <v>0</v>
          </cell>
          <cell r="AE148">
            <v>0</v>
          </cell>
          <cell r="AH148">
            <v>0</v>
          </cell>
          <cell r="AI148">
            <v>0</v>
          </cell>
          <cell r="AJ148">
            <v>0</v>
          </cell>
        </row>
        <row r="149">
          <cell r="A149" t="str">
            <v>TSX:GEI_NEO 3_Target</v>
          </cell>
          <cell r="B149" t="str">
            <v>TSX:GEI</v>
          </cell>
          <cell r="C149" t="str">
            <v>Gibson Energy Inc.</v>
          </cell>
          <cell r="D149" t="str">
            <v>Target</v>
          </cell>
          <cell r="E149">
            <v>12</v>
          </cell>
          <cell r="F149" t="str">
            <v>CAD</v>
          </cell>
          <cell r="G149">
            <v>1</v>
          </cell>
          <cell r="H149" t="str">
            <v>Sean Duffee</v>
          </cell>
          <cell r="I149" t="str">
            <v>Vice President Marketing Supply and Trading</v>
          </cell>
          <cell r="J149" t="str">
            <v>NEO 3</v>
          </cell>
          <cell r="K149">
            <v>2940.2460799999999</v>
          </cell>
          <cell r="L149">
            <v>3559.7560800000001</v>
          </cell>
          <cell r="M149">
            <v>329000</v>
          </cell>
          <cell r="N149">
            <v>329000</v>
          </cell>
          <cell r="O149">
            <v>329000</v>
          </cell>
          <cell r="P149">
            <v>330000</v>
          </cell>
          <cell r="Q149">
            <v>330000</v>
          </cell>
          <cell r="R149">
            <v>1.0030395136778116</v>
          </cell>
          <cell r="S149">
            <v>1.0070489827472786</v>
          </cell>
          <cell r="T149">
            <v>1</v>
          </cell>
          <cell r="U149">
            <v>331319.11532385467</v>
          </cell>
          <cell r="V149">
            <v>659000</v>
          </cell>
          <cell r="W149">
            <v>660319.11532385461</v>
          </cell>
          <cell r="X149">
            <v>658000</v>
          </cell>
          <cell r="Y149">
            <v>41866.5</v>
          </cell>
          <cell r="Z149">
            <v>63057</v>
          </cell>
          <cell r="AA149">
            <v>0</v>
          </cell>
          <cell r="AB149">
            <v>0.32648602688024897</v>
          </cell>
          <cell r="AC149">
            <v>107413.90284360191</v>
          </cell>
          <cell r="AD149">
            <v>0</v>
          </cell>
          <cell r="AE149">
            <v>767733.0181674565</v>
          </cell>
          <cell r="AF149">
            <v>0</v>
          </cell>
          <cell r="AG149">
            <v>0</v>
          </cell>
          <cell r="AH149">
            <v>0</v>
          </cell>
          <cell r="AI149">
            <v>0</v>
          </cell>
          <cell r="AJ149">
            <v>0</v>
          </cell>
        </row>
        <row r="150">
          <cell r="A150" t="str">
            <v>TSX:KEY_CEO_2012</v>
          </cell>
          <cell r="B150" t="str">
            <v>TSX:KEY</v>
          </cell>
          <cell r="C150" t="str">
            <v>Keyera Corp.</v>
          </cell>
          <cell r="D150">
            <v>2012</v>
          </cell>
          <cell r="E150">
            <v>12</v>
          </cell>
          <cell r="F150" t="str">
            <v>CAD</v>
          </cell>
          <cell r="G150">
            <v>1</v>
          </cell>
          <cell r="H150" t="str">
            <v>James Bertram</v>
          </cell>
          <cell r="I150" t="str">
            <v>CEO</v>
          </cell>
          <cell r="J150" t="str">
            <v>CEO</v>
          </cell>
          <cell r="K150">
            <v>4564.6005500000001</v>
          </cell>
          <cell r="L150">
            <v>5399.0065500000001</v>
          </cell>
          <cell r="M150">
            <v>472500</v>
          </cell>
          <cell r="N150">
            <v>472500</v>
          </cell>
          <cell r="O150" t="str">
            <v>n/d</v>
          </cell>
          <cell r="P150">
            <v>248181</v>
          </cell>
          <cell r="Q150">
            <v>248181</v>
          </cell>
          <cell r="R150">
            <v>0.52525079365079363</v>
          </cell>
          <cell r="S150" t="str">
            <v>n/d</v>
          </cell>
          <cell r="T150">
            <v>1.1000000000000001</v>
          </cell>
          <cell r="U150" t="str">
            <v>input</v>
          </cell>
          <cell r="V150">
            <v>720681</v>
          </cell>
          <cell r="W150" t="str">
            <v>input</v>
          </cell>
          <cell r="X150">
            <v>992250</v>
          </cell>
          <cell r="Y150">
            <v>774900</v>
          </cell>
          <cell r="Z150">
            <v>0</v>
          </cell>
          <cell r="AA150">
            <v>774900</v>
          </cell>
          <cell r="AB150">
            <v>1.64</v>
          </cell>
          <cell r="AC150">
            <v>774900</v>
          </cell>
          <cell r="AD150">
            <v>1495581</v>
          </cell>
          <cell r="AE150">
            <v>0</v>
          </cell>
          <cell r="AH150" t="str">
            <v>3X base salary</v>
          </cell>
          <cell r="AI150" t="str">
            <v>5 years</v>
          </cell>
          <cell r="AJ150">
            <v>0</v>
          </cell>
        </row>
        <row r="151">
          <cell r="A151" t="str">
            <v>TSX:KEY_CEO_2011</v>
          </cell>
          <cell r="B151" t="str">
            <v>TSX:KEY</v>
          </cell>
          <cell r="C151" t="str">
            <v>Keyera Corp.</v>
          </cell>
          <cell r="D151">
            <v>2011</v>
          </cell>
          <cell r="E151">
            <v>12</v>
          </cell>
          <cell r="F151" t="str">
            <v>CAD</v>
          </cell>
          <cell r="G151">
            <v>1</v>
          </cell>
          <cell r="H151" t="str">
            <v>James Bertram</v>
          </cell>
          <cell r="I151" t="str">
            <v>CEO</v>
          </cell>
          <cell r="J151" t="str">
            <v>CEO</v>
          </cell>
          <cell r="K151">
            <v>4564.6005500000001</v>
          </cell>
          <cell r="L151">
            <v>5399.0065500000001</v>
          </cell>
          <cell r="M151">
            <v>450000</v>
          </cell>
          <cell r="N151">
            <v>450000</v>
          </cell>
          <cell r="O151">
            <v>0</v>
          </cell>
          <cell r="P151">
            <v>216000</v>
          </cell>
          <cell r="Q151">
            <v>216000</v>
          </cell>
          <cell r="R151">
            <v>0.48</v>
          </cell>
          <cell r="S151">
            <v>0</v>
          </cell>
          <cell r="T151">
            <v>0</v>
          </cell>
          <cell r="U151">
            <v>0</v>
          </cell>
          <cell r="V151">
            <v>0</v>
          </cell>
          <cell r="W151">
            <v>0</v>
          </cell>
          <cell r="X151">
            <v>0</v>
          </cell>
          <cell r="Y151">
            <v>885000</v>
          </cell>
          <cell r="Z151">
            <v>0</v>
          </cell>
          <cell r="AA151">
            <v>885000</v>
          </cell>
          <cell r="AB151">
            <v>1.9666666666666666</v>
          </cell>
          <cell r="AC151">
            <v>885000</v>
          </cell>
          <cell r="AD151">
            <v>1551000</v>
          </cell>
          <cell r="AE151">
            <v>0</v>
          </cell>
          <cell r="AH151">
            <v>0</v>
          </cell>
          <cell r="AI151">
            <v>0</v>
          </cell>
          <cell r="AJ151">
            <v>0</v>
          </cell>
        </row>
        <row r="152">
          <cell r="A152" t="str">
            <v>TSX:KEY_CEO_2010</v>
          </cell>
          <cell r="B152" t="str">
            <v>TSX:KEY</v>
          </cell>
          <cell r="C152" t="str">
            <v>Keyera Corp.</v>
          </cell>
          <cell r="D152">
            <v>2010</v>
          </cell>
          <cell r="E152">
            <v>12</v>
          </cell>
          <cell r="F152" t="str">
            <v>CAD</v>
          </cell>
          <cell r="G152">
            <v>1</v>
          </cell>
          <cell r="H152" t="str">
            <v>James Bertram</v>
          </cell>
          <cell r="I152" t="str">
            <v>CEO</v>
          </cell>
          <cell r="J152" t="str">
            <v>CEO</v>
          </cell>
          <cell r="K152">
            <v>4564.6005500000001</v>
          </cell>
          <cell r="L152">
            <v>5399.0065500000001</v>
          </cell>
          <cell r="M152">
            <v>385000</v>
          </cell>
          <cell r="N152">
            <v>385000</v>
          </cell>
          <cell r="O152">
            <v>0</v>
          </cell>
          <cell r="P152">
            <v>327250</v>
          </cell>
          <cell r="Q152">
            <v>327250</v>
          </cell>
          <cell r="R152">
            <v>0.85</v>
          </cell>
          <cell r="S152">
            <v>0</v>
          </cell>
          <cell r="T152">
            <v>0</v>
          </cell>
          <cell r="U152">
            <v>0</v>
          </cell>
          <cell r="V152">
            <v>0</v>
          </cell>
          <cell r="W152">
            <v>0</v>
          </cell>
          <cell r="X152">
            <v>0</v>
          </cell>
          <cell r="Y152">
            <v>669500</v>
          </cell>
          <cell r="Z152">
            <v>0</v>
          </cell>
          <cell r="AA152">
            <v>669500</v>
          </cell>
          <cell r="AB152">
            <v>1.738961038961039</v>
          </cell>
          <cell r="AC152">
            <v>669500</v>
          </cell>
          <cell r="AD152">
            <v>1381750</v>
          </cell>
          <cell r="AE152">
            <v>0</v>
          </cell>
          <cell r="AH152">
            <v>0</v>
          </cell>
          <cell r="AI152">
            <v>0</v>
          </cell>
          <cell r="AJ152">
            <v>0</v>
          </cell>
        </row>
        <row r="153">
          <cell r="A153" t="str">
            <v>TSX:KEY_CEO_Target</v>
          </cell>
          <cell r="B153" t="str">
            <v>TSX:KEY</v>
          </cell>
          <cell r="C153" t="str">
            <v>Keyera Corp.</v>
          </cell>
          <cell r="D153" t="str">
            <v>Target</v>
          </cell>
          <cell r="E153">
            <v>12</v>
          </cell>
          <cell r="F153" t="str">
            <v>CAD</v>
          </cell>
          <cell r="G153">
            <v>1</v>
          </cell>
          <cell r="H153" t="str">
            <v>James Bertram</v>
          </cell>
          <cell r="I153" t="str">
            <v>CEO</v>
          </cell>
          <cell r="J153" t="str">
            <v>CEO</v>
          </cell>
          <cell r="K153">
            <v>4564.6005500000001</v>
          </cell>
          <cell r="L153">
            <v>5399.0065500000001</v>
          </cell>
          <cell r="M153">
            <v>472500</v>
          </cell>
          <cell r="N153">
            <v>472500</v>
          </cell>
          <cell r="O153" t="str">
            <v>n/d</v>
          </cell>
          <cell r="P153">
            <v>248181</v>
          </cell>
          <cell r="Q153">
            <v>248181</v>
          </cell>
          <cell r="R153">
            <v>0.52525079365079363</v>
          </cell>
          <cell r="S153">
            <v>0.61841693121693131</v>
          </cell>
          <cell r="T153">
            <v>1.1000000000000001</v>
          </cell>
          <cell r="U153">
            <v>292202.00000000006</v>
          </cell>
          <cell r="V153">
            <v>720681</v>
          </cell>
          <cell r="W153">
            <v>764702.00000000012</v>
          </cell>
          <cell r="X153">
            <v>992250</v>
          </cell>
          <cell r="Y153">
            <v>776466.66666666663</v>
          </cell>
          <cell r="Z153" t="str">
            <v>input</v>
          </cell>
          <cell r="AA153">
            <v>0</v>
          </cell>
          <cell r="AB153">
            <v>1.7818759018759021</v>
          </cell>
          <cell r="AC153">
            <v>841936.36363636376</v>
          </cell>
          <cell r="AD153">
            <v>0</v>
          </cell>
          <cell r="AE153">
            <v>1606638.3636363638</v>
          </cell>
          <cell r="AF153">
            <v>0</v>
          </cell>
          <cell r="AG153">
            <v>0</v>
          </cell>
          <cell r="AH153">
            <v>0</v>
          </cell>
          <cell r="AI153">
            <v>0</v>
          </cell>
          <cell r="AJ153">
            <v>0</v>
          </cell>
        </row>
        <row r="154">
          <cell r="A154" t="str">
            <v>TSX:KEY_NEO 1_2012</v>
          </cell>
          <cell r="B154" t="str">
            <v>TSX:KEY</v>
          </cell>
          <cell r="C154" t="str">
            <v>Keyera Corp.</v>
          </cell>
          <cell r="D154">
            <v>2012</v>
          </cell>
          <cell r="E154">
            <v>12</v>
          </cell>
          <cell r="F154" t="str">
            <v>CAD</v>
          </cell>
          <cell r="G154">
            <v>1</v>
          </cell>
          <cell r="H154" t="str">
            <v>David Smith</v>
          </cell>
          <cell r="I154" t="str">
            <v>President and COO</v>
          </cell>
          <cell r="J154" t="str">
            <v>NEO 1</v>
          </cell>
          <cell r="K154">
            <v>4564.6005500000001</v>
          </cell>
          <cell r="L154">
            <v>5399.0065500000001</v>
          </cell>
          <cell r="M154">
            <v>360400</v>
          </cell>
          <cell r="N154">
            <v>360400</v>
          </cell>
          <cell r="O154" t="str">
            <v>n/d</v>
          </cell>
          <cell r="P154">
            <v>189300</v>
          </cell>
          <cell r="Q154">
            <v>189300</v>
          </cell>
          <cell r="R154">
            <v>0.5252497225305216</v>
          </cell>
          <cell r="S154" t="str">
            <v>n/d</v>
          </cell>
          <cell r="T154">
            <v>0.8</v>
          </cell>
          <cell r="U154" t="str">
            <v>input</v>
          </cell>
          <cell r="V154">
            <v>549700</v>
          </cell>
          <cell r="W154" t="str">
            <v>input</v>
          </cell>
          <cell r="X154">
            <v>648720</v>
          </cell>
          <cell r="Y154">
            <v>602700</v>
          </cell>
          <cell r="Z154">
            <v>0</v>
          </cell>
          <cell r="AA154">
            <v>602700</v>
          </cell>
          <cell r="AB154">
            <v>1.6723085460599334</v>
          </cell>
          <cell r="AC154">
            <v>602700</v>
          </cell>
          <cell r="AD154">
            <v>1152400</v>
          </cell>
          <cell r="AE154">
            <v>0</v>
          </cell>
          <cell r="AH154" t="str">
            <v>2X base salary</v>
          </cell>
          <cell r="AI154" t="str">
            <v>5 years</v>
          </cell>
          <cell r="AJ154">
            <v>0</v>
          </cell>
        </row>
        <row r="155">
          <cell r="A155" t="str">
            <v>TSX:KEY_NEO 1_2011</v>
          </cell>
          <cell r="B155" t="str">
            <v>TSX:KEY</v>
          </cell>
          <cell r="C155" t="str">
            <v>Keyera Corp.</v>
          </cell>
          <cell r="D155">
            <v>2011</v>
          </cell>
          <cell r="E155">
            <v>12</v>
          </cell>
          <cell r="F155" t="str">
            <v>CAD</v>
          </cell>
          <cell r="G155">
            <v>1</v>
          </cell>
          <cell r="H155" t="str">
            <v>David Smith</v>
          </cell>
          <cell r="I155" t="str">
            <v>President and COO</v>
          </cell>
          <cell r="J155" t="str">
            <v>NEO 1</v>
          </cell>
          <cell r="K155">
            <v>4564.6005500000001</v>
          </cell>
          <cell r="L155">
            <v>5399.0065500000001</v>
          </cell>
          <cell r="M155">
            <v>340000</v>
          </cell>
          <cell r="N155">
            <v>340000</v>
          </cell>
          <cell r="O155">
            <v>0</v>
          </cell>
          <cell r="P155">
            <v>163200</v>
          </cell>
          <cell r="Q155">
            <v>163200</v>
          </cell>
          <cell r="R155">
            <v>0.48</v>
          </cell>
          <cell r="S155">
            <v>0</v>
          </cell>
          <cell r="T155">
            <v>0</v>
          </cell>
          <cell r="U155">
            <v>0</v>
          </cell>
          <cell r="V155">
            <v>0</v>
          </cell>
          <cell r="W155">
            <v>0</v>
          </cell>
          <cell r="X155">
            <v>0</v>
          </cell>
          <cell r="Y155">
            <v>663750</v>
          </cell>
          <cell r="Z155">
            <v>0</v>
          </cell>
          <cell r="AA155">
            <v>663750</v>
          </cell>
          <cell r="AB155">
            <v>1.9522058823529411</v>
          </cell>
          <cell r="AC155">
            <v>663750</v>
          </cell>
          <cell r="AD155">
            <v>1166950</v>
          </cell>
          <cell r="AE155">
            <v>0</v>
          </cell>
          <cell r="AF155" t="str">
            <v xml:space="preserve">David Smith was appointed President and COO on May 10, 2011. Prior thereto, he was EVP, Liquid Buisness Unit. As such, we have not considered compensation prior to 2011, and we did not use the STIP and LTIP values prior to 2011 in the taregt calculations. </v>
          </cell>
          <cell r="AH155">
            <v>0</v>
          </cell>
          <cell r="AI155">
            <v>0</v>
          </cell>
          <cell r="AJ155">
            <v>0</v>
          </cell>
        </row>
        <row r="156">
          <cell r="A156" t="str">
            <v>TSX:KEY__2010</v>
          </cell>
          <cell r="B156" t="str">
            <v>TSX:KEY</v>
          </cell>
          <cell r="C156" t="str">
            <v>Keyera Corp.</v>
          </cell>
          <cell r="D156">
            <v>2010</v>
          </cell>
          <cell r="E156">
            <v>12</v>
          </cell>
          <cell r="F156" t="str">
            <v>CAD</v>
          </cell>
          <cell r="G156">
            <v>1</v>
          </cell>
          <cell r="K156">
            <v>4564.6005500000001</v>
          </cell>
          <cell r="L156">
            <v>5399.0065500000001</v>
          </cell>
          <cell r="M156">
            <v>0</v>
          </cell>
          <cell r="N156">
            <v>0</v>
          </cell>
          <cell r="O156">
            <v>0</v>
          </cell>
          <cell r="P156">
            <v>0</v>
          </cell>
          <cell r="Q156">
            <v>0</v>
          </cell>
          <cell r="R156" t="str">
            <v>input</v>
          </cell>
          <cell r="S156">
            <v>0</v>
          </cell>
          <cell r="T156">
            <v>0</v>
          </cell>
          <cell r="U156">
            <v>0</v>
          </cell>
          <cell r="V156">
            <v>0</v>
          </cell>
          <cell r="W156">
            <v>0</v>
          </cell>
          <cell r="X156">
            <v>0</v>
          </cell>
          <cell r="Y156">
            <v>0</v>
          </cell>
          <cell r="Z156">
            <v>0</v>
          </cell>
          <cell r="AA156">
            <v>0</v>
          </cell>
          <cell r="AB156" t="str">
            <v>input</v>
          </cell>
          <cell r="AC156">
            <v>0</v>
          </cell>
          <cell r="AD156">
            <v>0</v>
          </cell>
          <cell r="AE156">
            <v>0</v>
          </cell>
          <cell r="AH156">
            <v>0</v>
          </cell>
          <cell r="AI156">
            <v>0</v>
          </cell>
          <cell r="AJ156">
            <v>0</v>
          </cell>
        </row>
        <row r="157">
          <cell r="A157" t="str">
            <v>TSX:KEY_NEO 1_Target</v>
          </cell>
          <cell r="B157" t="str">
            <v>TSX:KEY</v>
          </cell>
          <cell r="C157" t="str">
            <v>Keyera Corp.</v>
          </cell>
          <cell r="D157" t="str">
            <v>Target</v>
          </cell>
          <cell r="E157">
            <v>12</v>
          </cell>
          <cell r="F157" t="str">
            <v>CAD</v>
          </cell>
          <cell r="G157">
            <v>1</v>
          </cell>
          <cell r="H157" t="str">
            <v>David Smith</v>
          </cell>
          <cell r="I157" t="str">
            <v>President and COO</v>
          </cell>
          <cell r="J157" t="str">
            <v>NEO 1</v>
          </cell>
          <cell r="K157">
            <v>4564.6005500000001</v>
          </cell>
          <cell r="L157">
            <v>5399.0065500000001</v>
          </cell>
          <cell r="M157">
            <v>360400</v>
          </cell>
          <cell r="N157">
            <v>360400</v>
          </cell>
          <cell r="O157" t="str">
            <v>n/d</v>
          </cell>
          <cell r="P157">
            <v>189300</v>
          </cell>
          <cell r="Q157">
            <v>189300</v>
          </cell>
          <cell r="R157">
            <v>0.5252497225305216</v>
          </cell>
          <cell r="S157">
            <v>0.50262486126526085</v>
          </cell>
          <cell r="T157">
            <v>0.8</v>
          </cell>
          <cell r="U157">
            <v>181146</v>
          </cell>
          <cell r="V157">
            <v>549700</v>
          </cell>
          <cell r="W157">
            <v>541546</v>
          </cell>
          <cell r="X157">
            <v>648720</v>
          </cell>
          <cell r="Y157">
            <v>633225</v>
          </cell>
          <cell r="Z157" t="str">
            <v>input</v>
          </cell>
          <cell r="AA157">
            <v>0</v>
          </cell>
          <cell r="AB157">
            <v>1.8122572142064373</v>
          </cell>
          <cell r="AC157">
            <v>653137.5</v>
          </cell>
          <cell r="AD157">
            <v>0</v>
          </cell>
          <cell r="AE157">
            <v>1194683.5</v>
          </cell>
          <cell r="AF157">
            <v>0</v>
          </cell>
          <cell r="AG157">
            <v>0</v>
          </cell>
          <cell r="AH157">
            <v>0</v>
          </cell>
          <cell r="AI157">
            <v>0</v>
          </cell>
          <cell r="AJ157">
            <v>0</v>
          </cell>
        </row>
        <row r="158">
          <cell r="A158" t="str">
            <v>TSX:KEY_CFO_2012</v>
          </cell>
          <cell r="B158" t="str">
            <v>TSX:KEY</v>
          </cell>
          <cell r="C158" t="str">
            <v>Keyera Corp.</v>
          </cell>
          <cell r="D158">
            <v>2012</v>
          </cell>
          <cell r="E158">
            <v>12</v>
          </cell>
          <cell r="F158" t="str">
            <v>CAD</v>
          </cell>
          <cell r="G158">
            <v>1</v>
          </cell>
          <cell r="H158" t="str">
            <v>Steven Kroeker</v>
          </cell>
          <cell r="I158" t="str">
            <v>Vice President, CFO</v>
          </cell>
          <cell r="J158" t="str">
            <v>CFO</v>
          </cell>
          <cell r="K158">
            <v>4564.6005500000001</v>
          </cell>
          <cell r="L158">
            <v>5399.0065500000001</v>
          </cell>
          <cell r="M158">
            <v>270000</v>
          </cell>
          <cell r="N158">
            <v>270000</v>
          </cell>
          <cell r="O158" t="str">
            <v>n/d</v>
          </cell>
          <cell r="P158">
            <v>112320</v>
          </cell>
          <cell r="Q158">
            <v>112320</v>
          </cell>
          <cell r="R158">
            <v>0.41599999999999998</v>
          </cell>
          <cell r="S158" t="str">
            <v>n/d</v>
          </cell>
          <cell r="T158">
            <v>0.8</v>
          </cell>
          <cell r="U158" t="str">
            <v>input</v>
          </cell>
          <cell r="V158">
            <v>382320</v>
          </cell>
          <cell r="W158" t="str">
            <v>input</v>
          </cell>
          <cell r="X158">
            <v>486000</v>
          </cell>
          <cell r="Y158">
            <v>334400</v>
          </cell>
          <cell r="Z158">
            <v>0</v>
          </cell>
          <cell r="AA158">
            <v>334400</v>
          </cell>
          <cell r="AB158">
            <v>1.2385185185185186</v>
          </cell>
          <cell r="AC158">
            <v>334400</v>
          </cell>
          <cell r="AD158">
            <v>716720</v>
          </cell>
          <cell r="AE158">
            <v>0</v>
          </cell>
          <cell r="AF158" t="str">
            <v xml:space="preserve">Dean Setoguchi resigned as VP, CFO on October 12, 2012. His successor, Steven Kroeker, was appointed VP, CFO on November 7, 2012. The data recorded represents Mr. Kroeker's pay as CFO. As such, STIP and LTIP values prior to 2012 have not been included in taregt calculations. </v>
          </cell>
          <cell r="AH158" t="str">
            <v>2X base salary</v>
          </cell>
          <cell r="AI158" t="str">
            <v>5 years</v>
          </cell>
          <cell r="AJ158">
            <v>0</v>
          </cell>
        </row>
        <row r="159">
          <cell r="A159" t="str">
            <v>TSX:KEY__2011</v>
          </cell>
          <cell r="B159" t="str">
            <v>TSX:KEY</v>
          </cell>
          <cell r="C159" t="str">
            <v>Keyera Corp.</v>
          </cell>
          <cell r="D159">
            <v>2011</v>
          </cell>
          <cell r="E159">
            <v>12</v>
          </cell>
          <cell r="F159" t="str">
            <v>CAD</v>
          </cell>
          <cell r="G159">
            <v>1</v>
          </cell>
          <cell r="K159">
            <v>0</v>
          </cell>
          <cell r="L159">
            <v>0</v>
          </cell>
          <cell r="M159">
            <v>0</v>
          </cell>
          <cell r="N159">
            <v>0</v>
          </cell>
          <cell r="O159">
            <v>0</v>
          </cell>
          <cell r="P159">
            <v>0</v>
          </cell>
          <cell r="Q159">
            <v>0</v>
          </cell>
          <cell r="R159" t="str">
            <v>input</v>
          </cell>
          <cell r="S159">
            <v>0</v>
          </cell>
          <cell r="T159">
            <v>0</v>
          </cell>
          <cell r="U159">
            <v>0</v>
          </cell>
          <cell r="V159">
            <v>0</v>
          </cell>
          <cell r="W159">
            <v>0</v>
          </cell>
          <cell r="X159">
            <v>0</v>
          </cell>
          <cell r="Y159">
            <v>0</v>
          </cell>
          <cell r="Z159">
            <v>0</v>
          </cell>
          <cell r="AA159">
            <v>0</v>
          </cell>
          <cell r="AB159" t="str">
            <v>input</v>
          </cell>
          <cell r="AC159">
            <v>0</v>
          </cell>
          <cell r="AD159">
            <v>0</v>
          </cell>
          <cell r="AE159">
            <v>0</v>
          </cell>
          <cell r="AH159">
            <v>0</v>
          </cell>
          <cell r="AI159">
            <v>0</v>
          </cell>
          <cell r="AJ159">
            <v>0</v>
          </cell>
        </row>
        <row r="160">
          <cell r="A160" t="str">
            <v>TSX:KEY__2010</v>
          </cell>
          <cell r="B160" t="str">
            <v>TSX:KEY</v>
          </cell>
          <cell r="C160" t="str">
            <v>Keyera Corp.</v>
          </cell>
          <cell r="D160">
            <v>2010</v>
          </cell>
          <cell r="E160">
            <v>12</v>
          </cell>
          <cell r="F160" t="str">
            <v>CAD</v>
          </cell>
          <cell r="G160">
            <v>1</v>
          </cell>
          <cell r="K160">
            <v>0</v>
          </cell>
          <cell r="L160">
            <v>0</v>
          </cell>
          <cell r="M160">
            <v>0</v>
          </cell>
          <cell r="N160">
            <v>0</v>
          </cell>
          <cell r="O160">
            <v>0</v>
          </cell>
          <cell r="P160">
            <v>0</v>
          </cell>
          <cell r="Q160">
            <v>0</v>
          </cell>
          <cell r="R160" t="str">
            <v>input</v>
          </cell>
          <cell r="S160">
            <v>0</v>
          </cell>
          <cell r="T160">
            <v>0</v>
          </cell>
          <cell r="U160">
            <v>0</v>
          </cell>
          <cell r="V160">
            <v>0</v>
          </cell>
          <cell r="W160">
            <v>0</v>
          </cell>
          <cell r="X160">
            <v>0</v>
          </cell>
          <cell r="Y160">
            <v>0</v>
          </cell>
          <cell r="Z160">
            <v>0</v>
          </cell>
          <cell r="AA160">
            <v>0</v>
          </cell>
          <cell r="AB160" t="str">
            <v>input</v>
          </cell>
          <cell r="AC160">
            <v>0</v>
          </cell>
          <cell r="AD160">
            <v>0</v>
          </cell>
          <cell r="AE160">
            <v>0</v>
          </cell>
          <cell r="AH160">
            <v>0</v>
          </cell>
          <cell r="AI160">
            <v>0</v>
          </cell>
          <cell r="AJ160">
            <v>0</v>
          </cell>
        </row>
        <row r="161">
          <cell r="A161" t="str">
            <v>TSX:KEY_CFO_Target</v>
          </cell>
          <cell r="B161" t="str">
            <v>TSX:KEY</v>
          </cell>
          <cell r="C161" t="str">
            <v>Keyera Corp.</v>
          </cell>
          <cell r="D161" t="str">
            <v>Target</v>
          </cell>
          <cell r="E161">
            <v>12</v>
          </cell>
          <cell r="F161" t="str">
            <v>CAD</v>
          </cell>
          <cell r="G161">
            <v>1</v>
          </cell>
          <cell r="H161" t="str">
            <v>Steven Kroeker</v>
          </cell>
          <cell r="I161" t="str">
            <v>Vice President, CFO</v>
          </cell>
          <cell r="J161" t="str">
            <v>CFO</v>
          </cell>
          <cell r="K161">
            <v>4564.6005500000001</v>
          </cell>
          <cell r="L161">
            <v>5399.0065500000001</v>
          </cell>
          <cell r="M161">
            <v>270000</v>
          </cell>
          <cell r="N161">
            <v>270000</v>
          </cell>
          <cell r="O161" t="str">
            <v>n/d</v>
          </cell>
          <cell r="P161">
            <v>112320</v>
          </cell>
          <cell r="Q161">
            <v>112320</v>
          </cell>
          <cell r="R161">
            <v>0.41599999999999998</v>
          </cell>
          <cell r="S161">
            <v>0.41599999999999998</v>
          </cell>
          <cell r="T161">
            <v>0.8</v>
          </cell>
          <cell r="U161">
            <v>112320</v>
          </cell>
          <cell r="V161">
            <v>382320</v>
          </cell>
          <cell r="W161">
            <v>382320</v>
          </cell>
          <cell r="X161">
            <v>486000</v>
          </cell>
          <cell r="Y161">
            <v>334400</v>
          </cell>
          <cell r="Z161" t="str">
            <v>input</v>
          </cell>
          <cell r="AA161">
            <v>0</v>
          </cell>
          <cell r="AB161">
            <v>1.2385185185185186</v>
          </cell>
          <cell r="AC161">
            <v>334400</v>
          </cell>
          <cell r="AD161">
            <v>0</v>
          </cell>
          <cell r="AE161">
            <v>716720</v>
          </cell>
          <cell r="AF161" t="str">
            <v xml:space="preserve">Dean Setoguchi resigned as VP, CFO on October 12, 2012. His successor, Steven Kroeker, was appointed VP, CFO on November 7, 2012. The data recorded represents Mr. Kroeker's pay as CFO. As such, STIP and LTIP values prior to 2012 have not been included in taregt calculations. </v>
          </cell>
          <cell r="AG161">
            <v>0</v>
          </cell>
          <cell r="AH161">
            <v>0</v>
          </cell>
          <cell r="AI161">
            <v>0</v>
          </cell>
          <cell r="AJ161">
            <v>0</v>
          </cell>
        </row>
        <row r="162">
          <cell r="A162" t="str">
            <v>TSX:KEY_NEO 2_2012</v>
          </cell>
          <cell r="B162" t="str">
            <v>TSX:KEY</v>
          </cell>
          <cell r="C162" t="str">
            <v>Keyera Corp.</v>
          </cell>
          <cell r="D162">
            <v>2012</v>
          </cell>
          <cell r="E162">
            <v>12</v>
          </cell>
          <cell r="F162" t="str">
            <v>CAD</v>
          </cell>
          <cell r="G162">
            <v>1</v>
          </cell>
          <cell r="H162" t="str">
            <v>Mark Isotti</v>
          </cell>
          <cell r="I162" t="str">
            <v>Senior Vice President, Gathering and Processing Business Unit</v>
          </cell>
          <cell r="J162" t="str">
            <v>NEO 2</v>
          </cell>
          <cell r="K162">
            <v>4564.6005500000001</v>
          </cell>
          <cell r="L162">
            <v>5399.0065500000001</v>
          </cell>
          <cell r="M162">
            <v>275184</v>
          </cell>
          <cell r="N162">
            <v>275184</v>
          </cell>
          <cell r="O162">
            <v>275184</v>
          </cell>
          <cell r="P162">
            <v>116678</v>
          </cell>
          <cell r="Q162">
            <v>116678</v>
          </cell>
          <cell r="R162">
            <v>0.42399994185708473</v>
          </cell>
          <cell r="S162" t="str">
            <v>n/d</v>
          </cell>
          <cell r="T162">
            <v>0.8</v>
          </cell>
          <cell r="U162" t="str">
            <v>input</v>
          </cell>
          <cell r="V162">
            <v>391862</v>
          </cell>
          <cell r="W162" t="str">
            <v>input</v>
          </cell>
          <cell r="X162">
            <v>495331.2</v>
          </cell>
          <cell r="Y162">
            <v>365925</v>
          </cell>
          <cell r="Z162">
            <v>0</v>
          </cell>
          <cell r="AA162">
            <v>365925</v>
          </cell>
          <cell r="AB162">
            <v>1.3297466422466422</v>
          </cell>
          <cell r="AC162">
            <v>365925</v>
          </cell>
          <cell r="AD162">
            <v>757787</v>
          </cell>
          <cell r="AE162">
            <v>0</v>
          </cell>
          <cell r="AG162" t="str">
            <v>Until March 2012 Mr. Isotti was Senior VP, Foothills Business Unit and Mr. Lock was Senior VP, North Central Business Unit. Effective with the promotion Messrs. Isotti and Lock to their new positions, eachreceived an increase in base salary from $264,600 to $275,184</v>
          </cell>
          <cell r="AH162" t="str">
            <v>2X base salary</v>
          </cell>
          <cell r="AI162" t="str">
            <v>5 years</v>
          </cell>
          <cell r="AJ162">
            <v>0</v>
          </cell>
        </row>
        <row r="163">
          <cell r="A163" t="str">
            <v>TSX:KEY_NEO 2_2011</v>
          </cell>
          <cell r="B163" t="str">
            <v>TSX:KEY</v>
          </cell>
          <cell r="C163" t="str">
            <v>Keyera Corp.</v>
          </cell>
          <cell r="D163">
            <v>2011</v>
          </cell>
          <cell r="E163">
            <v>12</v>
          </cell>
          <cell r="F163" t="str">
            <v>CAD</v>
          </cell>
          <cell r="G163">
            <v>1</v>
          </cell>
          <cell r="H163" t="str">
            <v>Mark Isotti</v>
          </cell>
          <cell r="I163" t="str">
            <v>Senior Vice President, Gathering and Processing Business Unit</v>
          </cell>
          <cell r="J163" t="str">
            <v>NEO 2</v>
          </cell>
          <cell r="K163">
            <v>4564.6005500000001</v>
          </cell>
          <cell r="L163">
            <v>5399.0065500000001</v>
          </cell>
          <cell r="M163">
            <v>245000</v>
          </cell>
          <cell r="N163">
            <v>245000</v>
          </cell>
          <cell r="O163">
            <v>0</v>
          </cell>
          <cell r="P163">
            <v>112700</v>
          </cell>
          <cell r="Q163">
            <v>112700</v>
          </cell>
          <cell r="R163">
            <v>0.46</v>
          </cell>
          <cell r="S163">
            <v>0</v>
          </cell>
          <cell r="T163">
            <v>0</v>
          </cell>
          <cell r="U163">
            <v>0</v>
          </cell>
          <cell r="V163">
            <v>0</v>
          </cell>
          <cell r="W163">
            <v>0</v>
          </cell>
          <cell r="X163">
            <v>0</v>
          </cell>
          <cell r="Y163">
            <v>398250</v>
          </cell>
          <cell r="Z163">
            <v>0</v>
          </cell>
          <cell r="AA163">
            <v>398250</v>
          </cell>
          <cell r="AB163">
            <v>1.6255102040816327</v>
          </cell>
          <cell r="AC163">
            <v>398250</v>
          </cell>
          <cell r="AD163">
            <v>755950</v>
          </cell>
          <cell r="AE163">
            <v>0</v>
          </cell>
          <cell r="AH163">
            <v>0</v>
          </cell>
          <cell r="AI163">
            <v>0</v>
          </cell>
          <cell r="AJ163">
            <v>0</v>
          </cell>
        </row>
        <row r="164">
          <cell r="A164" t="str">
            <v>TSX:KEY_NEO 2_2010</v>
          </cell>
          <cell r="B164" t="str">
            <v>TSX:KEY</v>
          </cell>
          <cell r="C164" t="str">
            <v>Keyera Corp.</v>
          </cell>
          <cell r="D164">
            <v>2010</v>
          </cell>
          <cell r="E164">
            <v>12</v>
          </cell>
          <cell r="F164" t="str">
            <v>CAD</v>
          </cell>
          <cell r="G164">
            <v>1</v>
          </cell>
          <cell r="H164" t="str">
            <v>Mark Isotti</v>
          </cell>
          <cell r="I164" t="str">
            <v>Senior Vice President, Foothills Business Unit</v>
          </cell>
          <cell r="J164" t="str">
            <v>NEO 2</v>
          </cell>
          <cell r="K164">
            <v>4564.6005500000001</v>
          </cell>
          <cell r="L164">
            <v>5399.0065500000001</v>
          </cell>
          <cell r="M164">
            <v>219168</v>
          </cell>
          <cell r="N164">
            <v>219168</v>
          </cell>
          <cell r="O164">
            <v>0</v>
          </cell>
          <cell r="P164">
            <v>153418</v>
          </cell>
          <cell r="Q164">
            <v>153418</v>
          </cell>
          <cell r="R164">
            <v>0.70000182508395381</v>
          </cell>
          <cell r="S164">
            <v>0</v>
          </cell>
          <cell r="T164">
            <v>0</v>
          </cell>
          <cell r="U164">
            <v>0</v>
          </cell>
          <cell r="V164">
            <v>0</v>
          </cell>
          <cell r="W164">
            <v>0</v>
          </cell>
          <cell r="X164">
            <v>0</v>
          </cell>
          <cell r="Y164">
            <v>307970</v>
          </cell>
          <cell r="Z164">
            <v>0</v>
          </cell>
          <cell r="AA164">
            <v>307970</v>
          </cell>
          <cell r="AB164">
            <v>1.4051777631771061</v>
          </cell>
          <cell r="AC164">
            <v>307970</v>
          </cell>
          <cell r="AD164">
            <v>680556</v>
          </cell>
          <cell r="AE164">
            <v>0</v>
          </cell>
          <cell r="AH164">
            <v>0</v>
          </cell>
          <cell r="AI164">
            <v>0</v>
          </cell>
          <cell r="AJ164">
            <v>0</v>
          </cell>
        </row>
        <row r="165">
          <cell r="A165" t="str">
            <v>TSX:KEY_NEO 2_Target</v>
          </cell>
          <cell r="B165" t="str">
            <v>TSX:KEY</v>
          </cell>
          <cell r="C165" t="str">
            <v>Keyera Corp.</v>
          </cell>
          <cell r="D165" t="str">
            <v>Target</v>
          </cell>
          <cell r="E165">
            <v>12</v>
          </cell>
          <cell r="F165" t="str">
            <v>CAD</v>
          </cell>
          <cell r="G165">
            <v>1</v>
          </cell>
          <cell r="H165" t="str">
            <v>Mark Isotti</v>
          </cell>
          <cell r="I165" t="str">
            <v>Senior Vice President, Gathering and Processing Business Unit</v>
          </cell>
          <cell r="J165" t="str">
            <v>NEO 2</v>
          </cell>
          <cell r="K165">
            <v>4564.6005500000001</v>
          </cell>
          <cell r="L165">
            <v>5399.0065500000001</v>
          </cell>
          <cell r="M165">
            <v>275184</v>
          </cell>
          <cell r="N165">
            <v>275184</v>
          </cell>
          <cell r="O165">
            <v>275184</v>
          </cell>
          <cell r="P165">
            <v>116678</v>
          </cell>
          <cell r="Q165">
            <v>116678</v>
          </cell>
          <cell r="R165">
            <v>0.42399994185708473</v>
          </cell>
          <cell r="S165">
            <v>0.52800058898034619</v>
          </cell>
          <cell r="T165">
            <v>0.8</v>
          </cell>
          <cell r="U165">
            <v>145297.31407796757</v>
          </cell>
          <cell r="V165">
            <v>391862</v>
          </cell>
          <cell r="W165">
            <v>420481.3140779676</v>
          </cell>
          <cell r="X165">
            <v>495331.2</v>
          </cell>
          <cell r="Y165">
            <v>357381.66666666669</v>
          </cell>
          <cell r="Z165" t="str">
            <v>input</v>
          </cell>
          <cell r="AA165">
            <v>0</v>
          </cell>
          <cell r="AB165">
            <v>1.4534782031684603</v>
          </cell>
          <cell r="AC165">
            <v>399973.94586070959</v>
          </cell>
          <cell r="AD165">
            <v>0</v>
          </cell>
          <cell r="AE165">
            <v>820455.25993867707</v>
          </cell>
          <cell r="AF165">
            <v>0</v>
          </cell>
          <cell r="AG165">
            <v>0</v>
          </cell>
          <cell r="AH165">
            <v>0</v>
          </cell>
          <cell r="AI165">
            <v>0</v>
          </cell>
          <cell r="AJ165">
            <v>0</v>
          </cell>
        </row>
        <row r="166">
          <cell r="A166" t="str">
            <v>TSX:KEY_NEO 3_2012</v>
          </cell>
          <cell r="B166" t="str">
            <v>TSX:KEY</v>
          </cell>
          <cell r="C166" t="str">
            <v>Keyera Corp.</v>
          </cell>
          <cell r="D166">
            <v>2012</v>
          </cell>
          <cell r="E166">
            <v>12</v>
          </cell>
          <cell r="F166" t="str">
            <v>CAD</v>
          </cell>
          <cell r="G166">
            <v>1</v>
          </cell>
          <cell r="H166" t="str">
            <v>Bradley Lock</v>
          </cell>
          <cell r="I166" t="str">
            <v>Senior Vice President, Liquids Business Unit</v>
          </cell>
          <cell r="J166" t="str">
            <v>NEO 3</v>
          </cell>
          <cell r="K166">
            <v>4564.6005500000001</v>
          </cell>
          <cell r="L166">
            <v>5399.0065500000001</v>
          </cell>
          <cell r="M166">
            <v>275184</v>
          </cell>
          <cell r="N166">
            <v>275184</v>
          </cell>
          <cell r="O166">
            <v>275184</v>
          </cell>
          <cell r="P166">
            <v>116678</v>
          </cell>
          <cell r="Q166">
            <v>116678</v>
          </cell>
          <cell r="R166">
            <v>0.42399994185708473</v>
          </cell>
          <cell r="S166" t="str">
            <v>n/d</v>
          </cell>
          <cell r="T166">
            <v>0.8</v>
          </cell>
          <cell r="U166" t="str">
            <v>input</v>
          </cell>
          <cell r="V166">
            <v>391862</v>
          </cell>
          <cell r="W166" t="str">
            <v>input</v>
          </cell>
          <cell r="X166">
            <v>495331.2</v>
          </cell>
          <cell r="Y166">
            <v>365925</v>
          </cell>
          <cell r="Z166">
            <v>0</v>
          </cell>
          <cell r="AA166">
            <v>365925</v>
          </cell>
          <cell r="AB166">
            <v>1.3297466422466422</v>
          </cell>
          <cell r="AC166">
            <v>365925</v>
          </cell>
          <cell r="AD166">
            <v>757787</v>
          </cell>
          <cell r="AE166">
            <v>0</v>
          </cell>
          <cell r="AG166" t="str">
            <v>Until March 2012 Mr. Isotti was Senior VP, Foothills Business Unit and Mr. Lock was Senior VP, North Central Business Unit. Effective with the promotion Messrs. Isotti and Lock to their new positions, eachreceived an increase in base salary from $264,600 to $275,184</v>
          </cell>
          <cell r="AH166" t="str">
            <v>2X base salary</v>
          </cell>
          <cell r="AI166" t="str">
            <v>5 years</v>
          </cell>
          <cell r="AJ166">
            <v>0</v>
          </cell>
        </row>
        <row r="167">
          <cell r="A167" t="str">
            <v>TSX:KEY_NEO 3_2011</v>
          </cell>
          <cell r="B167" t="str">
            <v>TSX:KEY</v>
          </cell>
          <cell r="C167" t="str">
            <v>Keyera Corp.</v>
          </cell>
          <cell r="D167">
            <v>2011</v>
          </cell>
          <cell r="E167">
            <v>12</v>
          </cell>
          <cell r="F167" t="str">
            <v>CAD</v>
          </cell>
          <cell r="G167">
            <v>1</v>
          </cell>
          <cell r="H167" t="str">
            <v>Bradley Lock</v>
          </cell>
          <cell r="I167" t="str">
            <v>Senior Vice President, Liquids Business Unit</v>
          </cell>
          <cell r="J167" t="str">
            <v>NEO 3</v>
          </cell>
          <cell r="K167">
            <v>4564.6005500000001</v>
          </cell>
          <cell r="L167">
            <v>5399.0065500000001</v>
          </cell>
          <cell r="M167">
            <v>245000</v>
          </cell>
          <cell r="N167">
            <v>245000</v>
          </cell>
          <cell r="O167">
            <v>0</v>
          </cell>
          <cell r="P167">
            <v>112700</v>
          </cell>
          <cell r="Q167">
            <v>112700</v>
          </cell>
          <cell r="R167">
            <v>0.46</v>
          </cell>
          <cell r="S167">
            <v>0</v>
          </cell>
          <cell r="T167">
            <v>0</v>
          </cell>
          <cell r="U167">
            <v>0</v>
          </cell>
          <cell r="V167">
            <v>0</v>
          </cell>
          <cell r="W167">
            <v>0</v>
          </cell>
          <cell r="X167">
            <v>0</v>
          </cell>
          <cell r="Y167">
            <v>398250</v>
          </cell>
          <cell r="Z167">
            <v>0</v>
          </cell>
          <cell r="AA167">
            <v>398250</v>
          </cell>
          <cell r="AB167">
            <v>1.6255102040816327</v>
          </cell>
          <cell r="AC167">
            <v>398250</v>
          </cell>
          <cell r="AD167">
            <v>755950</v>
          </cell>
          <cell r="AE167">
            <v>0</v>
          </cell>
          <cell r="AH167">
            <v>0</v>
          </cell>
          <cell r="AI167">
            <v>0</v>
          </cell>
          <cell r="AJ167">
            <v>0</v>
          </cell>
        </row>
        <row r="168">
          <cell r="A168" t="str">
            <v>TSX:KEY_NEO 3_2010</v>
          </cell>
          <cell r="B168" t="str">
            <v>TSX:KEY</v>
          </cell>
          <cell r="C168" t="str">
            <v>Keyera Corp.</v>
          </cell>
          <cell r="D168">
            <v>2010</v>
          </cell>
          <cell r="E168">
            <v>12</v>
          </cell>
          <cell r="F168" t="str">
            <v>CAD</v>
          </cell>
          <cell r="G168">
            <v>1</v>
          </cell>
          <cell r="H168" t="str">
            <v>Bradley Lock</v>
          </cell>
          <cell r="I168" t="str">
            <v>Senior Vice President, North Central Business Unit</v>
          </cell>
          <cell r="J168" t="str">
            <v>NEO 3</v>
          </cell>
          <cell r="K168">
            <v>4564.6005500000001</v>
          </cell>
          <cell r="L168">
            <v>5399.0065500000001</v>
          </cell>
          <cell r="M168">
            <v>219168</v>
          </cell>
          <cell r="N168">
            <v>219168</v>
          </cell>
          <cell r="O168">
            <v>0</v>
          </cell>
          <cell r="P168">
            <v>153418</v>
          </cell>
          <cell r="Q168">
            <v>153418</v>
          </cell>
          <cell r="R168">
            <v>0.70000182508395381</v>
          </cell>
          <cell r="S168">
            <v>0</v>
          </cell>
          <cell r="T168">
            <v>0</v>
          </cell>
          <cell r="U168">
            <v>0</v>
          </cell>
          <cell r="V168">
            <v>0</v>
          </cell>
          <cell r="W168">
            <v>0</v>
          </cell>
          <cell r="X168">
            <v>0</v>
          </cell>
          <cell r="Y168">
            <v>307970</v>
          </cell>
          <cell r="Z168">
            <v>0</v>
          </cell>
          <cell r="AA168">
            <v>307970</v>
          </cell>
          <cell r="AB168">
            <v>1.4051777631771061</v>
          </cell>
          <cell r="AC168">
            <v>307970</v>
          </cell>
          <cell r="AD168">
            <v>680556</v>
          </cell>
          <cell r="AE168">
            <v>0</v>
          </cell>
          <cell r="AH168">
            <v>0</v>
          </cell>
          <cell r="AI168">
            <v>0</v>
          </cell>
          <cell r="AJ168">
            <v>0</v>
          </cell>
        </row>
        <row r="169">
          <cell r="A169" t="str">
            <v>TSX:KEY_NEO 3_Target</v>
          </cell>
          <cell r="B169" t="str">
            <v>TSX:KEY</v>
          </cell>
          <cell r="C169" t="str">
            <v>Keyera Corp.</v>
          </cell>
          <cell r="D169" t="str">
            <v>Target</v>
          </cell>
          <cell r="E169">
            <v>12</v>
          </cell>
          <cell r="F169" t="str">
            <v>CAD</v>
          </cell>
          <cell r="G169">
            <v>1</v>
          </cell>
          <cell r="H169" t="str">
            <v>Bradley Lock</v>
          </cell>
          <cell r="I169" t="str">
            <v>Senior Vice President, Liquids Business Unit</v>
          </cell>
          <cell r="J169" t="str">
            <v>NEO 3</v>
          </cell>
          <cell r="K169">
            <v>4564.6005500000001</v>
          </cell>
          <cell r="L169">
            <v>5399.0065500000001</v>
          </cell>
          <cell r="M169">
            <v>275184</v>
          </cell>
          <cell r="N169">
            <v>275184</v>
          </cell>
          <cell r="O169">
            <v>275184</v>
          </cell>
          <cell r="P169">
            <v>116678</v>
          </cell>
          <cell r="Q169">
            <v>116678</v>
          </cell>
          <cell r="R169">
            <v>0.42399994185708473</v>
          </cell>
          <cell r="S169">
            <v>0.52800058898034619</v>
          </cell>
          <cell r="T169">
            <v>0.8</v>
          </cell>
          <cell r="U169">
            <v>145297.31407796757</v>
          </cell>
          <cell r="V169">
            <v>391862</v>
          </cell>
          <cell r="W169">
            <v>420481.3140779676</v>
          </cell>
          <cell r="X169">
            <v>495331.2</v>
          </cell>
          <cell r="Y169">
            <v>357381.66666666669</v>
          </cell>
          <cell r="Z169" t="str">
            <v>input</v>
          </cell>
          <cell r="AA169">
            <v>0</v>
          </cell>
          <cell r="AB169">
            <v>1.4534782031684603</v>
          </cell>
          <cell r="AC169">
            <v>399973.94586070959</v>
          </cell>
          <cell r="AD169">
            <v>0</v>
          </cell>
          <cell r="AE169">
            <v>820455.25993867707</v>
          </cell>
          <cell r="AF169">
            <v>0</v>
          </cell>
          <cell r="AG169">
            <v>0</v>
          </cell>
          <cell r="AH169">
            <v>0</v>
          </cell>
          <cell r="AI169">
            <v>0</v>
          </cell>
          <cell r="AJ169">
            <v>0</v>
          </cell>
        </row>
        <row r="170">
          <cell r="A170" t="str">
            <v>TSX:PPL_CEO_2012</v>
          </cell>
          <cell r="B170" t="str">
            <v>TSX:PPL</v>
          </cell>
          <cell r="C170" t="str">
            <v>Pembina Pipeline Corporation</v>
          </cell>
          <cell r="D170">
            <v>2012</v>
          </cell>
          <cell r="E170">
            <v>12</v>
          </cell>
          <cell r="F170" t="str">
            <v>CAD</v>
          </cell>
          <cell r="G170">
            <v>1</v>
          </cell>
          <cell r="H170" t="str">
            <v>Robert Michaleski</v>
          </cell>
          <cell r="I170" t="str">
            <v>CEO</v>
          </cell>
          <cell r="J170" t="str">
            <v>CEO</v>
          </cell>
          <cell r="K170">
            <v>10325.58592</v>
          </cell>
          <cell r="L170">
            <v>12655.985919999999</v>
          </cell>
          <cell r="M170">
            <v>625000</v>
          </cell>
          <cell r="N170">
            <v>625000</v>
          </cell>
          <cell r="O170" t="str">
            <v>n/d</v>
          </cell>
          <cell r="P170">
            <v>468750</v>
          </cell>
          <cell r="Q170">
            <v>468750</v>
          </cell>
          <cell r="R170">
            <v>0.75</v>
          </cell>
          <cell r="S170" t="str">
            <v>n/d</v>
          </cell>
          <cell r="T170">
            <v>1.2</v>
          </cell>
          <cell r="U170" t="str">
            <v>input</v>
          </cell>
          <cell r="V170">
            <v>1093750</v>
          </cell>
          <cell r="W170" t="str">
            <v>input</v>
          </cell>
          <cell r="X170">
            <v>1375000</v>
          </cell>
          <cell r="Y170">
            <v>1406267</v>
          </cell>
          <cell r="Z170">
            <v>0</v>
          </cell>
          <cell r="AA170">
            <v>1406267</v>
          </cell>
          <cell r="AB170">
            <v>2.2500271999999999</v>
          </cell>
          <cell r="AC170">
            <v>1406267</v>
          </cell>
          <cell r="AD170">
            <v>2500017</v>
          </cell>
          <cell r="AE170">
            <v>0</v>
          </cell>
          <cell r="AF170" t="str">
            <v>Robert Michaleski was President and CEO up until Feb 15, 2012, after which he became CEO.</v>
          </cell>
          <cell r="AH170" t="str">
            <v>3X base salary</v>
          </cell>
          <cell r="AI170" t="str">
            <v>5 years</v>
          </cell>
          <cell r="AJ170">
            <v>0</v>
          </cell>
        </row>
        <row r="171">
          <cell r="A171" t="str">
            <v>TSX:PPL_CEO_2011</v>
          </cell>
          <cell r="B171" t="str">
            <v>TSX:PPL</v>
          </cell>
          <cell r="C171" t="str">
            <v>Pembina Pipeline Corporation</v>
          </cell>
          <cell r="D171">
            <v>2011</v>
          </cell>
          <cell r="E171">
            <v>12</v>
          </cell>
          <cell r="F171" t="str">
            <v>CAD</v>
          </cell>
          <cell r="G171">
            <v>1</v>
          </cell>
          <cell r="H171" t="str">
            <v>Robert Michaleski</v>
          </cell>
          <cell r="I171" t="str">
            <v>President and CEO</v>
          </cell>
          <cell r="J171" t="str">
            <v>CEO</v>
          </cell>
          <cell r="K171">
            <v>10325.58592</v>
          </cell>
          <cell r="L171">
            <v>12655.985919999999</v>
          </cell>
          <cell r="M171">
            <v>588600</v>
          </cell>
          <cell r="N171">
            <v>588600</v>
          </cell>
          <cell r="O171">
            <v>0</v>
          </cell>
          <cell r="P171">
            <v>529740</v>
          </cell>
          <cell r="Q171">
            <v>529740</v>
          </cell>
          <cell r="R171">
            <v>0.9</v>
          </cell>
          <cell r="S171">
            <v>0</v>
          </cell>
          <cell r="T171">
            <v>0</v>
          </cell>
          <cell r="U171">
            <v>0</v>
          </cell>
          <cell r="V171">
            <v>0</v>
          </cell>
          <cell r="W171">
            <v>0</v>
          </cell>
          <cell r="X171">
            <v>0</v>
          </cell>
          <cell r="Y171">
            <v>1177189</v>
          </cell>
          <cell r="Z171">
            <v>0</v>
          </cell>
          <cell r="AA171">
            <v>1177189</v>
          </cell>
          <cell r="AB171">
            <v>1.9999813115868161</v>
          </cell>
          <cell r="AC171">
            <v>1177189</v>
          </cell>
          <cell r="AD171">
            <v>2295529</v>
          </cell>
          <cell r="AE171">
            <v>0</v>
          </cell>
          <cell r="AH171">
            <v>0</v>
          </cell>
          <cell r="AI171">
            <v>0</v>
          </cell>
          <cell r="AJ171">
            <v>0</v>
          </cell>
        </row>
        <row r="172">
          <cell r="A172" t="str">
            <v>TSX:PPL_CEO_2010</v>
          </cell>
          <cell r="B172" t="str">
            <v>TSX:PPL</v>
          </cell>
          <cell r="C172" t="str">
            <v>Pembina Pipeline Corporation</v>
          </cell>
          <cell r="D172">
            <v>2010</v>
          </cell>
          <cell r="E172">
            <v>12</v>
          </cell>
          <cell r="F172" t="str">
            <v>CAD</v>
          </cell>
          <cell r="G172">
            <v>1</v>
          </cell>
          <cell r="H172" t="str">
            <v>Robert Michaleski</v>
          </cell>
          <cell r="I172" t="str">
            <v>President and CEO</v>
          </cell>
          <cell r="J172" t="str">
            <v>CEO</v>
          </cell>
          <cell r="K172">
            <v>10325.58592</v>
          </cell>
          <cell r="L172">
            <v>12655.985919999999</v>
          </cell>
          <cell r="M172">
            <v>588600</v>
          </cell>
          <cell r="N172">
            <v>588600</v>
          </cell>
          <cell r="O172">
            <v>0</v>
          </cell>
          <cell r="P172">
            <v>470880</v>
          </cell>
          <cell r="Q172">
            <v>470880</v>
          </cell>
          <cell r="R172">
            <v>0.8</v>
          </cell>
          <cell r="S172">
            <v>0</v>
          </cell>
          <cell r="T172">
            <v>0</v>
          </cell>
          <cell r="U172">
            <v>0</v>
          </cell>
          <cell r="V172">
            <v>0</v>
          </cell>
          <cell r="W172">
            <v>0</v>
          </cell>
          <cell r="X172">
            <v>0</v>
          </cell>
          <cell r="Y172">
            <v>1035927</v>
          </cell>
          <cell r="Z172">
            <v>0</v>
          </cell>
          <cell r="AA172">
            <v>1035927</v>
          </cell>
          <cell r="AB172">
            <v>1.7599847094801224</v>
          </cell>
          <cell r="AC172">
            <v>1035927</v>
          </cell>
          <cell r="AD172">
            <v>2095407</v>
          </cell>
          <cell r="AE172">
            <v>0</v>
          </cell>
          <cell r="AH172">
            <v>0</v>
          </cell>
          <cell r="AI172">
            <v>0</v>
          </cell>
          <cell r="AJ172">
            <v>0</v>
          </cell>
        </row>
        <row r="173">
          <cell r="A173" t="str">
            <v>TSX:PPL_CEO_Target</v>
          </cell>
          <cell r="B173" t="str">
            <v>TSX:PPL</v>
          </cell>
          <cell r="C173" t="str">
            <v>Pembina Pipeline Corporation</v>
          </cell>
          <cell r="D173" t="str">
            <v>Target</v>
          </cell>
          <cell r="E173">
            <v>12</v>
          </cell>
          <cell r="F173" t="str">
            <v>CAD</v>
          </cell>
          <cell r="G173">
            <v>1</v>
          </cell>
          <cell r="H173" t="str">
            <v>Robert Michaleski</v>
          </cell>
          <cell r="I173" t="str">
            <v>CEO</v>
          </cell>
          <cell r="J173" t="str">
            <v>CEO</v>
          </cell>
          <cell r="K173">
            <v>10325.58592</v>
          </cell>
          <cell r="L173">
            <v>12655.985919999999</v>
          </cell>
          <cell r="M173">
            <v>625000</v>
          </cell>
          <cell r="N173">
            <v>625000</v>
          </cell>
          <cell r="O173" t="str">
            <v>n/d</v>
          </cell>
          <cell r="P173">
            <v>468750</v>
          </cell>
          <cell r="Q173">
            <v>468750</v>
          </cell>
          <cell r="R173">
            <v>0.75</v>
          </cell>
          <cell r="S173">
            <v>0.81666666666666676</v>
          </cell>
          <cell r="T173">
            <v>1.2</v>
          </cell>
          <cell r="U173">
            <v>510416.66666666674</v>
          </cell>
          <cell r="V173">
            <v>1093750</v>
          </cell>
          <cell r="W173">
            <v>1135416.6666666667</v>
          </cell>
          <cell r="X173">
            <v>1375000</v>
          </cell>
          <cell r="Y173">
            <v>1206461</v>
          </cell>
          <cell r="Z173" t="str">
            <v>input</v>
          </cell>
          <cell r="AA173">
            <v>0</v>
          </cell>
          <cell r="AB173">
            <v>2.0033310736889796</v>
          </cell>
          <cell r="AC173">
            <v>1252081.9210556122</v>
          </cell>
          <cell r="AD173">
            <v>0</v>
          </cell>
          <cell r="AE173">
            <v>2387498.5877222791</v>
          </cell>
          <cell r="AF173" t="str">
            <v>Robert Michaleski was President and CEO up until Feb 15, 2012, after which he became CEO.</v>
          </cell>
          <cell r="AG173">
            <v>0</v>
          </cell>
          <cell r="AH173">
            <v>0</v>
          </cell>
          <cell r="AI173">
            <v>0</v>
          </cell>
          <cell r="AJ173">
            <v>0</v>
          </cell>
        </row>
        <row r="174">
          <cell r="A174" t="str">
            <v>TSX:PPL_CFO_2012</v>
          </cell>
          <cell r="B174" t="str">
            <v>TSX:PPL</v>
          </cell>
          <cell r="C174" t="str">
            <v>Pembina Pipeline Corporation</v>
          </cell>
          <cell r="D174">
            <v>2012</v>
          </cell>
          <cell r="E174">
            <v>12</v>
          </cell>
          <cell r="F174" t="str">
            <v>CAD</v>
          </cell>
          <cell r="G174">
            <v>1</v>
          </cell>
          <cell r="H174" t="str">
            <v>Peter Robertson</v>
          </cell>
          <cell r="I174" t="str">
            <v>VP, Finance and CFO</v>
          </cell>
          <cell r="J174" t="str">
            <v>CFO</v>
          </cell>
          <cell r="K174">
            <v>10325.58592</v>
          </cell>
          <cell r="L174">
            <v>12655.985919999999</v>
          </cell>
          <cell r="M174">
            <v>343350</v>
          </cell>
          <cell r="N174">
            <v>343350</v>
          </cell>
          <cell r="O174" t="str">
            <v>n/d</v>
          </cell>
          <cell r="P174">
            <v>171675</v>
          </cell>
          <cell r="Q174">
            <v>171675</v>
          </cell>
          <cell r="R174">
            <v>0.5</v>
          </cell>
          <cell r="S174" t="str">
            <v>n/d</v>
          </cell>
          <cell r="T174">
            <v>1</v>
          </cell>
          <cell r="U174" t="str">
            <v>input</v>
          </cell>
          <cell r="V174">
            <v>515025</v>
          </cell>
          <cell r="W174" t="str">
            <v>input</v>
          </cell>
          <cell r="X174">
            <v>686700</v>
          </cell>
          <cell r="Y174">
            <v>618034</v>
          </cell>
          <cell r="Z174">
            <v>0</v>
          </cell>
          <cell r="AA174">
            <v>618034</v>
          </cell>
          <cell r="AB174">
            <v>1.8000116499199068</v>
          </cell>
          <cell r="AC174">
            <v>618034</v>
          </cell>
          <cell r="AD174">
            <v>1133059</v>
          </cell>
          <cell r="AE174">
            <v>0</v>
          </cell>
          <cell r="AH174" t="str">
            <v>2X base salary</v>
          </cell>
          <cell r="AI174" t="str">
            <v>5 years</v>
          </cell>
          <cell r="AJ174">
            <v>0</v>
          </cell>
        </row>
        <row r="175">
          <cell r="A175" t="str">
            <v>TSX:PPL_CFO_2011</v>
          </cell>
          <cell r="B175" t="str">
            <v>TSX:PPL</v>
          </cell>
          <cell r="C175" t="str">
            <v>Pembina Pipeline Corporation</v>
          </cell>
          <cell r="D175">
            <v>2011</v>
          </cell>
          <cell r="E175">
            <v>12</v>
          </cell>
          <cell r="F175" t="str">
            <v>CAD</v>
          </cell>
          <cell r="G175">
            <v>1</v>
          </cell>
          <cell r="H175" t="str">
            <v>Peter Robertson</v>
          </cell>
          <cell r="I175" t="str">
            <v>VP, Finance and CFO</v>
          </cell>
          <cell r="J175" t="str">
            <v>CFO</v>
          </cell>
          <cell r="K175">
            <v>10325.58592</v>
          </cell>
          <cell r="L175">
            <v>12655.985919999999</v>
          </cell>
          <cell r="M175">
            <v>327000</v>
          </cell>
          <cell r="N175">
            <v>327000</v>
          </cell>
          <cell r="O175">
            <v>0</v>
          </cell>
          <cell r="P175">
            <v>245250</v>
          </cell>
          <cell r="Q175">
            <v>245250</v>
          </cell>
          <cell r="R175">
            <v>0.75</v>
          </cell>
          <cell r="S175">
            <v>0</v>
          </cell>
          <cell r="T175">
            <v>0</v>
          </cell>
          <cell r="U175">
            <v>0</v>
          </cell>
          <cell r="V175">
            <v>0</v>
          </cell>
          <cell r="W175">
            <v>0</v>
          </cell>
          <cell r="X175">
            <v>0</v>
          </cell>
          <cell r="Y175">
            <v>517445</v>
          </cell>
          <cell r="Z175">
            <v>0</v>
          </cell>
          <cell r="AA175">
            <v>517445</v>
          </cell>
          <cell r="AB175">
            <v>1.5824006116207952</v>
          </cell>
          <cell r="AC175">
            <v>517445</v>
          </cell>
          <cell r="AD175">
            <v>1089695</v>
          </cell>
          <cell r="AE175">
            <v>0</v>
          </cell>
          <cell r="AH175">
            <v>0</v>
          </cell>
          <cell r="AI175">
            <v>0</v>
          </cell>
          <cell r="AJ175">
            <v>0</v>
          </cell>
        </row>
        <row r="176">
          <cell r="A176" t="str">
            <v>TSX:PPL_CFO_2010</v>
          </cell>
          <cell r="B176" t="str">
            <v>TSX:PPL</v>
          </cell>
          <cell r="C176" t="str">
            <v>Pembina Pipeline Corporation</v>
          </cell>
          <cell r="D176">
            <v>2010</v>
          </cell>
          <cell r="E176">
            <v>12</v>
          </cell>
          <cell r="F176" t="str">
            <v>CAD</v>
          </cell>
          <cell r="G176">
            <v>1</v>
          </cell>
          <cell r="H176" t="str">
            <v>Peter Robertson</v>
          </cell>
          <cell r="I176" t="str">
            <v>VP, Finance and CFO</v>
          </cell>
          <cell r="J176" t="str">
            <v>CFO</v>
          </cell>
          <cell r="K176">
            <v>10325.58592</v>
          </cell>
          <cell r="L176">
            <v>12655.985919999999</v>
          </cell>
          <cell r="M176">
            <v>318000</v>
          </cell>
          <cell r="N176">
            <v>318000</v>
          </cell>
          <cell r="O176">
            <v>0</v>
          </cell>
          <cell r="P176">
            <v>222600</v>
          </cell>
          <cell r="Q176">
            <v>222600</v>
          </cell>
          <cell r="R176">
            <v>0.7</v>
          </cell>
          <cell r="S176">
            <v>0</v>
          </cell>
          <cell r="T176">
            <v>0</v>
          </cell>
          <cell r="U176">
            <v>0</v>
          </cell>
          <cell r="V176">
            <v>0</v>
          </cell>
          <cell r="W176">
            <v>0</v>
          </cell>
          <cell r="X176">
            <v>0</v>
          </cell>
          <cell r="Y176">
            <v>502446</v>
          </cell>
          <cell r="Z176">
            <v>0</v>
          </cell>
          <cell r="AA176">
            <v>502446</v>
          </cell>
          <cell r="AB176">
            <v>1.5800188679245284</v>
          </cell>
          <cell r="AC176">
            <v>502446</v>
          </cell>
          <cell r="AD176">
            <v>1043046</v>
          </cell>
          <cell r="AE176">
            <v>0</v>
          </cell>
          <cell r="AH176">
            <v>0</v>
          </cell>
          <cell r="AI176">
            <v>0</v>
          </cell>
          <cell r="AJ176">
            <v>0</v>
          </cell>
        </row>
        <row r="177">
          <cell r="A177" t="str">
            <v>TSX:PPL_CFO_Target</v>
          </cell>
          <cell r="B177" t="str">
            <v>TSX:PPL</v>
          </cell>
          <cell r="C177" t="str">
            <v>Pembina Pipeline Corporation</v>
          </cell>
          <cell r="D177" t="str">
            <v>Target</v>
          </cell>
          <cell r="E177">
            <v>12</v>
          </cell>
          <cell r="F177" t="str">
            <v>CAD</v>
          </cell>
          <cell r="G177">
            <v>1</v>
          </cell>
          <cell r="H177" t="str">
            <v>Peter Robertson</v>
          </cell>
          <cell r="I177" t="str">
            <v>VP, Finance and CFO</v>
          </cell>
          <cell r="J177" t="str">
            <v>CFO</v>
          </cell>
          <cell r="K177">
            <v>10325.58592</v>
          </cell>
          <cell r="L177">
            <v>12655.985919999999</v>
          </cell>
          <cell r="M177">
            <v>343350</v>
          </cell>
          <cell r="N177">
            <v>343350</v>
          </cell>
          <cell r="O177" t="str">
            <v>n/d</v>
          </cell>
          <cell r="P177">
            <v>171675</v>
          </cell>
          <cell r="Q177">
            <v>171675</v>
          </cell>
          <cell r="R177">
            <v>0.5</v>
          </cell>
          <cell r="S177">
            <v>0.65</v>
          </cell>
          <cell r="T177">
            <v>1</v>
          </cell>
          <cell r="U177">
            <v>223177.5</v>
          </cell>
          <cell r="V177">
            <v>515025</v>
          </cell>
          <cell r="W177">
            <v>566527.5</v>
          </cell>
          <cell r="X177">
            <v>686700</v>
          </cell>
          <cell r="Y177">
            <v>545975</v>
          </cell>
          <cell r="Z177" t="str">
            <v>input</v>
          </cell>
          <cell r="AA177">
            <v>0</v>
          </cell>
          <cell r="AB177">
            <v>1.6541437098217433</v>
          </cell>
          <cell r="AC177">
            <v>567950.24276729557</v>
          </cell>
          <cell r="AD177">
            <v>0</v>
          </cell>
          <cell r="AE177">
            <v>1134477.7427672956</v>
          </cell>
          <cell r="AF177">
            <v>0</v>
          </cell>
          <cell r="AG177">
            <v>0</v>
          </cell>
          <cell r="AH177">
            <v>0</v>
          </cell>
          <cell r="AI177">
            <v>0</v>
          </cell>
          <cell r="AJ177">
            <v>0</v>
          </cell>
        </row>
        <row r="178">
          <cell r="A178" t="str">
            <v>TSX:PPL_NEO 1_2012</v>
          </cell>
          <cell r="B178" t="str">
            <v>TSX:PPL</v>
          </cell>
          <cell r="C178" t="str">
            <v>Pembina Pipeline Corporation</v>
          </cell>
          <cell r="D178">
            <v>2012</v>
          </cell>
          <cell r="E178">
            <v>12</v>
          </cell>
          <cell r="F178" t="str">
            <v>CAD</v>
          </cell>
          <cell r="G178">
            <v>1</v>
          </cell>
          <cell r="H178" t="str">
            <v>Michael Dilger</v>
          </cell>
          <cell r="I178" t="str">
            <v>President and COO</v>
          </cell>
          <cell r="J178" t="str">
            <v>NEO 1</v>
          </cell>
          <cell r="K178">
            <v>10325.58592</v>
          </cell>
          <cell r="L178">
            <v>12655.985919999999</v>
          </cell>
          <cell r="M178">
            <v>425000</v>
          </cell>
          <cell r="N178">
            <v>425000</v>
          </cell>
          <cell r="O178" t="str">
            <v>n/d</v>
          </cell>
          <cell r="P178">
            <v>318750</v>
          </cell>
          <cell r="Q178">
            <v>318750</v>
          </cell>
          <cell r="R178">
            <v>0.75</v>
          </cell>
          <cell r="S178" t="str">
            <v>n/d</v>
          </cell>
          <cell r="T178">
            <v>1.2</v>
          </cell>
          <cell r="U178" t="str">
            <v>input</v>
          </cell>
          <cell r="V178">
            <v>743750</v>
          </cell>
          <cell r="W178" t="str">
            <v>input</v>
          </cell>
          <cell r="X178">
            <v>935000.00000000012</v>
          </cell>
          <cell r="Y178">
            <v>849977</v>
          </cell>
          <cell r="Z178">
            <v>0</v>
          </cell>
          <cell r="AA178">
            <v>849977</v>
          </cell>
          <cell r="AB178">
            <v>1.9999458823529412</v>
          </cell>
          <cell r="AC178">
            <v>849977</v>
          </cell>
          <cell r="AD178">
            <v>1593727</v>
          </cell>
          <cell r="AE178">
            <v>0</v>
          </cell>
          <cell r="AF178" t="str">
            <v>Michael Dilger was VP and COO up until Feb 15, 2012, after which he became President and COO</v>
          </cell>
          <cell r="AH178" t="str">
            <v>2X base salary</v>
          </cell>
          <cell r="AI178" t="str">
            <v>5 years</v>
          </cell>
          <cell r="AJ178">
            <v>0</v>
          </cell>
        </row>
        <row r="179">
          <cell r="A179" t="str">
            <v>TSX:PPL_NEO 1_2011</v>
          </cell>
          <cell r="B179" t="str">
            <v>TSX:PPL</v>
          </cell>
          <cell r="C179" t="str">
            <v>Pembina Pipeline Corporation</v>
          </cell>
          <cell r="D179">
            <v>2011</v>
          </cell>
          <cell r="E179">
            <v>12</v>
          </cell>
          <cell r="F179" t="str">
            <v>CAD</v>
          </cell>
          <cell r="G179">
            <v>1</v>
          </cell>
          <cell r="H179" t="str">
            <v>Michael Dilger</v>
          </cell>
          <cell r="I179" t="str">
            <v>COO</v>
          </cell>
          <cell r="J179" t="str">
            <v>NEO 1</v>
          </cell>
          <cell r="K179">
            <v>10325.58592</v>
          </cell>
          <cell r="L179">
            <v>12655.985919999999</v>
          </cell>
          <cell r="M179">
            <v>370000</v>
          </cell>
          <cell r="N179">
            <v>370000</v>
          </cell>
          <cell r="O179">
            <v>0</v>
          </cell>
          <cell r="P179">
            <v>333000</v>
          </cell>
          <cell r="Q179">
            <v>333000</v>
          </cell>
          <cell r="R179">
            <v>0.9</v>
          </cell>
          <cell r="S179">
            <v>0</v>
          </cell>
          <cell r="T179">
            <v>0</v>
          </cell>
          <cell r="U179">
            <v>0</v>
          </cell>
          <cell r="V179">
            <v>0</v>
          </cell>
          <cell r="W179">
            <v>0</v>
          </cell>
          <cell r="X179">
            <v>0</v>
          </cell>
          <cell r="Y179">
            <v>610498</v>
          </cell>
          <cell r="Z179">
            <v>0</v>
          </cell>
          <cell r="AA179">
            <v>610498</v>
          </cell>
          <cell r="AB179">
            <v>1.6499945945945946</v>
          </cell>
          <cell r="AC179">
            <v>610498</v>
          </cell>
          <cell r="AD179">
            <v>1313498</v>
          </cell>
          <cell r="AE179">
            <v>0</v>
          </cell>
          <cell r="AH179">
            <v>0</v>
          </cell>
          <cell r="AI179">
            <v>0</v>
          </cell>
          <cell r="AJ179">
            <v>0</v>
          </cell>
        </row>
        <row r="180">
          <cell r="A180" t="str">
            <v>TSX:PPL_NEO 1_2010</v>
          </cell>
          <cell r="B180" t="str">
            <v>TSX:PPL</v>
          </cell>
          <cell r="C180" t="str">
            <v>Pembina Pipeline Corporation</v>
          </cell>
          <cell r="D180">
            <v>2010</v>
          </cell>
          <cell r="E180">
            <v>12</v>
          </cell>
          <cell r="F180" t="str">
            <v>CAD</v>
          </cell>
          <cell r="G180">
            <v>1</v>
          </cell>
          <cell r="H180" t="str">
            <v>Michael Dilger</v>
          </cell>
          <cell r="I180" t="str">
            <v>COO</v>
          </cell>
          <cell r="J180" t="str">
            <v>NEO 1</v>
          </cell>
          <cell r="K180">
            <v>10325.58592</v>
          </cell>
          <cell r="L180">
            <v>12655.985919999999</v>
          </cell>
          <cell r="M180">
            <v>360000</v>
          </cell>
          <cell r="N180">
            <v>360000</v>
          </cell>
          <cell r="O180">
            <v>0</v>
          </cell>
          <cell r="P180">
            <v>288000</v>
          </cell>
          <cell r="Q180">
            <v>288000</v>
          </cell>
          <cell r="R180">
            <v>0.8</v>
          </cell>
          <cell r="S180">
            <v>0</v>
          </cell>
          <cell r="T180">
            <v>0</v>
          </cell>
          <cell r="U180">
            <v>0</v>
          </cell>
          <cell r="V180">
            <v>0</v>
          </cell>
          <cell r="W180">
            <v>0</v>
          </cell>
          <cell r="X180">
            <v>0</v>
          </cell>
          <cell r="Y180">
            <v>540010</v>
          </cell>
          <cell r="Z180">
            <v>0</v>
          </cell>
          <cell r="AA180">
            <v>540010</v>
          </cell>
          <cell r="AB180">
            <v>1.5000277777777777</v>
          </cell>
          <cell r="AC180">
            <v>540010</v>
          </cell>
          <cell r="AD180">
            <v>1188010</v>
          </cell>
          <cell r="AE180">
            <v>0</v>
          </cell>
          <cell r="AH180">
            <v>0</v>
          </cell>
          <cell r="AI180">
            <v>0</v>
          </cell>
          <cell r="AJ180">
            <v>0</v>
          </cell>
        </row>
        <row r="181">
          <cell r="A181" t="str">
            <v>TSX:PPL_NEO 1_Target</v>
          </cell>
          <cell r="B181" t="str">
            <v>TSX:PPL</v>
          </cell>
          <cell r="C181" t="str">
            <v>Pembina Pipeline Corporation</v>
          </cell>
          <cell r="D181" t="str">
            <v>Target</v>
          </cell>
          <cell r="E181">
            <v>12</v>
          </cell>
          <cell r="F181" t="str">
            <v>CAD</v>
          </cell>
          <cell r="G181">
            <v>1</v>
          </cell>
          <cell r="H181" t="str">
            <v>Michael Dilger</v>
          </cell>
          <cell r="I181" t="str">
            <v>President and COO</v>
          </cell>
          <cell r="J181" t="str">
            <v>NEO 1</v>
          </cell>
          <cell r="K181">
            <v>10325.58592</v>
          </cell>
          <cell r="L181">
            <v>12655.985919999999</v>
          </cell>
          <cell r="M181">
            <v>425000</v>
          </cell>
          <cell r="N181">
            <v>425000</v>
          </cell>
          <cell r="O181" t="str">
            <v>n/d</v>
          </cell>
          <cell r="P181">
            <v>318750</v>
          </cell>
          <cell r="Q181">
            <v>318750</v>
          </cell>
          <cell r="R181">
            <v>0.75</v>
          </cell>
          <cell r="S181">
            <v>0.81666666666666676</v>
          </cell>
          <cell r="T181">
            <v>1.2</v>
          </cell>
          <cell r="U181">
            <v>347083.33333333337</v>
          </cell>
          <cell r="V181">
            <v>743750</v>
          </cell>
          <cell r="W181">
            <v>772083.33333333337</v>
          </cell>
          <cell r="X181">
            <v>935000.00000000012</v>
          </cell>
          <cell r="Y181">
            <v>666828.33333333337</v>
          </cell>
          <cell r="Z181" t="str">
            <v>input</v>
          </cell>
          <cell r="AA181">
            <v>0</v>
          </cell>
          <cell r="AB181">
            <v>1.7166560849084378</v>
          </cell>
          <cell r="AC181">
            <v>729578.83608608611</v>
          </cell>
          <cell r="AD181">
            <v>0</v>
          </cell>
          <cell r="AE181">
            <v>1501662.1694194195</v>
          </cell>
          <cell r="AF181" t="str">
            <v>Michael Dilger was VP and COO up until Feb 15, 2012, after which he became President and COO</v>
          </cell>
          <cell r="AG181">
            <v>0</v>
          </cell>
          <cell r="AH181">
            <v>0</v>
          </cell>
          <cell r="AI181">
            <v>0</v>
          </cell>
          <cell r="AJ181">
            <v>0</v>
          </cell>
        </row>
        <row r="182">
          <cell r="A182" t="str">
            <v>TSX:PPL_NEO 2_2012</v>
          </cell>
          <cell r="B182" t="str">
            <v>TSX:PPL</v>
          </cell>
          <cell r="C182" t="str">
            <v>Pembina Pipeline Corporation</v>
          </cell>
          <cell r="D182">
            <v>2012</v>
          </cell>
          <cell r="E182">
            <v>12</v>
          </cell>
          <cell r="F182" t="str">
            <v>CAD</v>
          </cell>
          <cell r="G182">
            <v>1</v>
          </cell>
          <cell r="H182" t="str">
            <v>James Watkinson</v>
          </cell>
          <cell r="I182" t="str">
            <v>VP, Legal</v>
          </cell>
          <cell r="J182" t="str">
            <v>NEO 2</v>
          </cell>
          <cell r="K182">
            <v>10325.58592</v>
          </cell>
          <cell r="L182">
            <v>12655.985919999999</v>
          </cell>
          <cell r="M182">
            <v>324450</v>
          </cell>
          <cell r="N182">
            <v>324450</v>
          </cell>
          <cell r="O182" t="str">
            <v>n/d</v>
          </cell>
          <cell r="P182">
            <v>162225</v>
          </cell>
          <cell r="Q182">
            <v>162225</v>
          </cell>
          <cell r="R182">
            <v>0.5</v>
          </cell>
          <cell r="S182" t="str">
            <v>n/d</v>
          </cell>
          <cell r="T182">
            <v>1</v>
          </cell>
          <cell r="U182" t="str">
            <v>input</v>
          </cell>
          <cell r="V182">
            <v>486675</v>
          </cell>
          <cell r="W182" t="str">
            <v>input</v>
          </cell>
          <cell r="X182">
            <v>648900</v>
          </cell>
          <cell r="Y182">
            <v>454207</v>
          </cell>
          <cell r="Z182">
            <v>0</v>
          </cell>
          <cell r="AA182">
            <v>454207</v>
          </cell>
          <cell r="AB182">
            <v>1.3999291108028973</v>
          </cell>
          <cell r="AC182">
            <v>454207</v>
          </cell>
          <cell r="AD182">
            <v>940882</v>
          </cell>
          <cell r="AE182">
            <v>0</v>
          </cell>
          <cell r="AF182" t="str">
            <v>James Watkinson retired on Dec 31, 2012</v>
          </cell>
          <cell r="AH182" t="str">
            <v>1X base salary</v>
          </cell>
          <cell r="AI182" t="str">
            <v>5 years</v>
          </cell>
          <cell r="AJ182">
            <v>0</v>
          </cell>
        </row>
        <row r="183">
          <cell r="A183" t="str">
            <v>TSX:PPL_NEO 2_2011</v>
          </cell>
          <cell r="B183" t="str">
            <v>TSX:PPL</v>
          </cell>
          <cell r="C183" t="str">
            <v>Pembina Pipeline Corporation</v>
          </cell>
          <cell r="D183">
            <v>2011</v>
          </cell>
          <cell r="E183">
            <v>12</v>
          </cell>
          <cell r="F183" t="str">
            <v>CAD</v>
          </cell>
          <cell r="G183">
            <v>1</v>
          </cell>
          <cell r="H183" t="str">
            <v>James Watkinson</v>
          </cell>
          <cell r="I183" t="str">
            <v>VP, Legal</v>
          </cell>
          <cell r="J183" t="str">
            <v>NEO 2</v>
          </cell>
          <cell r="K183">
            <v>10325.58592</v>
          </cell>
          <cell r="L183">
            <v>12655.985919999999</v>
          </cell>
          <cell r="M183">
            <v>315000</v>
          </cell>
          <cell r="N183">
            <v>315000</v>
          </cell>
          <cell r="O183">
            <v>0</v>
          </cell>
          <cell r="P183">
            <v>204750</v>
          </cell>
          <cell r="Q183">
            <v>204750</v>
          </cell>
          <cell r="R183">
            <v>0.65</v>
          </cell>
          <cell r="S183">
            <v>0</v>
          </cell>
          <cell r="T183">
            <v>0</v>
          </cell>
          <cell r="U183">
            <v>0</v>
          </cell>
          <cell r="V183">
            <v>0</v>
          </cell>
          <cell r="W183">
            <v>0</v>
          </cell>
          <cell r="X183">
            <v>0</v>
          </cell>
          <cell r="Y183">
            <v>415803</v>
          </cell>
          <cell r="Z183">
            <v>0</v>
          </cell>
          <cell r="AA183">
            <v>415803</v>
          </cell>
          <cell r="AB183">
            <v>1.3200095238095237</v>
          </cell>
          <cell r="AC183">
            <v>415803</v>
          </cell>
          <cell r="AD183">
            <v>935553</v>
          </cell>
          <cell r="AE183">
            <v>0</v>
          </cell>
          <cell r="AH183">
            <v>0</v>
          </cell>
          <cell r="AI183">
            <v>0</v>
          </cell>
          <cell r="AJ183">
            <v>0</v>
          </cell>
        </row>
        <row r="184">
          <cell r="A184" t="str">
            <v>TSX:PPL_NEO 2_2010</v>
          </cell>
          <cell r="B184" t="str">
            <v>TSX:PPL</v>
          </cell>
          <cell r="C184" t="str">
            <v>Pembina Pipeline Corporation</v>
          </cell>
          <cell r="D184">
            <v>2010</v>
          </cell>
          <cell r="E184">
            <v>12</v>
          </cell>
          <cell r="F184" t="str">
            <v>CAD</v>
          </cell>
          <cell r="G184">
            <v>1</v>
          </cell>
          <cell r="H184" t="str">
            <v>James Watkinson</v>
          </cell>
          <cell r="I184" t="str">
            <v>VP, Legal</v>
          </cell>
          <cell r="J184" t="str">
            <v>NEO 2</v>
          </cell>
          <cell r="K184">
            <v>10325.58592</v>
          </cell>
          <cell r="L184">
            <v>12655.985919999999</v>
          </cell>
          <cell r="M184">
            <v>310000</v>
          </cell>
          <cell r="N184">
            <v>310000</v>
          </cell>
          <cell r="O184">
            <v>0</v>
          </cell>
          <cell r="P184">
            <v>186000</v>
          </cell>
          <cell r="Q184">
            <v>186000</v>
          </cell>
          <cell r="R184">
            <v>0.6</v>
          </cell>
          <cell r="S184">
            <v>0</v>
          </cell>
          <cell r="T184">
            <v>0</v>
          </cell>
          <cell r="U184">
            <v>0</v>
          </cell>
          <cell r="V184">
            <v>0</v>
          </cell>
          <cell r="W184">
            <v>0</v>
          </cell>
          <cell r="X184">
            <v>0</v>
          </cell>
          <cell r="Y184">
            <v>409203</v>
          </cell>
          <cell r="Z184">
            <v>0</v>
          </cell>
          <cell r="AA184">
            <v>409203</v>
          </cell>
          <cell r="AB184">
            <v>1.3200096774193548</v>
          </cell>
          <cell r="AC184">
            <v>409203</v>
          </cell>
          <cell r="AD184">
            <v>905203</v>
          </cell>
          <cell r="AE184">
            <v>0</v>
          </cell>
          <cell r="AH184">
            <v>0</v>
          </cell>
          <cell r="AI184">
            <v>0</v>
          </cell>
          <cell r="AJ184">
            <v>0</v>
          </cell>
        </row>
        <row r="185">
          <cell r="A185" t="str">
            <v>TSX:PPL_NEO 2_Target</v>
          </cell>
          <cell r="B185" t="str">
            <v>TSX:PPL</v>
          </cell>
          <cell r="C185" t="str">
            <v>Pembina Pipeline Corporation</v>
          </cell>
          <cell r="D185" t="str">
            <v>Target</v>
          </cell>
          <cell r="E185">
            <v>12</v>
          </cell>
          <cell r="F185" t="str">
            <v>CAD</v>
          </cell>
          <cell r="G185">
            <v>1</v>
          </cell>
          <cell r="H185" t="str">
            <v>James Watkinson</v>
          </cell>
          <cell r="I185" t="str">
            <v>VP, Legal</v>
          </cell>
          <cell r="J185" t="str">
            <v>NEO 2</v>
          </cell>
          <cell r="K185">
            <v>10325.58592</v>
          </cell>
          <cell r="L185">
            <v>12655.985919999999</v>
          </cell>
          <cell r="M185">
            <v>324450</v>
          </cell>
          <cell r="N185">
            <v>324450</v>
          </cell>
          <cell r="O185" t="str">
            <v>n/d</v>
          </cell>
          <cell r="P185">
            <v>162225</v>
          </cell>
          <cell r="Q185">
            <v>162225</v>
          </cell>
          <cell r="R185">
            <v>0.5</v>
          </cell>
          <cell r="S185">
            <v>0.58333333333333337</v>
          </cell>
          <cell r="T185">
            <v>1</v>
          </cell>
          <cell r="U185">
            <v>189262.5</v>
          </cell>
          <cell r="V185">
            <v>486675</v>
          </cell>
          <cell r="W185">
            <v>513712.50000000006</v>
          </cell>
          <cell r="X185">
            <v>648900</v>
          </cell>
          <cell r="Y185">
            <v>426404.33333333331</v>
          </cell>
          <cell r="Z185" t="str">
            <v>input</v>
          </cell>
          <cell r="AA185">
            <v>0</v>
          </cell>
          <cell r="AB185">
            <v>1.3466494373439255</v>
          </cell>
          <cell r="AC185">
            <v>436920.40994623664</v>
          </cell>
          <cell r="AD185">
            <v>0</v>
          </cell>
          <cell r="AE185">
            <v>950632.90994623664</v>
          </cell>
          <cell r="AF185" t="str">
            <v>James Watkinson retired on Dec 31, 2012</v>
          </cell>
          <cell r="AG185">
            <v>0</v>
          </cell>
          <cell r="AH185">
            <v>0</v>
          </cell>
          <cell r="AI185">
            <v>0</v>
          </cell>
          <cell r="AJ185">
            <v>0</v>
          </cell>
        </row>
        <row r="186">
          <cell r="A186" t="str">
            <v>TSX:PPL_NEO 3_2012</v>
          </cell>
          <cell r="B186" t="str">
            <v>TSX:PPL</v>
          </cell>
          <cell r="C186" t="str">
            <v>Pembina Pipeline Corporation</v>
          </cell>
          <cell r="D186">
            <v>2012</v>
          </cell>
          <cell r="E186">
            <v>12</v>
          </cell>
          <cell r="F186" t="str">
            <v>CAD</v>
          </cell>
          <cell r="G186">
            <v>1</v>
          </cell>
          <cell r="H186" t="str">
            <v>Robert Jones</v>
          </cell>
          <cell r="I186" t="str">
            <v>VP, Midstream and Marketing</v>
          </cell>
          <cell r="J186" t="str">
            <v>NEO 3</v>
          </cell>
          <cell r="K186">
            <v>10325.58592</v>
          </cell>
          <cell r="L186">
            <v>12655.985919999999</v>
          </cell>
          <cell r="M186">
            <v>320000</v>
          </cell>
          <cell r="N186">
            <v>320000</v>
          </cell>
          <cell r="O186" t="str">
            <v>n/d</v>
          </cell>
          <cell r="P186">
            <v>256000</v>
          </cell>
          <cell r="Q186">
            <v>256000</v>
          </cell>
          <cell r="R186">
            <v>0.8</v>
          </cell>
          <cell r="S186" t="str">
            <v>n/d</v>
          </cell>
          <cell r="T186">
            <v>0.8</v>
          </cell>
          <cell r="U186" t="str">
            <v>input</v>
          </cell>
          <cell r="V186">
            <v>576000</v>
          </cell>
          <cell r="W186" t="str">
            <v>input</v>
          </cell>
          <cell r="X186">
            <v>576000</v>
          </cell>
          <cell r="Y186">
            <v>320019</v>
          </cell>
          <cell r="Z186">
            <v>0</v>
          </cell>
          <cell r="AA186">
            <v>320019</v>
          </cell>
          <cell r="AB186">
            <v>1.000059375</v>
          </cell>
          <cell r="AC186">
            <v>320019</v>
          </cell>
          <cell r="AD186">
            <v>896019</v>
          </cell>
          <cell r="AE186">
            <v>0</v>
          </cell>
          <cell r="AH186" t="str">
            <v>1X base salary</v>
          </cell>
          <cell r="AI186" t="str">
            <v>5 years</v>
          </cell>
          <cell r="AJ186">
            <v>0</v>
          </cell>
        </row>
        <row r="187">
          <cell r="A187" t="str">
            <v>TSX:PPL_NEO 3_2011</v>
          </cell>
          <cell r="B187" t="str">
            <v>TSX:PPL</v>
          </cell>
          <cell r="C187" t="str">
            <v>Pembina Pipeline Corporation</v>
          </cell>
          <cell r="D187">
            <v>2011</v>
          </cell>
          <cell r="E187">
            <v>12</v>
          </cell>
          <cell r="F187" t="str">
            <v>CAD</v>
          </cell>
          <cell r="G187">
            <v>1</v>
          </cell>
          <cell r="H187" t="str">
            <v>Robert Jones</v>
          </cell>
          <cell r="I187" t="str">
            <v>VP, Midstream and Marketing</v>
          </cell>
          <cell r="J187" t="str">
            <v>NEO 3</v>
          </cell>
          <cell r="K187">
            <v>10325.58592</v>
          </cell>
          <cell r="L187">
            <v>12655.985919999999</v>
          </cell>
          <cell r="M187">
            <v>320000</v>
          </cell>
          <cell r="N187">
            <v>320000</v>
          </cell>
          <cell r="O187">
            <v>0</v>
          </cell>
          <cell r="P187">
            <v>256000</v>
          </cell>
          <cell r="Q187">
            <v>256000</v>
          </cell>
          <cell r="R187">
            <v>0.8</v>
          </cell>
          <cell r="S187">
            <v>0</v>
          </cell>
          <cell r="T187">
            <v>0</v>
          </cell>
          <cell r="U187">
            <v>0</v>
          </cell>
          <cell r="V187">
            <v>0</v>
          </cell>
          <cell r="W187">
            <v>0</v>
          </cell>
          <cell r="X187">
            <v>0</v>
          </cell>
          <cell r="Y187">
            <v>288007</v>
          </cell>
          <cell r="Z187">
            <v>0</v>
          </cell>
          <cell r="AA187">
            <v>288007</v>
          </cell>
          <cell r="AB187">
            <v>0.90002187499999997</v>
          </cell>
          <cell r="AC187">
            <v>288007</v>
          </cell>
          <cell r="AD187">
            <v>864007</v>
          </cell>
          <cell r="AE187">
            <v>0</v>
          </cell>
          <cell r="AH187">
            <v>0</v>
          </cell>
          <cell r="AI187">
            <v>0</v>
          </cell>
          <cell r="AJ187">
            <v>0</v>
          </cell>
        </row>
        <row r="188">
          <cell r="A188" t="str">
            <v>TSX:PPL_NEO 3_2010</v>
          </cell>
          <cell r="B188" t="str">
            <v>TSX:PPL</v>
          </cell>
          <cell r="C188" t="str">
            <v>Pembina Pipeline Corporation</v>
          </cell>
          <cell r="D188">
            <v>2010</v>
          </cell>
          <cell r="E188">
            <v>12</v>
          </cell>
          <cell r="F188" t="str">
            <v>CAD</v>
          </cell>
          <cell r="G188">
            <v>1</v>
          </cell>
          <cell r="H188" t="str">
            <v>Robert Jones</v>
          </cell>
          <cell r="I188" t="str">
            <v>VP, Midstream and Marketing</v>
          </cell>
          <cell r="J188" t="str">
            <v>NEO 3</v>
          </cell>
          <cell r="K188">
            <v>10325.58592</v>
          </cell>
          <cell r="L188">
            <v>12655.985919999999</v>
          </cell>
          <cell r="M188">
            <v>315000</v>
          </cell>
          <cell r="N188">
            <v>315000</v>
          </cell>
          <cell r="O188">
            <v>0</v>
          </cell>
          <cell r="P188">
            <v>190000</v>
          </cell>
          <cell r="Q188">
            <v>190000</v>
          </cell>
          <cell r="R188">
            <v>0.60317460317460314</v>
          </cell>
          <cell r="S188">
            <v>0</v>
          </cell>
          <cell r="T188">
            <v>0</v>
          </cell>
          <cell r="U188">
            <v>0</v>
          </cell>
          <cell r="V188">
            <v>0</v>
          </cell>
          <cell r="W188">
            <v>0</v>
          </cell>
          <cell r="X188">
            <v>0</v>
          </cell>
          <cell r="Y188">
            <v>252009</v>
          </cell>
          <cell r="Z188">
            <v>0</v>
          </cell>
          <cell r="AA188">
            <v>252009</v>
          </cell>
          <cell r="AB188">
            <v>0.80002857142857142</v>
          </cell>
          <cell r="AC188">
            <v>252009</v>
          </cell>
          <cell r="AD188">
            <v>757009</v>
          </cell>
          <cell r="AE188">
            <v>0</v>
          </cell>
          <cell r="AH188">
            <v>0</v>
          </cell>
          <cell r="AI188">
            <v>0</v>
          </cell>
          <cell r="AJ188">
            <v>0</v>
          </cell>
        </row>
        <row r="189">
          <cell r="A189" t="str">
            <v>TSX:PPL_NEO 3_Target</v>
          </cell>
          <cell r="B189" t="str">
            <v>TSX:PPL</v>
          </cell>
          <cell r="C189" t="str">
            <v>Pembina Pipeline Corporation</v>
          </cell>
          <cell r="D189" t="str">
            <v>Target</v>
          </cell>
          <cell r="E189">
            <v>12</v>
          </cell>
          <cell r="F189" t="str">
            <v>CAD</v>
          </cell>
          <cell r="G189">
            <v>1</v>
          </cell>
          <cell r="H189" t="str">
            <v>Robert Jones</v>
          </cell>
          <cell r="I189" t="str">
            <v>VP, Midstream and Marketing</v>
          </cell>
          <cell r="J189" t="str">
            <v>NEO 3</v>
          </cell>
          <cell r="K189">
            <v>10325.58592</v>
          </cell>
          <cell r="L189">
            <v>12655.985919999999</v>
          </cell>
          <cell r="M189">
            <v>320000</v>
          </cell>
          <cell r="N189">
            <v>320000</v>
          </cell>
          <cell r="O189" t="str">
            <v>n/d</v>
          </cell>
          <cell r="P189">
            <v>256000</v>
          </cell>
          <cell r="Q189">
            <v>256000</v>
          </cell>
          <cell r="R189">
            <v>0.8</v>
          </cell>
          <cell r="S189">
            <v>0.73439153439153448</v>
          </cell>
          <cell r="T189">
            <v>0.8</v>
          </cell>
          <cell r="U189">
            <v>235005.29100529104</v>
          </cell>
          <cell r="V189">
            <v>576000</v>
          </cell>
          <cell r="W189">
            <v>555005.29100529104</v>
          </cell>
          <cell r="X189">
            <v>576000</v>
          </cell>
          <cell r="Y189">
            <v>286678.33333333331</v>
          </cell>
          <cell r="Z189" t="str">
            <v>input</v>
          </cell>
          <cell r="AA189">
            <v>0</v>
          </cell>
          <cell r="AB189">
            <v>0.90003660714285705</v>
          </cell>
          <cell r="AC189">
            <v>288011.71428571426</v>
          </cell>
          <cell r="AD189">
            <v>0</v>
          </cell>
          <cell r="AE189">
            <v>843017.00529100536</v>
          </cell>
          <cell r="AF189">
            <v>0</v>
          </cell>
          <cell r="AG189">
            <v>0</v>
          </cell>
          <cell r="AH189">
            <v>0</v>
          </cell>
          <cell r="AI189">
            <v>0</v>
          </cell>
          <cell r="AJ189">
            <v>0</v>
          </cell>
        </row>
        <row r="190">
          <cell r="A190" t="str">
            <v>TSX:PWT_CEO_2012</v>
          </cell>
          <cell r="B190" t="str">
            <v>TSX:PWT</v>
          </cell>
          <cell r="C190" t="str">
            <v>Penn West Petroleum Ltd.</v>
          </cell>
          <cell r="D190">
            <v>2012</v>
          </cell>
          <cell r="E190">
            <v>12</v>
          </cell>
          <cell r="F190" t="str">
            <v>CAD</v>
          </cell>
          <cell r="G190">
            <v>1</v>
          </cell>
          <cell r="H190" t="str">
            <v>Murray Nunns</v>
          </cell>
          <cell r="I190" t="str">
            <v>President and CEO</v>
          </cell>
          <cell r="J190" t="str">
            <v>CEO</v>
          </cell>
          <cell r="K190">
            <v>5697.9938599999996</v>
          </cell>
          <cell r="L190">
            <v>8822.9938600000005</v>
          </cell>
          <cell r="M190">
            <v>650000</v>
          </cell>
          <cell r="N190">
            <v>650000</v>
          </cell>
          <cell r="O190" t="str">
            <v>n/d</v>
          </cell>
          <cell r="P190">
            <v>0</v>
          </cell>
          <cell r="Q190">
            <v>0</v>
          </cell>
          <cell r="R190">
            <v>0</v>
          </cell>
          <cell r="S190" t="str">
            <v>n/d</v>
          </cell>
          <cell r="T190" t="str">
            <v>n/d</v>
          </cell>
          <cell r="U190" t="str">
            <v>input</v>
          </cell>
          <cell r="V190">
            <v>650000</v>
          </cell>
          <cell r="W190" t="str">
            <v>input</v>
          </cell>
          <cell r="X190" t="str">
            <v>input</v>
          </cell>
          <cell r="Y190">
            <v>0</v>
          </cell>
          <cell r="Z190">
            <v>1589250</v>
          </cell>
          <cell r="AA190">
            <v>1589250</v>
          </cell>
          <cell r="AB190">
            <v>2.4449999999999998</v>
          </cell>
          <cell r="AC190">
            <v>1589250</v>
          </cell>
          <cell r="AD190">
            <v>2239250</v>
          </cell>
          <cell r="AE190">
            <v>0</v>
          </cell>
          <cell r="AF190" t="str">
            <v xml:space="preserve">Murray Nunns was appointed CEO in September 2011. He was previously President and COO. The data recorded only represents his 2012 compensation and we did not use the STIP and LTIP values prior to 2012 in the taregt calculations. </v>
          </cell>
          <cell r="AG190" t="str">
            <v>Based on the company's performance assessment, data regarding trends in performance across the pay peer group, consideration of company performance vs. its peers, and info. provided by HR mgmt, the Board decided not to pay cash bonuses to the executives.</v>
          </cell>
          <cell r="AH190" t="str">
            <v>3X base salary</v>
          </cell>
          <cell r="AI190" t="str">
            <v>5 years</v>
          </cell>
          <cell r="AJ190">
            <v>0</v>
          </cell>
        </row>
        <row r="191">
          <cell r="A191" t="str">
            <v>TSX:PWT__2011</v>
          </cell>
          <cell r="B191" t="str">
            <v>TSX:PWT</v>
          </cell>
          <cell r="C191" t="str">
            <v>Penn West Petroleum Ltd.</v>
          </cell>
          <cell r="D191">
            <v>2011</v>
          </cell>
          <cell r="E191">
            <v>12</v>
          </cell>
          <cell r="F191" t="str">
            <v>CAD</v>
          </cell>
          <cell r="G191">
            <v>1</v>
          </cell>
          <cell r="K191">
            <v>5697.9938599999996</v>
          </cell>
          <cell r="L191">
            <v>8822.9938600000005</v>
          </cell>
          <cell r="M191">
            <v>0</v>
          </cell>
          <cell r="N191">
            <v>0</v>
          </cell>
          <cell r="O191">
            <v>0</v>
          </cell>
          <cell r="P191" t="str">
            <v xml:space="preserve"> </v>
          </cell>
          <cell r="Q191" t="str">
            <v>input</v>
          </cell>
          <cell r="R191" t="str">
            <v>input</v>
          </cell>
          <cell r="S191">
            <v>0</v>
          </cell>
          <cell r="T191">
            <v>0</v>
          </cell>
          <cell r="U191">
            <v>0</v>
          </cell>
          <cell r="V191">
            <v>0</v>
          </cell>
          <cell r="W191">
            <v>0</v>
          </cell>
          <cell r="X191">
            <v>0</v>
          </cell>
          <cell r="Y191">
            <v>0</v>
          </cell>
          <cell r="Z191">
            <v>0</v>
          </cell>
          <cell r="AA191">
            <v>0</v>
          </cell>
          <cell r="AB191" t="str">
            <v>input</v>
          </cell>
          <cell r="AC191">
            <v>0</v>
          </cell>
          <cell r="AD191" t="str">
            <v>input</v>
          </cell>
          <cell r="AE191">
            <v>0</v>
          </cell>
          <cell r="AH191">
            <v>0</v>
          </cell>
          <cell r="AI191">
            <v>0</v>
          </cell>
          <cell r="AJ191">
            <v>0</v>
          </cell>
        </row>
        <row r="192">
          <cell r="A192" t="str">
            <v>TSX:PWT__2010</v>
          </cell>
          <cell r="B192" t="str">
            <v>TSX:PWT</v>
          </cell>
          <cell r="C192" t="str">
            <v>Penn West Petroleum Ltd.</v>
          </cell>
          <cell r="D192">
            <v>2010</v>
          </cell>
          <cell r="E192">
            <v>12</v>
          </cell>
          <cell r="F192" t="str">
            <v>CAD</v>
          </cell>
          <cell r="G192">
            <v>1</v>
          </cell>
          <cell r="K192">
            <v>5697.9938599999996</v>
          </cell>
          <cell r="L192">
            <v>8822.9938600000005</v>
          </cell>
          <cell r="M192">
            <v>0</v>
          </cell>
          <cell r="N192">
            <v>0</v>
          </cell>
          <cell r="O192">
            <v>0</v>
          </cell>
          <cell r="P192">
            <v>0</v>
          </cell>
          <cell r="Q192">
            <v>0</v>
          </cell>
          <cell r="R192" t="str">
            <v>input</v>
          </cell>
          <cell r="S192">
            <v>0</v>
          </cell>
          <cell r="T192">
            <v>0</v>
          </cell>
          <cell r="U192">
            <v>0</v>
          </cell>
          <cell r="V192">
            <v>0</v>
          </cell>
          <cell r="W192">
            <v>0</v>
          </cell>
          <cell r="X192">
            <v>0</v>
          </cell>
          <cell r="Y192">
            <v>0</v>
          </cell>
          <cell r="Z192">
            <v>0</v>
          </cell>
          <cell r="AA192">
            <v>0</v>
          </cell>
          <cell r="AB192" t="str">
            <v>input</v>
          </cell>
          <cell r="AC192">
            <v>0</v>
          </cell>
          <cell r="AD192">
            <v>0</v>
          </cell>
          <cell r="AE192">
            <v>0</v>
          </cell>
          <cell r="AH192">
            <v>0</v>
          </cell>
          <cell r="AI192">
            <v>0</v>
          </cell>
          <cell r="AJ192">
            <v>0</v>
          </cell>
        </row>
        <row r="193">
          <cell r="A193" t="str">
            <v>TSX:PWT_CEO_Target</v>
          </cell>
          <cell r="B193" t="str">
            <v>TSX:PWT</v>
          </cell>
          <cell r="C193" t="str">
            <v>Penn West Petroleum Ltd.</v>
          </cell>
          <cell r="D193" t="str">
            <v>Target</v>
          </cell>
          <cell r="E193">
            <v>12</v>
          </cell>
          <cell r="F193" t="str">
            <v>CAD</v>
          </cell>
          <cell r="G193">
            <v>1</v>
          </cell>
          <cell r="H193" t="str">
            <v>Murray Nunns</v>
          </cell>
          <cell r="I193" t="str">
            <v>President and CEO</v>
          </cell>
          <cell r="J193" t="str">
            <v>CEO</v>
          </cell>
          <cell r="K193">
            <v>5697.9938599999996</v>
          </cell>
          <cell r="L193">
            <v>8822.9938600000005</v>
          </cell>
          <cell r="M193">
            <v>650000</v>
          </cell>
          <cell r="N193">
            <v>650000</v>
          </cell>
          <cell r="O193" t="str">
            <v>n/d</v>
          </cell>
          <cell r="P193">
            <v>0</v>
          </cell>
          <cell r="Q193">
            <v>0</v>
          </cell>
          <cell r="R193">
            <v>0</v>
          </cell>
          <cell r="S193">
            <v>0</v>
          </cell>
          <cell r="T193" t="str">
            <v>n/d</v>
          </cell>
          <cell r="U193">
            <v>0</v>
          </cell>
          <cell r="V193">
            <v>650000</v>
          </cell>
          <cell r="W193">
            <v>650000</v>
          </cell>
          <cell r="X193" t="str">
            <v>input</v>
          </cell>
          <cell r="Y193" t="str">
            <v>input</v>
          </cell>
          <cell r="Z193">
            <v>1589250</v>
          </cell>
          <cell r="AA193">
            <v>0</v>
          </cell>
          <cell r="AB193">
            <v>2.4449999999999998</v>
          </cell>
          <cell r="AC193">
            <v>1589250</v>
          </cell>
          <cell r="AD193">
            <v>0</v>
          </cell>
          <cell r="AE193">
            <v>2239250</v>
          </cell>
          <cell r="AF193" t="str">
            <v xml:space="preserve">Murray Nunns was appointed CEO in September 2011. He was previously President and COO. The data recorded only represents his 2012 compensation and we did not use the STIP and LTIP values prior to 2012 in the taregt calculations. </v>
          </cell>
          <cell r="AG193">
            <v>0</v>
          </cell>
          <cell r="AH193">
            <v>0</v>
          </cell>
          <cell r="AI193">
            <v>0</v>
          </cell>
          <cell r="AJ193">
            <v>0</v>
          </cell>
        </row>
        <row r="194">
          <cell r="A194" t="str">
            <v>TSX:PWT_CFO_2012</v>
          </cell>
          <cell r="B194" t="str">
            <v>TSX:PWT</v>
          </cell>
          <cell r="C194" t="str">
            <v>Penn West Petroleum Ltd.</v>
          </cell>
          <cell r="D194">
            <v>2012</v>
          </cell>
          <cell r="E194">
            <v>12</v>
          </cell>
          <cell r="F194" t="str">
            <v>CAD</v>
          </cell>
          <cell r="G194">
            <v>1</v>
          </cell>
          <cell r="H194" t="str">
            <v>Todd Takeyasu</v>
          </cell>
          <cell r="I194" t="str">
            <v>EVP and CFO</v>
          </cell>
          <cell r="J194" t="str">
            <v>CFO</v>
          </cell>
          <cell r="K194">
            <v>5697.9938599999996</v>
          </cell>
          <cell r="L194">
            <v>8822.9938600000005</v>
          </cell>
          <cell r="M194">
            <v>450000</v>
          </cell>
          <cell r="N194">
            <v>450000</v>
          </cell>
          <cell r="O194" t="str">
            <v>n/d</v>
          </cell>
          <cell r="P194">
            <v>0</v>
          </cell>
          <cell r="Q194">
            <v>0</v>
          </cell>
          <cell r="R194">
            <v>0</v>
          </cell>
          <cell r="S194" t="str">
            <v>n/d</v>
          </cell>
          <cell r="T194" t="str">
            <v>n/d</v>
          </cell>
          <cell r="U194" t="str">
            <v>input</v>
          </cell>
          <cell r="V194">
            <v>450000</v>
          </cell>
          <cell r="W194" t="str">
            <v>input</v>
          </cell>
          <cell r="X194" t="str">
            <v>input</v>
          </cell>
          <cell r="Y194">
            <v>0</v>
          </cell>
          <cell r="Z194">
            <v>1222500</v>
          </cell>
          <cell r="AA194">
            <v>1222500</v>
          </cell>
          <cell r="AB194">
            <v>2.7166666666666668</v>
          </cell>
          <cell r="AC194">
            <v>1222500</v>
          </cell>
          <cell r="AD194">
            <v>1672500</v>
          </cell>
          <cell r="AE194">
            <v>0</v>
          </cell>
          <cell r="AH194" t="str">
            <v>2X base salary</v>
          </cell>
          <cell r="AI194" t="str">
            <v>5 years</v>
          </cell>
          <cell r="AJ194">
            <v>0</v>
          </cell>
        </row>
        <row r="195">
          <cell r="A195" t="str">
            <v>TSX:PWT_CFO_2011</v>
          </cell>
          <cell r="B195" t="str">
            <v>TSX:PWT</v>
          </cell>
          <cell r="C195" t="str">
            <v>Penn West Petroleum Ltd.</v>
          </cell>
          <cell r="D195">
            <v>2011</v>
          </cell>
          <cell r="E195">
            <v>12</v>
          </cell>
          <cell r="F195" t="str">
            <v>CAD</v>
          </cell>
          <cell r="G195">
            <v>1</v>
          </cell>
          <cell r="H195" t="str">
            <v>Todd Takeyasu</v>
          </cell>
          <cell r="I195" t="str">
            <v>EVP and CFO</v>
          </cell>
          <cell r="J195" t="str">
            <v>CFO</v>
          </cell>
          <cell r="K195">
            <v>5697.9938599999996</v>
          </cell>
          <cell r="L195">
            <v>8822.9938600000005</v>
          </cell>
          <cell r="M195">
            <v>400000</v>
          </cell>
          <cell r="N195">
            <v>400000</v>
          </cell>
          <cell r="O195">
            <v>0</v>
          </cell>
          <cell r="P195">
            <v>300000</v>
          </cell>
          <cell r="Q195">
            <v>300000</v>
          </cell>
          <cell r="R195">
            <v>0.75</v>
          </cell>
          <cell r="S195">
            <v>0</v>
          </cell>
          <cell r="T195">
            <v>0</v>
          </cell>
          <cell r="U195">
            <v>0</v>
          </cell>
          <cell r="V195">
            <v>0</v>
          </cell>
          <cell r="W195">
            <v>0</v>
          </cell>
          <cell r="X195">
            <v>0</v>
          </cell>
          <cell r="Y195">
            <v>0</v>
          </cell>
          <cell r="Z195">
            <v>1193500</v>
          </cell>
          <cell r="AA195">
            <v>1193500</v>
          </cell>
          <cell r="AB195">
            <v>2.9837500000000001</v>
          </cell>
          <cell r="AC195">
            <v>1193500</v>
          </cell>
          <cell r="AD195">
            <v>1893500</v>
          </cell>
          <cell r="AE195">
            <v>0</v>
          </cell>
          <cell r="AH195">
            <v>0</v>
          </cell>
          <cell r="AI195">
            <v>0</v>
          </cell>
          <cell r="AJ195">
            <v>0</v>
          </cell>
        </row>
        <row r="196">
          <cell r="A196" t="str">
            <v>TSX:PWT_CFO_2010</v>
          </cell>
          <cell r="B196" t="str">
            <v>TSX:PWT</v>
          </cell>
          <cell r="C196" t="str">
            <v>Penn West Petroleum Ltd.</v>
          </cell>
          <cell r="D196">
            <v>2010</v>
          </cell>
          <cell r="E196">
            <v>12</v>
          </cell>
          <cell r="F196" t="str">
            <v>CAD</v>
          </cell>
          <cell r="G196">
            <v>1</v>
          </cell>
          <cell r="H196" t="str">
            <v>Todd Takeyasu</v>
          </cell>
          <cell r="I196" t="str">
            <v>EVP and CFO</v>
          </cell>
          <cell r="J196" t="str">
            <v>CFO</v>
          </cell>
          <cell r="K196">
            <v>5697.9938599999996</v>
          </cell>
          <cell r="L196">
            <v>8822.9938600000005</v>
          </cell>
          <cell r="M196">
            <v>350000</v>
          </cell>
          <cell r="N196">
            <v>350000</v>
          </cell>
          <cell r="O196">
            <v>0</v>
          </cell>
          <cell r="P196">
            <v>375000</v>
          </cell>
          <cell r="Q196">
            <v>375000</v>
          </cell>
          <cell r="R196">
            <v>1.0714285714285714</v>
          </cell>
          <cell r="S196">
            <v>0</v>
          </cell>
          <cell r="T196">
            <v>0</v>
          </cell>
          <cell r="U196">
            <v>0</v>
          </cell>
          <cell r="V196">
            <v>0</v>
          </cell>
          <cell r="W196">
            <v>0</v>
          </cell>
          <cell r="X196">
            <v>0</v>
          </cell>
          <cell r="Y196">
            <v>0</v>
          </cell>
          <cell r="Z196">
            <v>532500</v>
          </cell>
          <cell r="AA196">
            <v>532500</v>
          </cell>
          <cell r="AB196">
            <v>1.5214285714285714</v>
          </cell>
          <cell r="AC196">
            <v>532500</v>
          </cell>
          <cell r="AD196">
            <v>1257500</v>
          </cell>
          <cell r="AE196">
            <v>0</v>
          </cell>
          <cell r="AH196">
            <v>0</v>
          </cell>
          <cell r="AI196">
            <v>0</v>
          </cell>
          <cell r="AJ196">
            <v>0</v>
          </cell>
        </row>
        <row r="197">
          <cell r="A197" t="str">
            <v>TSX:PWT_CFO_Target</v>
          </cell>
          <cell r="B197" t="str">
            <v>TSX:PWT</v>
          </cell>
          <cell r="C197" t="str">
            <v>Penn West Petroleum Ltd.</v>
          </cell>
          <cell r="D197" t="str">
            <v>Target</v>
          </cell>
          <cell r="E197">
            <v>12</v>
          </cell>
          <cell r="F197" t="str">
            <v>CAD</v>
          </cell>
          <cell r="G197">
            <v>1</v>
          </cell>
          <cell r="H197" t="str">
            <v>Todd Takeyasu</v>
          </cell>
          <cell r="I197" t="str">
            <v>EVP and CFO</v>
          </cell>
          <cell r="J197" t="str">
            <v>CFO</v>
          </cell>
          <cell r="K197">
            <v>5697.9938599999996</v>
          </cell>
          <cell r="L197">
            <v>8822.9938600000005</v>
          </cell>
          <cell r="M197">
            <v>450000</v>
          </cell>
          <cell r="N197">
            <v>450000</v>
          </cell>
          <cell r="O197" t="str">
            <v>n/d</v>
          </cell>
          <cell r="P197">
            <v>0</v>
          </cell>
          <cell r="Q197">
            <v>0</v>
          </cell>
          <cell r="R197">
            <v>0</v>
          </cell>
          <cell r="S197">
            <v>0.6071428571428571</v>
          </cell>
          <cell r="T197" t="str">
            <v>n/d</v>
          </cell>
          <cell r="U197">
            <v>273214.28571428568</v>
          </cell>
          <cell r="V197">
            <v>450000</v>
          </cell>
          <cell r="W197">
            <v>723214.2857142858</v>
          </cell>
          <cell r="X197" t="str">
            <v>input</v>
          </cell>
          <cell r="Y197" t="str">
            <v>input</v>
          </cell>
          <cell r="Z197">
            <v>982833.33333333337</v>
          </cell>
          <cell r="AA197">
            <v>0</v>
          </cell>
          <cell r="AB197">
            <v>2.4072817460317464</v>
          </cell>
          <cell r="AC197">
            <v>1083276.7857142859</v>
          </cell>
          <cell r="AD197">
            <v>0</v>
          </cell>
          <cell r="AE197">
            <v>1806491.0714285716</v>
          </cell>
          <cell r="AF197">
            <v>0</v>
          </cell>
          <cell r="AG197">
            <v>0</v>
          </cell>
          <cell r="AH197">
            <v>0</v>
          </cell>
          <cell r="AI197">
            <v>0</v>
          </cell>
          <cell r="AJ197">
            <v>0</v>
          </cell>
        </row>
        <row r="198">
          <cell r="A198" t="str">
            <v>TSX:PWT_NEO 1_2012</v>
          </cell>
          <cell r="B198" t="str">
            <v>TSX:PWT</v>
          </cell>
          <cell r="C198" t="str">
            <v>Penn West Petroleum Ltd.</v>
          </cell>
          <cell r="D198">
            <v>2012</v>
          </cell>
          <cell r="E198">
            <v>12</v>
          </cell>
          <cell r="F198" t="str">
            <v>CAD</v>
          </cell>
          <cell r="G198">
            <v>1</v>
          </cell>
          <cell r="H198" t="str">
            <v>Hilary Foulkes</v>
          </cell>
          <cell r="I198" t="str">
            <v>EVP and COO</v>
          </cell>
          <cell r="J198" t="str">
            <v>NEO 1</v>
          </cell>
          <cell r="K198">
            <v>5697.9938599999996</v>
          </cell>
          <cell r="L198">
            <v>8822.9938600000005</v>
          </cell>
          <cell r="M198">
            <v>500000</v>
          </cell>
          <cell r="N198">
            <v>500000</v>
          </cell>
          <cell r="O198" t="str">
            <v>n/d</v>
          </cell>
          <cell r="P198">
            <v>0</v>
          </cell>
          <cell r="Q198">
            <v>0</v>
          </cell>
          <cell r="R198">
            <v>0</v>
          </cell>
          <cell r="S198" t="str">
            <v>n/d</v>
          </cell>
          <cell r="T198" t="str">
            <v>n/d</v>
          </cell>
          <cell r="U198" t="str">
            <v>input</v>
          </cell>
          <cell r="V198">
            <v>500000</v>
          </cell>
          <cell r="W198" t="str">
            <v>input</v>
          </cell>
          <cell r="X198" t="str">
            <v>input</v>
          </cell>
          <cell r="Y198">
            <v>0</v>
          </cell>
          <cell r="Z198">
            <v>1222500</v>
          </cell>
          <cell r="AA198">
            <v>1222500</v>
          </cell>
          <cell r="AB198">
            <v>2.4449999999999998</v>
          </cell>
          <cell r="AC198">
            <v>1222500</v>
          </cell>
          <cell r="AD198">
            <v>1722500</v>
          </cell>
          <cell r="AE198">
            <v>0</v>
          </cell>
          <cell r="AF198" t="str">
            <v>Hilary Foulkes was appointed EVP and COO in September 2011, and as such, only her 2012 compensation data has been included. Additionally, we did not include the STIP and LTIP values priort to 2012 in the target calculations. Ms. Foulkes department from Penn West effective November 6, 2012; the salary recorded has been annualized.</v>
          </cell>
          <cell r="AH198" t="str">
            <v>2X base salary</v>
          </cell>
          <cell r="AI198" t="str">
            <v>5 years</v>
          </cell>
          <cell r="AJ198">
            <v>0</v>
          </cell>
        </row>
        <row r="199">
          <cell r="A199" t="str">
            <v>TSX:PWT__2011</v>
          </cell>
          <cell r="B199" t="str">
            <v>TSX:PWT</v>
          </cell>
          <cell r="C199" t="str">
            <v>Penn West Petroleum Ltd.</v>
          </cell>
          <cell r="D199">
            <v>2011</v>
          </cell>
          <cell r="E199">
            <v>12</v>
          </cell>
          <cell r="F199" t="str">
            <v>CAD</v>
          </cell>
          <cell r="G199">
            <v>1</v>
          </cell>
          <cell r="K199">
            <v>5697.9938599999996</v>
          </cell>
          <cell r="L199">
            <v>8822.9938600000005</v>
          </cell>
          <cell r="M199">
            <v>0</v>
          </cell>
          <cell r="N199">
            <v>0</v>
          </cell>
          <cell r="O199">
            <v>0</v>
          </cell>
          <cell r="P199">
            <v>0</v>
          </cell>
          <cell r="Q199">
            <v>0</v>
          </cell>
          <cell r="R199" t="str">
            <v>input</v>
          </cell>
          <cell r="S199">
            <v>0</v>
          </cell>
          <cell r="T199">
            <v>0</v>
          </cell>
          <cell r="U199">
            <v>0</v>
          </cell>
          <cell r="V199">
            <v>0</v>
          </cell>
          <cell r="W199">
            <v>0</v>
          </cell>
          <cell r="X199">
            <v>0</v>
          </cell>
          <cell r="Y199">
            <v>0</v>
          </cell>
          <cell r="Z199">
            <v>0</v>
          </cell>
          <cell r="AA199">
            <v>0</v>
          </cell>
          <cell r="AB199" t="str">
            <v>input</v>
          </cell>
          <cell r="AC199">
            <v>0</v>
          </cell>
          <cell r="AD199">
            <v>0</v>
          </cell>
          <cell r="AE199">
            <v>0</v>
          </cell>
          <cell r="AH199">
            <v>0</v>
          </cell>
          <cell r="AI199">
            <v>0</v>
          </cell>
          <cell r="AJ199">
            <v>0</v>
          </cell>
        </row>
        <row r="200">
          <cell r="A200" t="str">
            <v>TSX:PWT__2010</v>
          </cell>
          <cell r="B200" t="str">
            <v>TSX:PWT</v>
          </cell>
          <cell r="C200" t="str">
            <v>Penn West Petroleum Ltd.</v>
          </cell>
          <cell r="D200">
            <v>2010</v>
          </cell>
          <cell r="E200">
            <v>12</v>
          </cell>
          <cell r="F200" t="str">
            <v>CAD</v>
          </cell>
          <cell r="G200">
            <v>1</v>
          </cell>
          <cell r="K200">
            <v>5697.9938599999996</v>
          </cell>
          <cell r="L200">
            <v>8822.9938600000005</v>
          </cell>
          <cell r="M200">
            <v>0</v>
          </cell>
          <cell r="N200">
            <v>0</v>
          </cell>
          <cell r="O200">
            <v>0</v>
          </cell>
          <cell r="P200">
            <v>0</v>
          </cell>
          <cell r="Q200">
            <v>0</v>
          </cell>
          <cell r="R200" t="str">
            <v>input</v>
          </cell>
          <cell r="S200">
            <v>0</v>
          </cell>
          <cell r="T200">
            <v>0</v>
          </cell>
          <cell r="U200">
            <v>0</v>
          </cell>
          <cell r="V200">
            <v>0</v>
          </cell>
          <cell r="W200">
            <v>0</v>
          </cell>
          <cell r="X200">
            <v>0</v>
          </cell>
          <cell r="Y200">
            <v>0</v>
          </cell>
          <cell r="Z200">
            <v>0</v>
          </cell>
          <cell r="AA200">
            <v>0</v>
          </cell>
          <cell r="AB200" t="str">
            <v>input</v>
          </cell>
          <cell r="AC200">
            <v>0</v>
          </cell>
          <cell r="AD200">
            <v>0</v>
          </cell>
          <cell r="AE200">
            <v>0</v>
          </cell>
          <cell r="AH200">
            <v>0</v>
          </cell>
          <cell r="AI200">
            <v>0</v>
          </cell>
          <cell r="AJ200">
            <v>0</v>
          </cell>
        </row>
        <row r="201">
          <cell r="A201" t="str">
            <v>TSX:PWT_NEO 1_Target</v>
          </cell>
          <cell r="B201" t="str">
            <v>TSX:PWT</v>
          </cell>
          <cell r="C201" t="str">
            <v>Penn West Petroleum Ltd.</v>
          </cell>
          <cell r="D201" t="str">
            <v>Target</v>
          </cell>
          <cell r="E201">
            <v>12</v>
          </cell>
          <cell r="F201" t="str">
            <v>CAD</v>
          </cell>
          <cell r="G201">
            <v>1</v>
          </cell>
          <cell r="H201" t="str">
            <v>Hilary Foulkes</v>
          </cell>
          <cell r="I201" t="str">
            <v>EVP and COO</v>
          </cell>
          <cell r="J201" t="str">
            <v>NEO 1</v>
          </cell>
          <cell r="K201">
            <v>5697.9938599999996</v>
          </cell>
          <cell r="L201">
            <v>8822.9938600000005</v>
          </cell>
          <cell r="M201">
            <v>500000</v>
          </cell>
          <cell r="N201">
            <v>500000</v>
          </cell>
          <cell r="O201" t="str">
            <v>n/d</v>
          </cell>
          <cell r="P201">
            <v>0</v>
          </cell>
          <cell r="Q201">
            <v>0</v>
          </cell>
          <cell r="R201">
            <v>0</v>
          </cell>
          <cell r="S201">
            <v>0</v>
          </cell>
          <cell r="T201" t="str">
            <v>n/d</v>
          </cell>
          <cell r="U201">
            <v>0</v>
          </cell>
          <cell r="V201">
            <v>500000</v>
          </cell>
          <cell r="W201">
            <v>500000</v>
          </cell>
          <cell r="X201" t="str">
            <v>input</v>
          </cell>
          <cell r="Y201" t="str">
            <v>input</v>
          </cell>
          <cell r="Z201">
            <v>1222500</v>
          </cell>
          <cell r="AA201">
            <v>0</v>
          </cell>
          <cell r="AB201">
            <v>2.4449999999999998</v>
          </cell>
          <cell r="AC201">
            <v>1222500</v>
          </cell>
          <cell r="AD201">
            <v>0</v>
          </cell>
          <cell r="AE201">
            <v>1722500</v>
          </cell>
          <cell r="AF201" t="str">
            <v>Hilary Foulkes was appointed EVP and COO in September 2011, and as such, only her 2012 compensation data has been included. Additionally, we did not include the STIP and LTIP values priort to 2012 in the target calculations. Ms. Foulkes department from Penn West effective November 6, 2012; the salary recorded has been annualized.</v>
          </cell>
          <cell r="AG201">
            <v>0</v>
          </cell>
          <cell r="AH201">
            <v>0</v>
          </cell>
          <cell r="AI201">
            <v>0</v>
          </cell>
          <cell r="AJ201">
            <v>0</v>
          </cell>
        </row>
        <row r="202">
          <cell r="A202" t="str">
            <v>TSX:PWT_NEO 3_2012</v>
          </cell>
          <cell r="B202" t="str">
            <v>TSX:PWT</v>
          </cell>
          <cell r="C202" t="str">
            <v>Penn West Petroleum Ltd.</v>
          </cell>
          <cell r="D202">
            <v>2012</v>
          </cell>
          <cell r="E202">
            <v>12</v>
          </cell>
          <cell r="F202" t="str">
            <v>CAD</v>
          </cell>
          <cell r="G202">
            <v>1</v>
          </cell>
          <cell r="H202" t="str">
            <v>Mark Fitzgerald</v>
          </cell>
          <cell r="I202" t="str">
            <v>SVP, Development</v>
          </cell>
          <cell r="J202" t="str">
            <v>NEO 3</v>
          </cell>
          <cell r="K202">
            <v>5697.9938599999996</v>
          </cell>
          <cell r="L202">
            <v>8822.9938600000005</v>
          </cell>
          <cell r="M202">
            <v>330000</v>
          </cell>
          <cell r="N202">
            <v>330000</v>
          </cell>
          <cell r="O202" t="str">
            <v>n/d</v>
          </cell>
          <cell r="P202">
            <v>0</v>
          </cell>
          <cell r="Q202">
            <v>0</v>
          </cell>
          <cell r="R202">
            <v>0</v>
          </cell>
          <cell r="S202" t="str">
            <v>n/d</v>
          </cell>
          <cell r="T202" t="str">
            <v>n/d</v>
          </cell>
          <cell r="U202" t="str">
            <v>input</v>
          </cell>
          <cell r="V202">
            <v>330000</v>
          </cell>
          <cell r="W202" t="str">
            <v>input</v>
          </cell>
          <cell r="X202" t="str">
            <v>input</v>
          </cell>
          <cell r="Y202">
            <v>0</v>
          </cell>
          <cell r="Z202">
            <v>733500</v>
          </cell>
          <cell r="AA202">
            <v>733500</v>
          </cell>
          <cell r="AB202">
            <v>2.2227272727272727</v>
          </cell>
          <cell r="AC202">
            <v>733500</v>
          </cell>
          <cell r="AD202">
            <v>1063500</v>
          </cell>
          <cell r="AE202">
            <v>0</v>
          </cell>
          <cell r="AH202" t="str">
            <v>1.5X base salary</v>
          </cell>
          <cell r="AI202" t="str">
            <v>5 years</v>
          </cell>
          <cell r="AJ202">
            <v>0</v>
          </cell>
        </row>
        <row r="203">
          <cell r="A203" t="str">
            <v>TSX:PWT_NEO 3_2011</v>
          </cell>
          <cell r="B203" t="str">
            <v>TSX:PWT</v>
          </cell>
          <cell r="C203" t="str">
            <v>Penn West Petroleum Ltd.</v>
          </cell>
          <cell r="D203">
            <v>2011</v>
          </cell>
          <cell r="E203">
            <v>12</v>
          </cell>
          <cell r="F203" t="str">
            <v>CAD</v>
          </cell>
          <cell r="G203">
            <v>1</v>
          </cell>
          <cell r="H203" t="str">
            <v>Mark Fitzgerald</v>
          </cell>
          <cell r="I203" t="str">
            <v>SVP, Development</v>
          </cell>
          <cell r="J203" t="str">
            <v>NEO 3</v>
          </cell>
          <cell r="K203">
            <v>5697.9938599999996</v>
          </cell>
          <cell r="L203">
            <v>8822.9938600000005</v>
          </cell>
          <cell r="M203">
            <v>330000</v>
          </cell>
          <cell r="N203">
            <v>330000</v>
          </cell>
          <cell r="O203">
            <v>0</v>
          </cell>
          <cell r="P203">
            <v>225000</v>
          </cell>
          <cell r="Q203">
            <v>225000</v>
          </cell>
          <cell r="R203">
            <v>0.68181818181818177</v>
          </cell>
          <cell r="S203">
            <v>0</v>
          </cell>
          <cell r="T203">
            <v>0</v>
          </cell>
          <cell r="U203">
            <v>0</v>
          </cell>
          <cell r="V203">
            <v>0</v>
          </cell>
          <cell r="W203">
            <v>0</v>
          </cell>
          <cell r="X203">
            <v>0</v>
          </cell>
          <cell r="Y203">
            <v>0</v>
          </cell>
          <cell r="Z203">
            <v>852500</v>
          </cell>
          <cell r="AA203">
            <v>852500</v>
          </cell>
          <cell r="AB203">
            <v>2.5833333333333335</v>
          </cell>
          <cell r="AC203">
            <v>852500</v>
          </cell>
          <cell r="AD203">
            <v>1407500</v>
          </cell>
          <cell r="AE203">
            <v>0</v>
          </cell>
          <cell r="AH203">
            <v>0</v>
          </cell>
          <cell r="AI203">
            <v>0</v>
          </cell>
          <cell r="AJ203">
            <v>0</v>
          </cell>
        </row>
        <row r="204">
          <cell r="A204" t="str">
            <v>TSX:PWT_NEO 3_2010</v>
          </cell>
          <cell r="B204" t="str">
            <v>TSX:PWT</v>
          </cell>
          <cell r="C204" t="str">
            <v>Penn West Petroleum Ltd.</v>
          </cell>
          <cell r="D204">
            <v>2010</v>
          </cell>
          <cell r="E204">
            <v>12</v>
          </cell>
          <cell r="F204" t="str">
            <v>CAD</v>
          </cell>
          <cell r="G204">
            <v>1</v>
          </cell>
          <cell r="H204" t="str">
            <v>Mark Fitzgerald</v>
          </cell>
          <cell r="I204" t="str">
            <v>SVP, Development</v>
          </cell>
          <cell r="J204" t="str">
            <v>NEO 3</v>
          </cell>
          <cell r="K204">
            <v>5697.9938599999996</v>
          </cell>
          <cell r="L204">
            <v>8822.9938600000005</v>
          </cell>
          <cell r="M204">
            <v>300000</v>
          </cell>
          <cell r="N204">
            <v>300000</v>
          </cell>
          <cell r="O204">
            <v>0</v>
          </cell>
          <cell r="P204">
            <v>325000</v>
          </cell>
          <cell r="Q204">
            <v>325000</v>
          </cell>
          <cell r="R204">
            <v>1.0833333333333333</v>
          </cell>
          <cell r="S204">
            <v>0</v>
          </cell>
          <cell r="T204">
            <v>0</v>
          </cell>
          <cell r="U204">
            <v>0</v>
          </cell>
          <cell r="V204">
            <v>0</v>
          </cell>
          <cell r="W204">
            <v>0</v>
          </cell>
          <cell r="X204">
            <v>0</v>
          </cell>
          <cell r="Y204">
            <v>0</v>
          </cell>
          <cell r="Z204">
            <v>443750</v>
          </cell>
          <cell r="AA204">
            <v>443750</v>
          </cell>
          <cell r="AB204">
            <v>1.4791666666666667</v>
          </cell>
          <cell r="AC204">
            <v>443750</v>
          </cell>
          <cell r="AD204">
            <v>1068750</v>
          </cell>
          <cell r="AE204">
            <v>0</v>
          </cell>
          <cell r="AH204">
            <v>0</v>
          </cell>
          <cell r="AI204">
            <v>0</v>
          </cell>
          <cell r="AJ204">
            <v>0</v>
          </cell>
        </row>
        <row r="205">
          <cell r="A205" t="str">
            <v>TSX:PWT_NEO 3_Target</v>
          </cell>
          <cell r="B205" t="str">
            <v>TSX:PWT</v>
          </cell>
          <cell r="C205" t="str">
            <v>Penn West Petroleum Ltd.</v>
          </cell>
          <cell r="D205" t="str">
            <v>Target</v>
          </cell>
          <cell r="E205">
            <v>12</v>
          </cell>
          <cell r="F205" t="str">
            <v>CAD</v>
          </cell>
          <cell r="G205">
            <v>1</v>
          </cell>
          <cell r="H205" t="str">
            <v>Mark Fitzgerald</v>
          </cell>
          <cell r="I205" t="str">
            <v>SVP, Development</v>
          </cell>
          <cell r="J205" t="str">
            <v>NEO 3</v>
          </cell>
          <cell r="K205">
            <v>5697.9938599999996</v>
          </cell>
          <cell r="L205">
            <v>8822.9938600000005</v>
          </cell>
          <cell r="M205">
            <v>330000</v>
          </cell>
          <cell r="N205">
            <v>330000</v>
          </cell>
          <cell r="O205" t="str">
            <v>n/d</v>
          </cell>
          <cell r="P205">
            <v>0</v>
          </cell>
          <cell r="Q205">
            <v>0</v>
          </cell>
          <cell r="R205">
            <v>0</v>
          </cell>
          <cell r="S205">
            <v>0.58838383838383834</v>
          </cell>
          <cell r="T205" t="str">
            <v>n/d</v>
          </cell>
          <cell r="U205">
            <v>194166.66666666666</v>
          </cell>
          <cell r="V205">
            <v>330000</v>
          </cell>
          <cell r="W205">
            <v>524166.66666666663</v>
          </cell>
          <cell r="X205" t="str">
            <v>input</v>
          </cell>
          <cell r="Y205" t="str">
            <v>input</v>
          </cell>
          <cell r="Z205">
            <v>676583.33333333337</v>
          </cell>
          <cell r="AA205">
            <v>0</v>
          </cell>
          <cell r="AB205">
            <v>2.0950757575757577</v>
          </cell>
          <cell r="AC205">
            <v>691375</v>
          </cell>
          <cell r="AD205">
            <v>0</v>
          </cell>
          <cell r="AE205">
            <v>1215541.6666666665</v>
          </cell>
          <cell r="AF205">
            <v>0</v>
          </cell>
          <cell r="AG205">
            <v>0</v>
          </cell>
          <cell r="AH205">
            <v>0</v>
          </cell>
          <cell r="AI205">
            <v>0</v>
          </cell>
          <cell r="AJ205">
            <v>0</v>
          </cell>
        </row>
        <row r="206">
          <cell r="A206" t="str">
            <v>TSX:PWT_NEO 2_2012</v>
          </cell>
          <cell r="B206" t="str">
            <v>TSX:PWT</v>
          </cell>
          <cell r="C206" t="str">
            <v>Penn West Petroleum Ltd.</v>
          </cell>
          <cell r="D206">
            <v>2012</v>
          </cell>
          <cell r="E206">
            <v>12</v>
          </cell>
          <cell r="F206" t="str">
            <v>CAD</v>
          </cell>
          <cell r="G206">
            <v>1</v>
          </cell>
          <cell r="H206" t="str">
            <v>Keith Luft</v>
          </cell>
          <cell r="I206" t="str">
            <v>General Counsel and SVP, Stakeholder Realations</v>
          </cell>
          <cell r="J206" t="str">
            <v>NEO 2</v>
          </cell>
          <cell r="K206">
            <v>5697.9938599999996</v>
          </cell>
          <cell r="L206">
            <v>8822.9938600000005</v>
          </cell>
          <cell r="M206">
            <v>320000</v>
          </cell>
          <cell r="N206">
            <v>320000</v>
          </cell>
          <cell r="O206" t="str">
            <v>n/d</v>
          </cell>
          <cell r="P206">
            <v>0</v>
          </cell>
          <cell r="Q206">
            <v>0</v>
          </cell>
          <cell r="R206">
            <v>0</v>
          </cell>
          <cell r="S206" t="str">
            <v>n/d</v>
          </cell>
          <cell r="T206" t="str">
            <v>n/d</v>
          </cell>
          <cell r="U206" t="str">
            <v>input</v>
          </cell>
          <cell r="V206">
            <v>320000</v>
          </cell>
          <cell r="W206" t="str">
            <v>input</v>
          </cell>
          <cell r="X206" t="str">
            <v>input</v>
          </cell>
          <cell r="Y206">
            <v>0</v>
          </cell>
          <cell r="Z206">
            <v>733500</v>
          </cell>
          <cell r="AA206">
            <v>733500</v>
          </cell>
          <cell r="AB206">
            <v>2.2921874999999998</v>
          </cell>
          <cell r="AC206">
            <v>733500</v>
          </cell>
          <cell r="AD206">
            <v>1053500</v>
          </cell>
          <cell r="AE206">
            <v>0</v>
          </cell>
          <cell r="AH206" t="str">
            <v>1.5X base salary</v>
          </cell>
          <cell r="AI206" t="str">
            <v>5 years</v>
          </cell>
          <cell r="AJ206">
            <v>0</v>
          </cell>
        </row>
        <row r="207">
          <cell r="A207" t="str">
            <v>TSX:PWT_NEO 2_2011</v>
          </cell>
          <cell r="B207" t="str">
            <v>TSX:PWT</v>
          </cell>
          <cell r="C207" t="str">
            <v>Penn West Petroleum Ltd.</v>
          </cell>
          <cell r="D207">
            <v>2011</v>
          </cell>
          <cell r="E207">
            <v>12</v>
          </cell>
          <cell r="F207" t="str">
            <v>CAD</v>
          </cell>
          <cell r="G207">
            <v>1</v>
          </cell>
          <cell r="H207" t="str">
            <v>Keith Luft</v>
          </cell>
          <cell r="I207" t="str">
            <v>General Counsel and SVP, Stakeholder Realations</v>
          </cell>
          <cell r="J207" t="str">
            <v>NEO 2</v>
          </cell>
          <cell r="K207">
            <v>5697.9938599999996</v>
          </cell>
          <cell r="L207">
            <v>8822.9938600000005</v>
          </cell>
          <cell r="M207">
            <v>315000</v>
          </cell>
          <cell r="N207">
            <v>315000</v>
          </cell>
          <cell r="O207">
            <v>0</v>
          </cell>
          <cell r="P207">
            <v>225000</v>
          </cell>
          <cell r="Q207">
            <v>225000</v>
          </cell>
          <cell r="R207">
            <v>0.7142857142857143</v>
          </cell>
          <cell r="S207">
            <v>0</v>
          </cell>
          <cell r="T207">
            <v>0</v>
          </cell>
          <cell r="U207">
            <v>0</v>
          </cell>
          <cell r="V207">
            <v>0</v>
          </cell>
          <cell r="W207">
            <v>0</v>
          </cell>
          <cell r="X207">
            <v>0</v>
          </cell>
          <cell r="Y207">
            <v>0</v>
          </cell>
          <cell r="Z207">
            <v>852500</v>
          </cell>
          <cell r="AA207">
            <v>852500</v>
          </cell>
          <cell r="AB207">
            <v>2.7063492063492065</v>
          </cell>
          <cell r="AC207">
            <v>852500</v>
          </cell>
          <cell r="AD207">
            <v>1392500</v>
          </cell>
          <cell r="AE207">
            <v>0</v>
          </cell>
          <cell r="AH207">
            <v>0</v>
          </cell>
          <cell r="AI207">
            <v>0</v>
          </cell>
          <cell r="AJ207">
            <v>0</v>
          </cell>
        </row>
        <row r="208">
          <cell r="A208" t="str">
            <v>TSX:PWT_NEO 2_2010</v>
          </cell>
          <cell r="B208" t="str">
            <v>TSX:PWT</v>
          </cell>
          <cell r="C208" t="str">
            <v>Penn West Petroleum Ltd.</v>
          </cell>
          <cell r="D208">
            <v>2010</v>
          </cell>
          <cell r="E208">
            <v>12</v>
          </cell>
          <cell r="F208" t="str">
            <v>CAD</v>
          </cell>
          <cell r="G208">
            <v>1</v>
          </cell>
          <cell r="H208" t="str">
            <v>Keith Luft</v>
          </cell>
          <cell r="I208" t="str">
            <v>General Counsel and SVP, Stakeholder Realations</v>
          </cell>
          <cell r="J208" t="str">
            <v>NEO 2</v>
          </cell>
          <cell r="K208">
            <v>5697.9938599999996</v>
          </cell>
          <cell r="L208">
            <v>8822.9938600000005</v>
          </cell>
          <cell r="M208">
            <v>285000</v>
          </cell>
          <cell r="N208">
            <v>285000</v>
          </cell>
          <cell r="O208">
            <v>0</v>
          </cell>
          <cell r="P208">
            <v>325000</v>
          </cell>
          <cell r="Q208">
            <v>325000</v>
          </cell>
          <cell r="R208">
            <v>1.1403508771929824</v>
          </cell>
          <cell r="S208">
            <v>0</v>
          </cell>
          <cell r="T208">
            <v>0</v>
          </cell>
          <cell r="U208">
            <v>0</v>
          </cell>
          <cell r="V208">
            <v>0</v>
          </cell>
          <cell r="W208">
            <v>0</v>
          </cell>
          <cell r="X208">
            <v>0</v>
          </cell>
          <cell r="Y208">
            <v>0</v>
          </cell>
          <cell r="Z208">
            <v>443750</v>
          </cell>
          <cell r="AA208">
            <v>443750</v>
          </cell>
          <cell r="AB208">
            <v>1.5570175438596492</v>
          </cell>
          <cell r="AC208">
            <v>443750</v>
          </cell>
          <cell r="AD208">
            <v>1053750</v>
          </cell>
          <cell r="AE208">
            <v>0</v>
          </cell>
          <cell r="AH208">
            <v>0</v>
          </cell>
          <cell r="AI208">
            <v>0</v>
          </cell>
          <cell r="AJ208">
            <v>0</v>
          </cell>
        </row>
        <row r="209">
          <cell r="A209" t="str">
            <v>TSX:PWT_NEO 2_Target</v>
          </cell>
          <cell r="B209" t="str">
            <v>TSX:PWT</v>
          </cell>
          <cell r="C209" t="str">
            <v>Penn West Petroleum Ltd.</v>
          </cell>
          <cell r="D209" t="str">
            <v>Target</v>
          </cell>
          <cell r="E209">
            <v>12</v>
          </cell>
          <cell r="F209" t="str">
            <v>CAD</v>
          </cell>
          <cell r="G209">
            <v>1</v>
          </cell>
          <cell r="H209" t="str">
            <v>Keith Luft</v>
          </cell>
          <cell r="I209" t="str">
            <v>General Counsel and SVP, Stakeholder Realations</v>
          </cell>
          <cell r="J209" t="str">
            <v>NEO 2</v>
          </cell>
          <cell r="K209">
            <v>5697.9938599999996</v>
          </cell>
          <cell r="L209">
            <v>8822.9938600000005</v>
          </cell>
          <cell r="M209">
            <v>320000</v>
          </cell>
          <cell r="N209">
            <v>320000</v>
          </cell>
          <cell r="O209" t="str">
            <v>n/d</v>
          </cell>
          <cell r="P209">
            <v>0</v>
          </cell>
          <cell r="Q209">
            <v>0</v>
          </cell>
          <cell r="R209">
            <v>0</v>
          </cell>
          <cell r="S209">
            <v>0.61821219715956566</v>
          </cell>
          <cell r="T209" t="str">
            <v>n/d</v>
          </cell>
          <cell r="U209">
            <v>197827.90309106102</v>
          </cell>
          <cell r="V209">
            <v>320000</v>
          </cell>
          <cell r="W209">
            <v>517827.90309106105</v>
          </cell>
          <cell r="X209" t="str">
            <v>input</v>
          </cell>
          <cell r="Y209" t="str">
            <v>input</v>
          </cell>
          <cell r="Z209">
            <v>676583.33333333337</v>
          </cell>
          <cell r="AA209">
            <v>0</v>
          </cell>
          <cell r="AB209">
            <v>2.1851847500696184</v>
          </cell>
          <cell r="AC209">
            <v>699259.12002227793</v>
          </cell>
          <cell r="AD209">
            <v>0</v>
          </cell>
          <cell r="AE209">
            <v>1217087.023113339</v>
          </cell>
          <cell r="AF209">
            <v>0</v>
          </cell>
          <cell r="AG209">
            <v>0</v>
          </cell>
          <cell r="AH209">
            <v>0</v>
          </cell>
          <cell r="AI209">
            <v>0</v>
          </cell>
          <cell r="AJ209">
            <v>0</v>
          </cell>
        </row>
        <row r="210">
          <cell r="A210" t="str">
            <v>TSX:TA_CEO_2012</v>
          </cell>
          <cell r="B210" t="str">
            <v>TSX:TA</v>
          </cell>
          <cell r="C210" t="str">
            <v>TransAlta Corp.</v>
          </cell>
          <cell r="D210">
            <v>2012</v>
          </cell>
          <cell r="E210">
            <v>12</v>
          </cell>
          <cell r="F210" t="str">
            <v>CAD</v>
          </cell>
          <cell r="G210">
            <v>1</v>
          </cell>
          <cell r="H210" t="str">
            <v>D.L. Farrell</v>
          </cell>
          <cell r="I210" t="str">
            <v>President and CEO</v>
          </cell>
          <cell r="J210" t="str">
            <v>CEO</v>
          </cell>
          <cell r="K210">
            <v>3611.0279999999998</v>
          </cell>
          <cell r="L210">
            <v>9132.0280000000002</v>
          </cell>
          <cell r="M210">
            <v>949722</v>
          </cell>
          <cell r="N210">
            <v>949722</v>
          </cell>
          <cell r="O210" t="str">
            <v>n/d</v>
          </cell>
          <cell r="P210">
            <v>688275</v>
          </cell>
          <cell r="Q210">
            <v>688275</v>
          </cell>
          <cell r="R210">
            <v>0.72471207363839107</v>
          </cell>
          <cell r="S210">
            <v>0.9</v>
          </cell>
          <cell r="T210">
            <v>1.8</v>
          </cell>
          <cell r="U210">
            <v>854749.8</v>
          </cell>
          <cell r="V210">
            <v>1637997</v>
          </cell>
          <cell r="W210">
            <v>1804471.7999999998</v>
          </cell>
          <cell r="X210">
            <v>2659221.5999999996</v>
          </cell>
          <cell r="Y210">
            <v>1615543</v>
          </cell>
          <cell r="Z210">
            <v>0</v>
          </cell>
          <cell r="AA210">
            <v>1615543</v>
          </cell>
          <cell r="AB210">
            <v>1.7010693655617117</v>
          </cell>
          <cell r="AC210">
            <v>1615543</v>
          </cell>
          <cell r="AD210">
            <v>3253540</v>
          </cell>
          <cell r="AE210">
            <v>0</v>
          </cell>
          <cell r="AF210" t="str">
            <v>D.L. Farrell was appointed CEO on January 2, 2012. Mrs. Farrell’s 2012 Share Award value includes $1,425,000 in respect of a one-time grant of PSOPs and RSUs as a result of her promotion to CEO, which has been excluded. Additionally, we did not include the STIP and the LTIP values prior to 2012 in the target calculations.</v>
          </cell>
          <cell r="AG210" t="str">
            <v>CEO must continue to adhere to SOG for 1 year after employment with the company.</v>
          </cell>
          <cell r="AH210" t="str">
            <v>4x base salary</v>
          </cell>
          <cell r="AI210" t="str">
            <v>5 years</v>
          </cell>
          <cell r="AJ210">
            <v>0</v>
          </cell>
        </row>
        <row r="211">
          <cell r="A211" t="str">
            <v>TSX:TA__2011</v>
          </cell>
          <cell r="B211" t="str">
            <v>TSX:TA</v>
          </cell>
          <cell r="C211" t="str">
            <v>TransAlta Corp.</v>
          </cell>
          <cell r="D211">
            <v>2011</v>
          </cell>
          <cell r="E211">
            <v>12</v>
          </cell>
          <cell r="F211" t="str">
            <v>CAD</v>
          </cell>
          <cell r="G211">
            <v>1</v>
          </cell>
          <cell r="K211">
            <v>3611.0279999999998</v>
          </cell>
          <cell r="L211">
            <v>9132.0280000000002</v>
          </cell>
          <cell r="M211">
            <v>0</v>
          </cell>
          <cell r="N211">
            <v>0</v>
          </cell>
          <cell r="O211">
            <v>0</v>
          </cell>
          <cell r="P211">
            <v>0</v>
          </cell>
          <cell r="Q211">
            <v>0</v>
          </cell>
          <cell r="R211" t="str">
            <v>input</v>
          </cell>
          <cell r="S211">
            <v>0</v>
          </cell>
          <cell r="T211">
            <v>0</v>
          </cell>
          <cell r="U211">
            <v>0</v>
          </cell>
          <cell r="V211">
            <v>0</v>
          </cell>
          <cell r="W211">
            <v>0</v>
          </cell>
          <cell r="X211">
            <v>0</v>
          </cell>
          <cell r="Y211">
            <v>0</v>
          </cell>
          <cell r="Z211">
            <v>0</v>
          </cell>
          <cell r="AA211">
            <v>0</v>
          </cell>
          <cell r="AB211" t="str">
            <v>input</v>
          </cell>
          <cell r="AC211">
            <v>0</v>
          </cell>
          <cell r="AD211">
            <v>0</v>
          </cell>
          <cell r="AE211">
            <v>0</v>
          </cell>
          <cell r="AH211">
            <v>0</v>
          </cell>
          <cell r="AI211">
            <v>0</v>
          </cell>
          <cell r="AJ211">
            <v>0</v>
          </cell>
        </row>
        <row r="212">
          <cell r="A212" t="str">
            <v>TSX:TA__2010</v>
          </cell>
          <cell r="B212" t="str">
            <v>TSX:TA</v>
          </cell>
          <cell r="C212" t="str">
            <v>TransAlta Corp.</v>
          </cell>
          <cell r="D212">
            <v>2010</v>
          </cell>
          <cell r="E212">
            <v>12</v>
          </cell>
          <cell r="F212" t="str">
            <v>CAD</v>
          </cell>
          <cell r="G212">
            <v>1</v>
          </cell>
          <cell r="K212">
            <v>3611.0279999999998</v>
          </cell>
          <cell r="L212">
            <v>9132.0280000000002</v>
          </cell>
          <cell r="M212">
            <v>0</v>
          </cell>
          <cell r="N212">
            <v>0</v>
          </cell>
          <cell r="O212">
            <v>0</v>
          </cell>
          <cell r="P212">
            <v>0</v>
          </cell>
          <cell r="Q212">
            <v>0</v>
          </cell>
          <cell r="R212" t="str">
            <v>input</v>
          </cell>
          <cell r="S212">
            <v>0</v>
          </cell>
          <cell r="T212">
            <v>0</v>
          </cell>
          <cell r="U212">
            <v>0</v>
          </cell>
          <cell r="V212">
            <v>0</v>
          </cell>
          <cell r="W212">
            <v>0</v>
          </cell>
          <cell r="X212">
            <v>0</v>
          </cell>
          <cell r="Y212">
            <v>0</v>
          </cell>
          <cell r="Z212">
            <v>0</v>
          </cell>
          <cell r="AA212">
            <v>0</v>
          </cell>
          <cell r="AB212" t="str">
            <v>input</v>
          </cell>
          <cell r="AC212">
            <v>0</v>
          </cell>
          <cell r="AD212">
            <v>0</v>
          </cell>
          <cell r="AE212">
            <v>0</v>
          </cell>
          <cell r="AH212">
            <v>0</v>
          </cell>
          <cell r="AI212">
            <v>0</v>
          </cell>
          <cell r="AJ212">
            <v>0</v>
          </cell>
        </row>
        <row r="213">
          <cell r="A213" t="str">
            <v>TSX:TA_CEO_Target</v>
          </cell>
          <cell r="B213" t="str">
            <v>TSX:TA</v>
          </cell>
          <cell r="C213" t="str">
            <v>TransAlta Corp.</v>
          </cell>
          <cell r="D213" t="str">
            <v>Target</v>
          </cell>
          <cell r="E213">
            <v>12</v>
          </cell>
          <cell r="F213" t="str">
            <v>CAD</v>
          </cell>
          <cell r="G213">
            <v>1</v>
          </cell>
          <cell r="H213" t="str">
            <v>D.L. Farrell</v>
          </cell>
          <cell r="I213" t="str">
            <v>President and CEO</v>
          </cell>
          <cell r="J213" t="str">
            <v>CEO</v>
          </cell>
          <cell r="K213">
            <v>3611.0279999999998</v>
          </cell>
          <cell r="L213">
            <v>9132.0280000000002</v>
          </cell>
          <cell r="M213">
            <v>949722</v>
          </cell>
          <cell r="N213">
            <v>949722</v>
          </cell>
          <cell r="O213" t="str">
            <v>n/d</v>
          </cell>
          <cell r="P213">
            <v>688275</v>
          </cell>
          <cell r="Q213">
            <v>688275</v>
          </cell>
          <cell r="R213">
            <v>0.72471207363839107</v>
          </cell>
          <cell r="S213">
            <v>0.9</v>
          </cell>
          <cell r="T213">
            <v>1.8</v>
          </cell>
          <cell r="U213">
            <v>854749.8</v>
          </cell>
          <cell r="V213">
            <v>1637997</v>
          </cell>
          <cell r="W213">
            <v>1804471.7999999998</v>
          </cell>
          <cell r="X213">
            <v>2659221.5999999996</v>
          </cell>
          <cell r="Y213">
            <v>1615543</v>
          </cell>
          <cell r="Z213" t="str">
            <v>input</v>
          </cell>
          <cell r="AA213">
            <v>0</v>
          </cell>
          <cell r="AB213">
            <v>1.7010693655617117</v>
          </cell>
          <cell r="AC213">
            <v>1615543</v>
          </cell>
          <cell r="AD213">
            <v>0</v>
          </cell>
          <cell r="AE213">
            <v>3420014.8</v>
          </cell>
          <cell r="AF213" t="str">
            <v>D.L. Farrell was appointed CEO on January 2, 2012. Mrs. Farrell’s 2012 Share Award value includes $1,425,000 in respect of a one-time grant of PSOPs and RSUs as a result of her promotion to CEO, which has been excluded. Additionally, we did not include the STIP and the LTIP values prior to 2012 in the target calculations.</v>
          </cell>
          <cell r="AG213">
            <v>0</v>
          </cell>
          <cell r="AH213">
            <v>0</v>
          </cell>
          <cell r="AI213">
            <v>0</v>
          </cell>
          <cell r="AJ213">
            <v>0</v>
          </cell>
        </row>
        <row r="214">
          <cell r="A214" t="str">
            <v>TSX:TA_CFO_2012</v>
          </cell>
          <cell r="B214" t="str">
            <v>TSX:TA</v>
          </cell>
          <cell r="C214" t="str">
            <v>TransAlta Corp.</v>
          </cell>
          <cell r="D214">
            <v>2012</v>
          </cell>
          <cell r="E214">
            <v>12</v>
          </cell>
          <cell r="F214" t="str">
            <v>CAD</v>
          </cell>
          <cell r="G214">
            <v>1</v>
          </cell>
          <cell r="H214" t="str">
            <v>B.M. Gellner</v>
          </cell>
          <cell r="I214" t="str">
            <v>CFO</v>
          </cell>
          <cell r="J214" t="str">
            <v>CFO</v>
          </cell>
          <cell r="K214">
            <v>3611.0279999999998</v>
          </cell>
          <cell r="L214">
            <v>9132.0280000000002</v>
          </cell>
          <cell r="M214">
            <v>500000</v>
          </cell>
          <cell r="N214">
            <v>500000</v>
          </cell>
          <cell r="O214" t="str">
            <v>n/d</v>
          </cell>
          <cell r="P214">
            <v>257250</v>
          </cell>
          <cell r="Q214">
            <v>257250</v>
          </cell>
          <cell r="R214">
            <v>0.51449999999999996</v>
          </cell>
          <cell r="S214">
            <v>0.5</v>
          </cell>
          <cell r="T214">
            <v>1</v>
          </cell>
          <cell r="U214">
            <v>250000</v>
          </cell>
          <cell r="V214">
            <v>757250</v>
          </cell>
          <cell r="W214">
            <v>750000</v>
          </cell>
          <cell r="X214">
            <v>1000000</v>
          </cell>
          <cell r="Y214">
            <v>625345</v>
          </cell>
          <cell r="Z214">
            <v>0</v>
          </cell>
          <cell r="AA214">
            <v>625345</v>
          </cell>
          <cell r="AB214">
            <v>1.2506900000000001</v>
          </cell>
          <cell r="AC214">
            <v>625345</v>
          </cell>
          <cell r="AD214">
            <v>1382595</v>
          </cell>
          <cell r="AE214">
            <v>0</v>
          </cell>
          <cell r="AF214" t="str">
            <v>B.M. Gellner was appointed CFO on June 18, 2010. Prior thereto, he was VP, Commercial Operations. The data recorded only represents the 2011 and 2012 compensation because TransAlta's 2013 Proxy does not disclose how much was compensation was attributed to the new role, and how much was attributed to the old role. Additionally, we did not include the STIP and LTIP values prior to 2011 in the target calculations.</v>
          </cell>
          <cell r="AH214" t="str">
            <v>2X base salary</v>
          </cell>
          <cell r="AI214" t="str">
            <v>5 years</v>
          </cell>
          <cell r="AJ214">
            <v>0</v>
          </cell>
        </row>
        <row r="215">
          <cell r="A215" t="str">
            <v>TSX:TA_CFO_2011</v>
          </cell>
          <cell r="B215" t="str">
            <v>TSX:TA</v>
          </cell>
          <cell r="C215" t="str">
            <v>TransAlta Corp.</v>
          </cell>
          <cell r="D215">
            <v>2011</v>
          </cell>
          <cell r="E215">
            <v>12</v>
          </cell>
          <cell r="F215" t="str">
            <v>CAD</v>
          </cell>
          <cell r="G215">
            <v>1</v>
          </cell>
          <cell r="H215" t="str">
            <v>B.M. Gellner</v>
          </cell>
          <cell r="I215" t="str">
            <v>CFO</v>
          </cell>
          <cell r="J215" t="str">
            <v>CFO</v>
          </cell>
          <cell r="K215">
            <v>3611.0279999999998</v>
          </cell>
          <cell r="L215">
            <v>9132.0280000000002</v>
          </cell>
          <cell r="M215">
            <v>433333</v>
          </cell>
          <cell r="N215">
            <v>433333</v>
          </cell>
          <cell r="O215">
            <v>0</v>
          </cell>
          <cell r="P215">
            <v>227662</v>
          </cell>
          <cell r="Q215">
            <v>227662</v>
          </cell>
          <cell r="R215">
            <v>0.52537425028788487</v>
          </cell>
          <cell r="S215">
            <v>0</v>
          </cell>
          <cell r="T215">
            <v>0</v>
          </cell>
          <cell r="U215">
            <v>0</v>
          </cell>
          <cell r="V215">
            <v>0</v>
          </cell>
          <cell r="W215">
            <v>0</v>
          </cell>
          <cell r="X215">
            <v>0</v>
          </cell>
          <cell r="Y215">
            <v>500198</v>
          </cell>
          <cell r="Z215">
            <v>0</v>
          </cell>
          <cell r="AA215">
            <v>500198</v>
          </cell>
          <cell r="AB215">
            <v>1.1543039648492037</v>
          </cell>
          <cell r="AC215">
            <v>500198</v>
          </cell>
          <cell r="AD215">
            <v>1161193</v>
          </cell>
          <cell r="AE215">
            <v>0</v>
          </cell>
          <cell r="AH215">
            <v>0</v>
          </cell>
          <cell r="AI215">
            <v>0</v>
          </cell>
          <cell r="AJ215">
            <v>0</v>
          </cell>
        </row>
        <row r="216">
          <cell r="A216" t="str">
            <v>TSX:TA__2010</v>
          </cell>
          <cell r="B216" t="str">
            <v>TSX:TA</v>
          </cell>
          <cell r="C216" t="str">
            <v>TransAlta Corp.</v>
          </cell>
          <cell r="D216">
            <v>2010</v>
          </cell>
          <cell r="E216">
            <v>12</v>
          </cell>
          <cell r="F216" t="str">
            <v>CAD</v>
          </cell>
          <cell r="G216">
            <v>1</v>
          </cell>
          <cell r="K216">
            <v>3611.0279999999998</v>
          </cell>
          <cell r="L216">
            <v>9132.0280000000002</v>
          </cell>
          <cell r="M216">
            <v>0</v>
          </cell>
          <cell r="N216">
            <v>0</v>
          </cell>
          <cell r="O216">
            <v>0</v>
          </cell>
          <cell r="P216">
            <v>0</v>
          </cell>
          <cell r="Q216">
            <v>0</v>
          </cell>
          <cell r="R216" t="str">
            <v>input</v>
          </cell>
          <cell r="S216">
            <v>0</v>
          </cell>
          <cell r="T216">
            <v>0</v>
          </cell>
          <cell r="U216">
            <v>0</v>
          </cell>
          <cell r="V216">
            <v>0</v>
          </cell>
          <cell r="W216">
            <v>0</v>
          </cell>
          <cell r="X216">
            <v>0</v>
          </cell>
          <cell r="Y216">
            <v>0</v>
          </cell>
          <cell r="Z216">
            <v>0</v>
          </cell>
          <cell r="AA216">
            <v>0</v>
          </cell>
          <cell r="AB216" t="str">
            <v>input</v>
          </cell>
          <cell r="AC216">
            <v>0</v>
          </cell>
          <cell r="AD216">
            <v>0</v>
          </cell>
          <cell r="AE216">
            <v>0</v>
          </cell>
          <cell r="AH216">
            <v>0</v>
          </cell>
          <cell r="AI216">
            <v>0</v>
          </cell>
          <cell r="AJ216">
            <v>0</v>
          </cell>
        </row>
        <row r="217">
          <cell r="A217" t="str">
            <v>TSX:TA_CFO_Target</v>
          </cell>
          <cell r="B217" t="str">
            <v>TSX:TA</v>
          </cell>
          <cell r="C217" t="str">
            <v>TransAlta Corp.</v>
          </cell>
          <cell r="D217" t="str">
            <v>Target</v>
          </cell>
          <cell r="E217">
            <v>12</v>
          </cell>
          <cell r="F217" t="str">
            <v>CAD</v>
          </cell>
          <cell r="G217">
            <v>1</v>
          </cell>
          <cell r="H217" t="str">
            <v>B.M. Gellner</v>
          </cell>
          <cell r="I217" t="str">
            <v>CFO</v>
          </cell>
          <cell r="J217" t="str">
            <v>CFO</v>
          </cell>
          <cell r="K217">
            <v>3611.0279999999998</v>
          </cell>
          <cell r="L217">
            <v>9132.0280000000002</v>
          </cell>
          <cell r="M217">
            <v>500000</v>
          </cell>
          <cell r="N217">
            <v>500000</v>
          </cell>
          <cell r="O217" t="str">
            <v>n/d</v>
          </cell>
          <cell r="P217">
            <v>257250</v>
          </cell>
          <cell r="Q217">
            <v>257250</v>
          </cell>
          <cell r="R217">
            <v>0.51449999999999996</v>
          </cell>
          <cell r="S217">
            <v>0.5</v>
          </cell>
          <cell r="T217">
            <v>1</v>
          </cell>
          <cell r="U217">
            <v>250000</v>
          </cell>
          <cell r="V217">
            <v>757250</v>
          </cell>
          <cell r="W217">
            <v>750000</v>
          </cell>
          <cell r="X217">
            <v>1000000</v>
          </cell>
          <cell r="Y217">
            <v>562771.5</v>
          </cell>
          <cell r="Z217" t="str">
            <v>input</v>
          </cell>
          <cell r="AA217">
            <v>0</v>
          </cell>
          <cell r="AB217">
            <v>1.2024969824246019</v>
          </cell>
          <cell r="AC217">
            <v>601248.49121230096</v>
          </cell>
          <cell r="AD217">
            <v>0</v>
          </cell>
          <cell r="AE217">
            <v>1351248.491212301</v>
          </cell>
          <cell r="AF217" t="str">
            <v>B.M. Gellner was appointed CFO on June 18, 2010. Prior thereto, he was VP, Commercial Operations. The data recorded only represents the 2011 and 2012 compensation because TransAlta's 2013 Proxy does not disclose how much was compensation was attributed to the new role, and how much was attributed to the old role. Additionally, we did not include the STIP and LTIP values prior to 2011 in the target calculations.</v>
          </cell>
          <cell r="AG217">
            <v>0</v>
          </cell>
          <cell r="AH217">
            <v>0</v>
          </cell>
          <cell r="AI217">
            <v>0</v>
          </cell>
          <cell r="AJ217">
            <v>0</v>
          </cell>
        </row>
        <row r="218">
          <cell r="A218" t="str">
            <v>TSX:TA_NEO 1_2012</v>
          </cell>
          <cell r="B218" t="str">
            <v>TSX:TA</v>
          </cell>
          <cell r="C218" t="str">
            <v>TransAlta Corp.</v>
          </cell>
          <cell r="D218">
            <v>2012</v>
          </cell>
          <cell r="E218">
            <v>12</v>
          </cell>
          <cell r="F218" t="str">
            <v>CAD</v>
          </cell>
          <cell r="G218">
            <v>1</v>
          </cell>
          <cell r="H218" t="str">
            <v>K.S. Stickland</v>
          </cell>
          <cell r="I218" t="str">
            <v>Chief Business Development Office</v>
          </cell>
          <cell r="J218" t="str">
            <v>NEO 1</v>
          </cell>
          <cell r="K218">
            <v>3611.0279999999998</v>
          </cell>
          <cell r="L218">
            <v>9132.0280000000002</v>
          </cell>
          <cell r="M218">
            <v>500000</v>
          </cell>
          <cell r="N218">
            <v>500000</v>
          </cell>
          <cell r="O218" t="str">
            <v>n/d</v>
          </cell>
          <cell r="P218">
            <v>238500</v>
          </cell>
          <cell r="Q218">
            <v>238500</v>
          </cell>
          <cell r="R218">
            <v>0.47699999999999998</v>
          </cell>
          <cell r="S218">
            <v>0.5</v>
          </cell>
          <cell r="T218">
            <v>1</v>
          </cell>
          <cell r="U218">
            <v>250000</v>
          </cell>
          <cell r="V218">
            <v>738500</v>
          </cell>
          <cell r="W218">
            <v>750000</v>
          </cell>
          <cell r="X218">
            <v>1000000</v>
          </cell>
          <cell r="Y218">
            <v>500276</v>
          </cell>
          <cell r="Z218">
            <v>0</v>
          </cell>
          <cell r="AA218">
            <v>500276</v>
          </cell>
          <cell r="AB218">
            <v>1.0005520000000001</v>
          </cell>
          <cell r="AC218">
            <v>500276</v>
          </cell>
          <cell r="AD218">
            <v>1238776</v>
          </cell>
          <cell r="AE218">
            <v>0</v>
          </cell>
          <cell r="AH218" t="str">
            <v>2X base salary</v>
          </cell>
          <cell r="AI218" t="str">
            <v>5 years</v>
          </cell>
          <cell r="AJ218">
            <v>0</v>
          </cell>
        </row>
        <row r="219">
          <cell r="A219" t="str">
            <v>TSX:TA_NEO 1_2011</v>
          </cell>
          <cell r="B219" t="str">
            <v>TSX:TA</v>
          </cell>
          <cell r="C219" t="str">
            <v>TransAlta Corp.</v>
          </cell>
          <cell r="D219">
            <v>2011</v>
          </cell>
          <cell r="E219">
            <v>12</v>
          </cell>
          <cell r="F219" t="str">
            <v>CAD</v>
          </cell>
          <cell r="G219">
            <v>1</v>
          </cell>
          <cell r="H219" t="str">
            <v>K.S. Stickland</v>
          </cell>
          <cell r="I219" t="str">
            <v>Chief Business Development Office</v>
          </cell>
          <cell r="J219" t="str">
            <v>NEO 1</v>
          </cell>
          <cell r="K219">
            <v>3611.0279999999998</v>
          </cell>
          <cell r="L219">
            <v>9132.0280000000002</v>
          </cell>
          <cell r="M219">
            <v>466667</v>
          </cell>
          <cell r="N219">
            <v>466667</v>
          </cell>
          <cell r="O219">
            <v>0</v>
          </cell>
          <cell r="P219">
            <v>231554</v>
          </cell>
          <cell r="Q219">
            <v>231554</v>
          </cell>
          <cell r="R219">
            <v>0.49618678843800829</v>
          </cell>
          <cell r="S219">
            <v>0</v>
          </cell>
          <cell r="T219">
            <v>0</v>
          </cell>
          <cell r="U219">
            <v>0</v>
          </cell>
          <cell r="V219">
            <v>0</v>
          </cell>
          <cell r="W219">
            <v>0</v>
          </cell>
          <cell r="X219">
            <v>0</v>
          </cell>
          <cell r="Y219">
            <v>500198</v>
          </cell>
          <cell r="Z219">
            <v>0</v>
          </cell>
          <cell r="AA219">
            <v>500198</v>
          </cell>
          <cell r="AB219">
            <v>1.0718520915342202</v>
          </cell>
          <cell r="AC219">
            <v>500198</v>
          </cell>
          <cell r="AD219">
            <v>1198419</v>
          </cell>
          <cell r="AE219">
            <v>0</v>
          </cell>
          <cell r="AH219">
            <v>0</v>
          </cell>
          <cell r="AI219">
            <v>0</v>
          </cell>
          <cell r="AJ219">
            <v>0</v>
          </cell>
        </row>
        <row r="220">
          <cell r="A220" t="str">
            <v>TSX:TA_NEO 1_2010</v>
          </cell>
          <cell r="B220" t="str">
            <v>TSX:TA</v>
          </cell>
          <cell r="C220" t="str">
            <v>TransAlta Corp.</v>
          </cell>
          <cell r="D220">
            <v>2010</v>
          </cell>
          <cell r="E220">
            <v>12</v>
          </cell>
          <cell r="F220" t="str">
            <v>CAD</v>
          </cell>
          <cell r="G220">
            <v>1</v>
          </cell>
          <cell r="H220" t="str">
            <v>K.S. Stickland</v>
          </cell>
          <cell r="I220" t="str">
            <v>Chief Business Development Office</v>
          </cell>
          <cell r="J220" t="str">
            <v>NEO 1</v>
          </cell>
          <cell r="K220">
            <v>3611.0279999999998</v>
          </cell>
          <cell r="L220">
            <v>9132.0280000000002</v>
          </cell>
          <cell r="M220">
            <v>450000</v>
          </cell>
          <cell r="N220">
            <v>450000</v>
          </cell>
          <cell r="O220">
            <v>0</v>
          </cell>
          <cell r="P220">
            <v>205920</v>
          </cell>
          <cell r="Q220">
            <v>205920</v>
          </cell>
          <cell r="R220">
            <v>0.45760000000000001</v>
          </cell>
          <cell r="S220">
            <v>0</v>
          </cell>
          <cell r="T220">
            <v>0</v>
          </cell>
          <cell r="U220">
            <v>0</v>
          </cell>
          <cell r="V220">
            <v>0</v>
          </cell>
          <cell r="W220">
            <v>0</v>
          </cell>
          <cell r="X220">
            <v>0</v>
          </cell>
          <cell r="Y220">
            <v>450816</v>
          </cell>
          <cell r="Z220">
            <v>0</v>
          </cell>
          <cell r="AA220">
            <v>450816</v>
          </cell>
          <cell r="AB220">
            <v>1.0018133333333332</v>
          </cell>
          <cell r="AC220">
            <v>450816</v>
          </cell>
          <cell r="AD220">
            <v>1106736</v>
          </cell>
          <cell r="AE220">
            <v>0</v>
          </cell>
          <cell r="AH220">
            <v>0</v>
          </cell>
          <cell r="AI220">
            <v>0</v>
          </cell>
          <cell r="AJ220">
            <v>0</v>
          </cell>
        </row>
        <row r="221">
          <cell r="A221" t="str">
            <v>TSX:TA_NEO 1_Target</v>
          </cell>
          <cell r="B221" t="str">
            <v>TSX:TA</v>
          </cell>
          <cell r="C221" t="str">
            <v>TransAlta Corp.</v>
          </cell>
          <cell r="D221" t="str">
            <v>Target</v>
          </cell>
          <cell r="E221">
            <v>12</v>
          </cell>
          <cell r="F221" t="str">
            <v>CAD</v>
          </cell>
          <cell r="G221">
            <v>1</v>
          </cell>
          <cell r="H221" t="str">
            <v>K.S. Stickland</v>
          </cell>
          <cell r="I221" t="str">
            <v>Chief Business Development Office</v>
          </cell>
          <cell r="J221" t="str">
            <v>NEO 1</v>
          </cell>
          <cell r="K221">
            <v>3611.0279999999998</v>
          </cell>
          <cell r="L221">
            <v>9132.0280000000002</v>
          </cell>
          <cell r="M221">
            <v>500000</v>
          </cell>
          <cell r="N221">
            <v>500000</v>
          </cell>
          <cell r="O221" t="str">
            <v>n/d</v>
          </cell>
          <cell r="P221">
            <v>238500</v>
          </cell>
          <cell r="Q221">
            <v>238500</v>
          </cell>
          <cell r="R221">
            <v>0.47699999999999998</v>
          </cell>
          <cell r="S221">
            <v>0.5</v>
          </cell>
          <cell r="T221">
            <v>1</v>
          </cell>
          <cell r="U221">
            <v>250000</v>
          </cell>
          <cell r="V221">
            <v>738500</v>
          </cell>
          <cell r="W221">
            <v>750000</v>
          </cell>
          <cell r="X221">
            <v>1000000</v>
          </cell>
          <cell r="Y221">
            <v>483763.33333333331</v>
          </cell>
          <cell r="Z221" t="str">
            <v>input</v>
          </cell>
          <cell r="AA221">
            <v>0</v>
          </cell>
          <cell r="AB221">
            <v>1.0247391416225178</v>
          </cell>
          <cell r="AC221">
            <v>512369.57081125886</v>
          </cell>
          <cell r="AD221">
            <v>0</v>
          </cell>
          <cell r="AE221">
            <v>1262369.5708112589</v>
          </cell>
          <cell r="AF221">
            <v>0</v>
          </cell>
          <cell r="AG221">
            <v>0</v>
          </cell>
          <cell r="AH221">
            <v>0</v>
          </cell>
          <cell r="AI221">
            <v>0</v>
          </cell>
          <cell r="AJ221">
            <v>0</v>
          </cell>
        </row>
        <row r="222">
          <cell r="A222" t="str">
            <v>TSX:TA_NEO 3_2012</v>
          </cell>
          <cell r="B222" t="str">
            <v>TSX:TA</v>
          </cell>
          <cell r="C222" t="str">
            <v>TransAlta Corp.</v>
          </cell>
          <cell r="D222">
            <v>2012</v>
          </cell>
          <cell r="E222">
            <v>12</v>
          </cell>
          <cell r="F222" t="str">
            <v>CAD</v>
          </cell>
          <cell r="G222">
            <v>1</v>
          </cell>
          <cell r="H222" t="str">
            <v>P.H.E. Taylor</v>
          </cell>
          <cell r="I222" t="str">
            <v>President, US Operations</v>
          </cell>
          <cell r="J222" t="str">
            <v>NEO 3</v>
          </cell>
          <cell r="K222">
            <v>3611.0279999999998</v>
          </cell>
          <cell r="L222">
            <v>9132.0280000000002</v>
          </cell>
          <cell r="M222">
            <v>391667</v>
          </cell>
          <cell r="N222">
            <v>391667</v>
          </cell>
          <cell r="O222" t="str">
            <v>n/d</v>
          </cell>
          <cell r="P222">
            <v>315756</v>
          </cell>
          <cell r="Q222">
            <v>315756</v>
          </cell>
          <cell r="R222">
            <v>0.80618484580013128</v>
          </cell>
          <cell r="S222">
            <v>0.75</v>
          </cell>
          <cell r="T222">
            <v>1.5</v>
          </cell>
          <cell r="U222">
            <v>293750.25</v>
          </cell>
          <cell r="V222">
            <v>707423</v>
          </cell>
          <cell r="W222">
            <v>685417.25</v>
          </cell>
          <cell r="X222">
            <v>979167.5</v>
          </cell>
          <cell r="Y222">
            <v>0</v>
          </cell>
          <cell r="Z222">
            <v>0</v>
          </cell>
          <cell r="AA222">
            <v>0</v>
          </cell>
          <cell r="AB222">
            <v>0</v>
          </cell>
          <cell r="AC222">
            <v>0</v>
          </cell>
          <cell r="AD222">
            <v>707423</v>
          </cell>
          <cell r="AE222">
            <v>0</v>
          </cell>
          <cell r="AF222" t="str">
            <v>P.H.E. Taylor was appointed President, US Operations in April 2011. As such, the 2011 compensation has been annaulized and we did not include the STIP and LTIP values prior to 2011 in the target calculations. He is also paid in USD, but the FX rate used was 1/1.</v>
          </cell>
          <cell r="AH222" t="str">
            <v>2X base salary</v>
          </cell>
          <cell r="AI222" t="str">
            <v>5 years</v>
          </cell>
          <cell r="AJ222">
            <v>0</v>
          </cell>
        </row>
        <row r="223">
          <cell r="A223" t="str">
            <v>TSX:TA_NEO 3_2011</v>
          </cell>
          <cell r="B223" t="str">
            <v>TSX:TA</v>
          </cell>
          <cell r="C223" t="str">
            <v>TransAlta Corp.</v>
          </cell>
          <cell r="D223">
            <v>2011</v>
          </cell>
          <cell r="E223">
            <v>9</v>
          </cell>
          <cell r="F223" t="str">
            <v>CAD</v>
          </cell>
          <cell r="G223">
            <v>1</v>
          </cell>
          <cell r="H223" t="str">
            <v>P.H.E. Taylor</v>
          </cell>
          <cell r="I223" t="str">
            <v>President, US Operations</v>
          </cell>
          <cell r="J223" t="str">
            <v>NEO 3</v>
          </cell>
          <cell r="K223">
            <v>3611.0279999999998</v>
          </cell>
          <cell r="L223">
            <v>9132.0280000000002</v>
          </cell>
          <cell r="M223">
            <v>245448</v>
          </cell>
          <cell r="N223">
            <v>327264</v>
          </cell>
          <cell r="O223">
            <v>0</v>
          </cell>
          <cell r="P223">
            <v>111640</v>
          </cell>
          <cell r="Q223">
            <v>148853.33333333331</v>
          </cell>
          <cell r="R223">
            <v>0.45484175874319605</v>
          </cell>
          <cell r="S223">
            <v>0</v>
          </cell>
          <cell r="T223">
            <v>0</v>
          </cell>
          <cell r="U223">
            <v>0</v>
          </cell>
          <cell r="V223">
            <v>0</v>
          </cell>
          <cell r="W223">
            <v>0</v>
          </cell>
          <cell r="X223">
            <v>0</v>
          </cell>
          <cell r="Y223">
            <v>0</v>
          </cell>
          <cell r="Z223">
            <v>0</v>
          </cell>
          <cell r="AA223">
            <v>0</v>
          </cell>
          <cell r="AB223">
            <v>0</v>
          </cell>
          <cell r="AC223">
            <v>0</v>
          </cell>
          <cell r="AD223">
            <v>476117.33333333331</v>
          </cell>
          <cell r="AE223">
            <v>0</v>
          </cell>
          <cell r="AH223">
            <v>0</v>
          </cell>
          <cell r="AI223">
            <v>0</v>
          </cell>
          <cell r="AJ223">
            <v>0</v>
          </cell>
        </row>
        <row r="224">
          <cell r="A224" t="str">
            <v>TSX:TA__2010</v>
          </cell>
          <cell r="B224" t="str">
            <v>TSX:TA</v>
          </cell>
          <cell r="C224" t="str">
            <v>TransAlta Corp.</v>
          </cell>
          <cell r="D224">
            <v>2010</v>
          </cell>
          <cell r="E224">
            <v>12</v>
          </cell>
          <cell r="F224" t="str">
            <v>CAD</v>
          </cell>
          <cell r="G224">
            <v>1</v>
          </cell>
          <cell r="K224">
            <v>3611.0279999999998</v>
          </cell>
          <cell r="L224">
            <v>9132.0280000000002</v>
          </cell>
          <cell r="M224">
            <v>0</v>
          </cell>
          <cell r="N224">
            <v>0</v>
          </cell>
          <cell r="O224">
            <v>0</v>
          </cell>
          <cell r="P224">
            <v>0</v>
          </cell>
          <cell r="Q224">
            <v>0</v>
          </cell>
          <cell r="R224" t="str">
            <v>input</v>
          </cell>
          <cell r="S224">
            <v>0</v>
          </cell>
          <cell r="T224">
            <v>0</v>
          </cell>
          <cell r="U224">
            <v>0</v>
          </cell>
          <cell r="V224">
            <v>0</v>
          </cell>
          <cell r="W224">
            <v>0</v>
          </cell>
          <cell r="X224">
            <v>0</v>
          </cell>
          <cell r="Y224">
            <v>0</v>
          </cell>
          <cell r="Z224">
            <v>0</v>
          </cell>
          <cell r="AA224">
            <v>0</v>
          </cell>
          <cell r="AB224" t="str">
            <v>input</v>
          </cell>
          <cell r="AC224">
            <v>0</v>
          </cell>
          <cell r="AD224">
            <v>0</v>
          </cell>
          <cell r="AE224">
            <v>0</v>
          </cell>
          <cell r="AH224">
            <v>0</v>
          </cell>
          <cell r="AI224">
            <v>0</v>
          </cell>
          <cell r="AJ224">
            <v>0</v>
          </cell>
        </row>
        <row r="225">
          <cell r="A225" t="str">
            <v>TSX:TA_NEO 3_Target</v>
          </cell>
          <cell r="B225" t="str">
            <v>TSX:TA</v>
          </cell>
          <cell r="C225" t="str">
            <v>TransAlta Corp.</v>
          </cell>
          <cell r="D225" t="str">
            <v>Target</v>
          </cell>
          <cell r="E225">
            <v>12</v>
          </cell>
          <cell r="F225" t="str">
            <v>CAD</v>
          </cell>
          <cell r="G225">
            <v>1</v>
          </cell>
          <cell r="H225" t="str">
            <v>P.H.E. Taylor</v>
          </cell>
          <cell r="I225" t="str">
            <v>President, US Operations</v>
          </cell>
          <cell r="J225" t="str">
            <v>NEO 3</v>
          </cell>
          <cell r="K225">
            <v>3611.0279999999998</v>
          </cell>
          <cell r="L225">
            <v>9132.0280000000002</v>
          </cell>
          <cell r="M225">
            <v>391667</v>
          </cell>
          <cell r="N225">
            <v>391667</v>
          </cell>
          <cell r="O225" t="str">
            <v>n/d</v>
          </cell>
          <cell r="P225">
            <v>315756</v>
          </cell>
          <cell r="Q225">
            <v>315756</v>
          </cell>
          <cell r="R225">
            <v>0.80618484580013128</v>
          </cell>
          <cell r="S225">
            <v>0.75</v>
          </cell>
          <cell r="T225">
            <v>1.5</v>
          </cell>
          <cell r="U225">
            <v>293750.25</v>
          </cell>
          <cell r="V225">
            <v>707423</v>
          </cell>
          <cell r="W225">
            <v>685417.25</v>
          </cell>
          <cell r="X225">
            <v>979167.5</v>
          </cell>
          <cell r="Y225" t="str">
            <v>input</v>
          </cell>
          <cell r="Z225" t="str">
            <v>input</v>
          </cell>
          <cell r="AA225">
            <v>0</v>
          </cell>
          <cell r="AB225">
            <v>0</v>
          </cell>
          <cell r="AC225">
            <v>0</v>
          </cell>
          <cell r="AD225">
            <v>0</v>
          </cell>
          <cell r="AE225">
            <v>685417.25</v>
          </cell>
          <cell r="AF225" t="str">
            <v>P.H.E. Taylor was appointed President, US Operations in April 2011. As such, the 2011 compensation has been annaulized and we did not include the STIP and LTIP values prior to 2011 in the target calculations. He is also paid in USD, but the FX rate used was 1/1.</v>
          </cell>
          <cell r="AG225">
            <v>0</v>
          </cell>
          <cell r="AH225">
            <v>0</v>
          </cell>
          <cell r="AI225">
            <v>0</v>
          </cell>
          <cell r="AJ225">
            <v>0</v>
          </cell>
        </row>
        <row r="226">
          <cell r="A226" t="str">
            <v>TSX:TA_NEO 2_2012</v>
          </cell>
          <cell r="B226" t="str">
            <v>TSX:TA</v>
          </cell>
          <cell r="C226" t="str">
            <v>TransAlta Corp.</v>
          </cell>
          <cell r="D226">
            <v>2012</v>
          </cell>
          <cell r="E226">
            <v>12</v>
          </cell>
          <cell r="F226" t="str">
            <v>CAD</v>
          </cell>
          <cell r="G226">
            <v>1</v>
          </cell>
          <cell r="H226" t="str">
            <v>J.W.H. Shaw</v>
          </cell>
          <cell r="I226" t="str">
            <v>EVP, Operations</v>
          </cell>
          <cell r="J226" t="str">
            <v>NEO 2</v>
          </cell>
          <cell r="K226">
            <v>3611.0279999999998</v>
          </cell>
          <cell r="L226">
            <v>9132.0280000000002</v>
          </cell>
          <cell r="M226">
            <v>356250</v>
          </cell>
          <cell r="N226">
            <v>356250</v>
          </cell>
          <cell r="O226" t="str">
            <v>n/d</v>
          </cell>
          <cell r="P226">
            <v>177947</v>
          </cell>
          <cell r="Q226">
            <v>177947</v>
          </cell>
          <cell r="R226">
            <v>0.49950035087719297</v>
          </cell>
          <cell r="S226">
            <v>0.5</v>
          </cell>
          <cell r="T226">
            <v>1</v>
          </cell>
          <cell r="U226">
            <v>178125</v>
          </cell>
          <cell r="V226">
            <v>534197</v>
          </cell>
          <cell r="W226">
            <v>534375</v>
          </cell>
          <cell r="X226">
            <v>712500</v>
          </cell>
          <cell r="Y226">
            <v>351034</v>
          </cell>
          <cell r="Z226">
            <v>0</v>
          </cell>
          <cell r="AA226">
            <v>351034</v>
          </cell>
          <cell r="AB226">
            <v>0.98535859649122803</v>
          </cell>
          <cell r="AC226">
            <v>351034</v>
          </cell>
          <cell r="AD226">
            <v>885231</v>
          </cell>
          <cell r="AE226">
            <v>0</v>
          </cell>
          <cell r="AF226" t="str">
            <v>J.W.H. Shaw was appointed EVP, Operations on September 1, 2011. Prior thereto, he held a different position within the company. As such, the data recorded here only represents the 2012 compensation and we did not include the STIP and LTIP values prior to 2012 in the target calculations.</v>
          </cell>
          <cell r="AH226" t="str">
            <v>2X base salary</v>
          </cell>
          <cell r="AI226" t="str">
            <v>5 years</v>
          </cell>
          <cell r="AJ226">
            <v>0</v>
          </cell>
        </row>
        <row r="227">
          <cell r="A227" t="str">
            <v>TSX:TA__2011</v>
          </cell>
          <cell r="B227" t="str">
            <v>TSX:TA</v>
          </cell>
          <cell r="C227" t="str">
            <v>TransAlta Corp.</v>
          </cell>
          <cell r="D227">
            <v>2011</v>
          </cell>
          <cell r="E227">
            <v>12</v>
          </cell>
          <cell r="F227" t="str">
            <v>CAD</v>
          </cell>
          <cell r="G227">
            <v>1</v>
          </cell>
          <cell r="K227">
            <v>3611.0279999999998</v>
          </cell>
          <cell r="L227">
            <v>9132.0280000000002</v>
          </cell>
          <cell r="M227">
            <v>0</v>
          </cell>
          <cell r="N227">
            <v>0</v>
          </cell>
          <cell r="O227">
            <v>0</v>
          </cell>
          <cell r="P227">
            <v>0</v>
          </cell>
          <cell r="Q227">
            <v>0</v>
          </cell>
          <cell r="R227" t="str">
            <v>input</v>
          </cell>
          <cell r="S227">
            <v>0</v>
          </cell>
          <cell r="T227">
            <v>0</v>
          </cell>
          <cell r="U227">
            <v>0</v>
          </cell>
          <cell r="V227">
            <v>0</v>
          </cell>
          <cell r="W227">
            <v>0</v>
          </cell>
          <cell r="X227">
            <v>0</v>
          </cell>
          <cell r="Y227">
            <v>0</v>
          </cell>
          <cell r="Z227">
            <v>0</v>
          </cell>
          <cell r="AA227">
            <v>0</v>
          </cell>
          <cell r="AB227" t="str">
            <v>input</v>
          </cell>
          <cell r="AC227">
            <v>0</v>
          </cell>
          <cell r="AD227">
            <v>0</v>
          </cell>
          <cell r="AE227">
            <v>0</v>
          </cell>
          <cell r="AH227">
            <v>0</v>
          </cell>
          <cell r="AI227">
            <v>0</v>
          </cell>
          <cell r="AJ227">
            <v>0</v>
          </cell>
        </row>
        <row r="228">
          <cell r="A228" t="str">
            <v>TSX:TA__2010</v>
          </cell>
          <cell r="B228" t="str">
            <v>TSX:TA</v>
          </cell>
          <cell r="C228" t="str">
            <v>TransAlta Corp.</v>
          </cell>
          <cell r="D228">
            <v>2010</v>
          </cell>
          <cell r="E228">
            <v>12</v>
          </cell>
          <cell r="F228" t="str">
            <v>CAD</v>
          </cell>
          <cell r="G228">
            <v>1</v>
          </cell>
          <cell r="K228">
            <v>3611.0279999999998</v>
          </cell>
          <cell r="L228">
            <v>9132.0280000000002</v>
          </cell>
          <cell r="M228">
            <v>0</v>
          </cell>
          <cell r="N228">
            <v>0</v>
          </cell>
          <cell r="O228">
            <v>0</v>
          </cell>
          <cell r="P228">
            <v>0</v>
          </cell>
          <cell r="Q228">
            <v>0</v>
          </cell>
          <cell r="R228" t="str">
            <v>input</v>
          </cell>
          <cell r="S228">
            <v>0</v>
          </cell>
          <cell r="T228">
            <v>0</v>
          </cell>
          <cell r="U228">
            <v>0</v>
          </cell>
          <cell r="V228">
            <v>0</v>
          </cell>
          <cell r="W228">
            <v>0</v>
          </cell>
          <cell r="X228">
            <v>0</v>
          </cell>
          <cell r="Y228">
            <v>0</v>
          </cell>
          <cell r="Z228">
            <v>0</v>
          </cell>
          <cell r="AA228">
            <v>0</v>
          </cell>
          <cell r="AB228" t="str">
            <v>input</v>
          </cell>
          <cell r="AC228">
            <v>0</v>
          </cell>
          <cell r="AD228">
            <v>0</v>
          </cell>
          <cell r="AE228">
            <v>0</v>
          </cell>
          <cell r="AH228">
            <v>0</v>
          </cell>
          <cell r="AI228">
            <v>0</v>
          </cell>
          <cell r="AJ228">
            <v>0</v>
          </cell>
        </row>
        <row r="229">
          <cell r="A229" t="str">
            <v>TSX:TA_NEO 2_Target</v>
          </cell>
          <cell r="B229" t="str">
            <v>TSX:TA</v>
          </cell>
          <cell r="C229" t="str">
            <v>TransAlta Corp.</v>
          </cell>
          <cell r="D229" t="str">
            <v>Target</v>
          </cell>
          <cell r="E229">
            <v>12</v>
          </cell>
          <cell r="F229" t="str">
            <v>CAD</v>
          </cell>
          <cell r="G229">
            <v>1</v>
          </cell>
          <cell r="H229" t="str">
            <v>J.W.H. Shaw</v>
          </cell>
          <cell r="I229" t="str">
            <v>EVP, Operations</v>
          </cell>
          <cell r="J229" t="str">
            <v>NEO 2</v>
          </cell>
          <cell r="K229">
            <v>3611.0279999999998</v>
          </cell>
          <cell r="L229">
            <v>9132.0280000000002</v>
          </cell>
          <cell r="M229">
            <v>356250</v>
          </cell>
          <cell r="N229">
            <v>356250</v>
          </cell>
          <cell r="O229" t="str">
            <v>n/d</v>
          </cell>
          <cell r="P229">
            <v>177947</v>
          </cell>
          <cell r="Q229">
            <v>177947</v>
          </cell>
          <cell r="R229">
            <v>0.49950035087719297</v>
          </cell>
          <cell r="S229">
            <v>0.5</v>
          </cell>
          <cell r="T229">
            <v>1</v>
          </cell>
          <cell r="U229">
            <v>178125</v>
          </cell>
          <cell r="V229">
            <v>534197</v>
          </cell>
          <cell r="W229">
            <v>534375</v>
          </cell>
          <cell r="X229">
            <v>712500</v>
          </cell>
          <cell r="Y229">
            <v>351034</v>
          </cell>
          <cell r="Z229" t="str">
            <v>input</v>
          </cell>
          <cell r="AA229">
            <v>0</v>
          </cell>
          <cell r="AB229">
            <v>0.98535859649122803</v>
          </cell>
          <cell r="AC229">
            <v>351034</v>
          </cell>
          <cell r="AD229">
            <v>0</v>
          </cell>
          <cell r="AE229">
            <v>885409</v>
          </cell>
          <cell r="AF229" t="str">
            <v>J.W.H. Shaw was appointed EVP, Operations on September 1, 2011. Prior thereto, he held a different position within the company. As such, the data recorded here only represents the 2012 compensation and we did not include the STIP and LTIP values prior to 2012 in the target calculations.</v>
          </cell>
          <cell r="AG229">
            <v>0</v>
          </cell>
          <cell r="AH229">
            <v>0</v>
          </cell>
          <cell r="AI229">
            <v>0</v>
          </cell>
          <cell r="AJ229">
            <v>0</v>
          </cell>
        </row>
        <row r="230">
          <cell r="A230" t="str">
            <v>TSX:VSN_CEO_2012</v>
          </cell>
          <cell r="B230" t="str">
            <v>TSX:VSN</v>
          </cell>
          <cell r="C230" t="str">
            <v>Veresen Inc.</v>
          </cell>
          <cell r="D230">
            <v>2012</v>
          </cell>
          <cell r="E230">
            <v>2</v>
          </cell>
          <cell r="F230" t="str">
            <v>CAD</v>
          </cell>
          <cell r="G230">
            <v>1</v>
          </cell>
          <cell r="H230" t="str">
            <v>Donald Althoff</v>
          </cell>
          <cell r="I230" t="str">
            <v>President and CEO</v>
          </cell>
          <cell r="J230" t="str">
            <v>CEO</v>
          </cell>
          <cell r="K230">
            <v>2448.6585</v>
          </cell>
          <cell r="L230">
            <v>4022.9585000000002</v>
          </cell>
          <cell r="M230">
            <v>500000</v>
          </cell>
          <cell r="N230">
            <v>520000</v>
          </cell>
          <cell r="O230" t="str">
            <v>n/d</v>
          </cell>
          <cell r="P230">
            <v>99998</v>
          </cell>
          <cell r="Q230">
            <v>599988</v>
          </cell>
          <cell r="R230">
            <v>1.1538230769230768</v>
          </cell>
          <cell r="S230">
            <v>0.75</v>
          </cell>
          <cell r="T230" t="str">
            <v>n/d</v>
          </cell>
          <cell r="U230">
            <v>390000</v>
          </cell>
          <cell r="V230">
            <v>1119988</v>
          </cell>
          <cell r="W230">
            <v>910000</v>
          </cell>
          <cell r="X230" t="str">
            <v>input</v>
          </cell>
          <cell r="Y230">
            <v>133333</v>
          </cell>
          <cell r="Z230">
            <v>0</v>
          </cell>
          <cell r="AA230">
            <v>133333</v>
          </cell>
          <cell r="AB230">
            <v>0.25640961538461537</v>
          </cell>
          <cell r="AC230">
            <v>133333</v>
          </cell>
          <cell r="AD230">
            <v>1253321</v>
          </cell>
          <cell r="AE230">
            <v>0</v>
          </cell>
          <cell r="AF230" t="str">
            <v>Stephen White retired as President and CEO on November 8, 2012. Donald Althoff became his successor. The data recorded here represents Mr. White's compensation. Additionally, we did not include the STIP and LTIP values prior to 2012 in the target calculations.</v>
          </cell>
          <cell r="AH230" t="str">
            <v>3X base salary</v>
          </cell>
          <cell r="AI230" t="str">
            <v>5 years</v>
          </cell>
          <cell r="AJ230" t="str">
            <v>SOGs came into effect January 1, 2012. NEOs can acquire equity to meet the requirements by making personal investments in company shares, earning DSUs, or earning notional units held for their account under the company's LTIP. The value of LTIP units cannot make up more than 50% of the SOG.</v>
          </cell>
        </row>
        <row r="231">
          <cell r="A231" t="str">
            <v>TSX:VSN_CEO_2011</v>
          </cell>
          <cell r="B231" t="str">
            <v>TSX:VSN</v>
          </cell>
          <cell r="C231" t="str">
            <v>Veresen Inc.</v>
          </cell>
          <cell r="D231">
            <v>2011</v>
          </cell>
          <cell r="E231">
            <v>12</v>
          </cell>
          <cell r="F231" t="str">
            <v>CAD</v>
          </cell>
          <cell r="G231">
            <v>1</v>
          </cell>
          <cell r="J231" t="str">
            <v>CEO</v>
          </cell>
          <cell r="K231">
            <v>2448.6585</v>
          </cell>
          <cell r="L231">
            <v>4022.9585000000002</v>
          </cell>
          <cell r="M231">
            <v>0</v>
          </cell>
          <cell r="N231">
            <v>0</v>
          </cell>
          <cell r="O231">
            <v>0</v>
          </cell>
          <cell r="P231">
            <v>0</v>
          </cell>
          <cell r="Q231">
            <v>0</v>
          </cell>
          <cell r="R231" t="str">
            <v>input</v>
          </cell>
          <cell r="S231">
            <v>0</v>
          </cell>
          <cell r="T231">
            <v>0</v>
          </cell>
          <cell r="U231">
            <v>0</v>
          </cell>
          <cell r="V231">
            <v>0</v>
          </cell>
          <cell r="W231">
            <v>0</v>
          </cell>
          <cell r="X231">
            <v>0</v>
          </cell>
          <cell r="Y231">
            <v>0</v>
          </cell>
          <cell r="Z231">
            <v>0</v>
          </cell>
          <cell r="AA231">
            <v>0</v>
          </cell>
          <cell r="AB231" t="str">
            <v>input</v>
          </cell>
          <cell r="AC231">
            <v>0</v>
          </cell>
          <cell r="AD231">
            <v>0</v>
          </cell>
          <cell r="AE231">
            <v>0</v>
          </cell>
          <cell r="AH231">
            <v>0</v>
          </cell>
          <cell r="AI231">
            <v>0</v>
          </cell>
        </row>
        <row r="232">
          <cell r="A232" t="str">
            <v>TSX:VSN_CEO_2010</v>
          </cell>
          <cell r="B232" t="str">
            <v>TSX:VSN</v>
          </cell>
          <cell r="C232" t="str">
            <v>Veresen Inc.</v>
          </cell>
          <cell r="D232">
            <v>2010</v>
          </cell>
          <cell r="E232">
            <v>12</v>
          </cell>
          <cell r="F232" t="str">
            <v>CAD</v>
          </cell>
          <cell r="G232">
            <v>1</v>
          </cell>
          <cell r="J232" t="str">
            <v>CEO</v>
          </cell>
          <cell r="K232">
            <v>2448.6585</v>
          </cell>
          <cell r="L232">
            <v>4022.9585000000002</v>
          </cell>
          <cell r="M232">
            <v>0</v>
          </cell>
          <cell r="N232">
            <v>0</v>
          </cell>
          <cell r="O232">
            <v>0</v>
          </cell>
          <cell r="P232">
            <v>0</v>
          </cell>
          <cell r="Q232">
            <v>0</v>
          </cell>
          <cell r="R232" t="str">
            <v>input</v>
          </cell>
          <cell r="S232">
            <v>0</v>
          </cell>
          <cell r="T232">
            <v>0</v>
          </cell>
          <cell r="U232">
            <v>0</v>
          </cell>
          <cell r="V232">
            <v>0</v>
          </cell>
          <cell r="W232">
            <v>0</v>
          </cell>
          <cell r="X232">
            <v>0</v>
          </cell>
          <cell r="Y232">
            <v>0</v>
          </cell>
          <cell r="Z232">
            <v>0</v>
          </cell>
          <cell r="AA232">
            <v>0</v>
          </cell>
          <cell r="AB232" t="str">
            <v>input</v>
          </cell>
          <cell r="AC232">
            <v>0</v>
          </cell>
          <cell r="AD232">
            <v>0</v>
          </cell>
          <cell r="AE232">
            <v>0</v>
          </cell>
          <cell r="AH232">
            <v>0</v>
          </cell>
          <cell r="AI232">
            <v>0</v>
          </cell>
        </row>
        <row r="233">
          <cell r="A233" t="str">
            <v>TSX:VSN_CEO_Target</v>
          </cell>
          <cell r="B233" t="str">
            <v>TSX:VSN</v>
          </cell>
          <cell r="C233" t="str">
            <v>Veresen Inc.</v>
          </cell>
          <cell r="D233" t="str">
            <v>Target</v>
          </cell>
          <cell r="E233">
            <v>2</v>
          </cell>
          <cell r="F233" t="str">
            <v>CAD</v>
          </cell>
          <cell r="G233">
            <v>1</v>
          </cell>
          <cell r="H233" t="str">
            <v>Donald Althoff</v>
          </cell>
          <cell r="I233" t="str">
            <v>President and CEO</v>
          </cell>
          <cell r="J233" t="str">
            <v>CEO</v>
          </cell>
          <cell r="K233">
            <v>2448.6585</v>
          </cell>
          <cell r="L233">
            <v>4022.9585000000002</v>
          </cell>
          <cell r="M233">
            <v>500000</v>
          </cell>
          <cell r="N233">
            <v>520000</v>
          </cell>
          <cell r="O233" t="str">
            <v>n/d</v>
          </cell>
          <cell r="P233">
            <v>99998</v>
          </cell>
          <cell r="Q233">
            <v>599988</v>
          </cell>
          <cell r="R233">
            <v>1.1538230769230768</v>
          </cell>
          <cell r="S233">
            <v>0.75</v>
          </cell>
          <cell r="T233" t="str">
            <v>n/d</v>
          </cell>
          <cell r="U233">
            <v>390000</v>
          </cell>
          <cell r="V233">
            <v>1119988</v>
          </cell>
          <cell r="W233">
            <v>910000</v>
          </cell>
          <cell r="X233" t="str">
            <v>input</v>
          </cell>
          <cell r="Y233">
            <v>133333</v>
          </cell>
          <cell r="Z233" t="str">
            <v>input</v>
          </cell>
          <cell r="AA233">
            <v>0</v>
          </cell>
          <cell r="AB233">
            <v>0.25640961538461537</v>
          </cell>
          <cell r="AC233">
            <v>133333</v>
          </cell>
          <cell r="AD233">
            <v>0</v>
          </cell>
          <cell r="AE233">
            <v>1043333</v>
          </cell>
          <cell r="AF233" t="str">
            <v>Stephen White retired as President and CEO on November 8, 2012. Donald Althoff became his successor. The data recorded here represents Mr. White's compensation. Additionally, we did not include the STIP and LTIP values prior to 2012 in the target calculations.</v>
          </cell>
          <cell r="AH233">
            <v>0</v>
          </cell>
          <cell r="AI233">
            <v>0</v>
          </cell>
          <cell r="AJ233">
            <v>0</v>
          </cell>
        </row>
        <row r="234">
          <cell r="A234" t="str">
            <v>TSX:VSN_CFO_2012</v>
          </cell>
          <cell r="B234" t="str">
            <v>TSX:VSN</v>
          </cell>
          <cell r="C234" t="str">
            <v>Veresen Inc.</v>
          </cell>
          <cell r="D234">
            <v>2012</v>
          </cell>
          <cell r="E234">
            <v>12</v>
          </cell>
          <cell r="F234" t="str">
            <v>CAD</v>
          </cell>
          <cell r="G234">
            <v>1</v>
          </cell>
          <cell r="H234" t="str">
            <v>Richard Weech</v>
          </cell>
          <cell r="I234" t="str">
            <v>SVP, Finance and CFO</v>
          </cell>
          <cell r="J234" t="str">
            <v>CFO</v>
          </cell>
          <cell r="K234">
            <v>2448.6585</v>
          </cell>
          <cell r="L234">
            <v>4022.9585000000002</v>
          </cell>
          <cell r="M234">
            <v>330000</v>
          </cell>
          <cell r="N234">
            <v>330000</v>
          </cell>
          <cell r="O234" t="str">
            <v>n/d</v>
          </cell>
          <cell r="P234">
            <v>243284</v>
          </cell>
          <cell r="Q234">
            <v>243284</v>
          </cell>
          <cell r="R234">
            <v>0.73722424242424245</v>
          </cell>
          <cell r="S234">
            <v>0.5</v>
          </cell>
          <cell r="T234" t="str">
            <v>n/d</v>
          </cell>
          <cell r="U234">
            <v>165000</v>
          </cell>
          <cell r="V234">
            <v>573284</v>
          </cell>
          <cell r="W234">
            <v>495000</v>
          </cell>
          <cell r="X234" t="str">
            <v>input</v>
          </cell>
          <cell r="Y234">
            <v>260100</v>
          </cell>
          <cell r="Z234">
            <v>0</v>
          </cell>
          <cell r="AA234">
            <v>260100</v>
          </cell>
          <cell r="AB234">
            <v>0.78818181818181821</v>
          </cell>
          <cell r="AC234">
            <v>260100</v>
          </cell>
          <cell r="AD234">
            <v>833384</v>
          </cell>
          <cell r="AE234">
            <v>0</v>
          </cell>
          <cell r="AF234" t="str">
            <v>Richard Weech was appointed SVP, Finance and CFO on March 3, 2011. Prior thereto, he was VP, Finance and CFO.</v>
          </cell>
          <cell r="AH234" t="str">
            <v>2X base salary</v>
          </cell>
          <cell r="AI234" t="str">
            <v>5 years</v>
          </cell>
        </row>
        <row r="235">
          <cell r="A235" t="str">
            <v>TSX:VSN_CFO_2011</v>
          </cell>
          <cell r="B235" t="str">
            <v>TSX:VSN</v>
          </cell>
          <cell r="C235" t="str">
            <v>Veresen Inc.</v>
          </cell>
          <cell r="D235">
            <v>2011</v>
          </cell>
          <cell r="E235">
            <v>12</v>
          </cell>
          <cell r="F235" t="str">
            <v>CAD</v>
          </cell>
          <cell r="G235">
            <v>1</v>
          </cell>
          <cell r="H235" t="str">
            <v>Richard Weech</v>
          </cell>
          <cell r="I235" t="str">
            <v>VP, Finance and CFO</v>
          </cell>
          <cell r="J235" t="str">
            <v>CFO</v>
          </cell>
          <cell r="K235">
            <v>2448.6585</v>
          </cell>
          <cell r="L235">
            <v>4022.9585000000002</v>
          </cell>
          <cell r="M235">
            <v>310500</v>
          </cell>
          <cell r="N235">
            <v>310500</v>
          </cell>
          <cell r="O235">
            <v>0</v>
          </cell>
          <cell r="P235">
            <v>269312</v>
          </cell>
          <cell r="Q235">
            <v>269312</v>
          </cell>
          <cell r="R235">
            <v>0.86734943639291462</v>
          </cell>
          <cell r="S235">
            <v>0</v>
          </cell>
          <cell r="T235">
            <v>0</v>
          </cell>
          <cell r="U235">
            <v>0</v>
          </cell>
          <cell r="V235">
            <v>0</v>
          </cell>
          <cell r="W235">
            <v>0</v>
          </cell>
          <cell r="X235">
            <v>0</v>
          </cell>
          <cell r="Y235">
            <v>153893</v>
          </cell>
          <cell r="Z235">
            <v>0</v>
          </cell>
          <cell r="AA235">
            <v>153893</v>
          </cell>
          <cell r="AB235">
            <v>0.49562962962962964</v>
          </cell>
          <cell r="AC235">
            <v>153893</v>
          </cell>
          <cell r="AD235">
            <v>733705</v>
          </cell>
          <cell r="AE235">
            <v>0</v>
          </cell>
          <cell r="AH235">
            <v>0</v>
          </cell>
          <cell r="AI235">
            <v>0</v>
          </cell>
        </row>
        <row r="236">
          <cell r="A236" t="str">
            <v>TSX:VSN_CFO_2010</v>
          </cell>
          <cell r="B236" t="str">
            <v>TSX:VSN</v>
          </cell>
          <cell r="C236" t="str">
            <v>Veresen Inc.</v>
          </cell>
          <cell r="D236">
            <v>2010</v>
          </cell>
          <cell r="E236">
            <v>12</v>
          </cell>
          <cell r="F236" t="str">
            <v>CAD</v>
          </cell>
          <cell r="G236">
            <v>1</v>
          </cell>
          <cell r="H236" t="str">
            <v>Richard Weech</v>
          </cell>
          <cell r="I236" t="str">
            <v>VP, Finance and CFO</v>
          </cell>
          <cell r="J236" t="str">
            <v>CFO</v>
          </cell>
          <cell r="K236">
            <v>2448.6585</v>
          </cell>
          <cell r="L236">
            <v>4022.9585000000002</v>
          </cell>
          <cell r="M236">
            <v>300000</v>
          </cell>
          <cell r="N236">
            <v>300000</v>
          </cell>
          <cell r="O236">
            <v>0</v>
          </cell>
          <cell r="P236">
            <v>229920</v>
          </cell>
          <cell r="Q236">
            <v>229920</v>
          </cell>
          <cell r="R236">
            <v>0.76639999999999997</v>
          </cell>
          <cell r="S236">
            <v>0</v>
          </cell>
          <cell r="T236">
            <v>0</v>
          </cell>
          <cell r="U236">
            <v>0</v>
          </cell>
          <cell r="V236">
            <v>0</v>
          </cell>
          <cell r="W236">
            <v>0</v>
          </cell>
          <cell r="X236">
            <v>0</v>
          </cell>
          <cell r="Y236">
            <v>150000</v>
          </cell>
          <cell r="Z236">
            <v>0</v>
          </cell>
          <cell r="AA236">
            <v>150000</v>
          </cell>
          <cell r="AB236">
            <v>0.5</v>
          </cell>
          <cell r="AC236">
            <v>150000</v>
          </cell>
          <cell r="AD236">
            <v>679920</v>
          </cell>
          <cell r="AE236">
            <v>0</v>
          </cell>
          <cell r="AH236">
            <v>0</v>
          </cell>
          <cell r="AI236">
            <v>0</v>
          </cell>
        </row>
        <row r="237">
          <cell r="A237" t="str">
            <v>TSX:VSN_CFO_Target</v>
          </cell>
          <cell r="B237" t="str">
            <v>TSX:VSN</v>
          </cell>
          <cell r="C237" t="str">
            <v>Veresen Inc.</v>
          </cell>
          <cell r="D237" t="str">
            <v>Target</v>
          </cell>
          <cell r="E237">
            <v>12</v>
          </cell>
          <cell r="F237" t="str">
            <v>CAD</v>
          </cell>
          <cell r="G237">
            <v>1</v>
          </cell>
          <cell r="H237" t="str">
            <v>Richard Weech</v>
          </cell>
          <cell r="I237" t="str">
            <v>SVP, Finance and CFO</v>
          </cell>
          <cell r="J237" t="str">
            <v>CFO</v>
          </cell>
          <cell r="K237">
            <v>2448.6585</v>
          </cell>
          <cell r="L237">
            <v>4022.9585000000002</v>
          </cell>
          <cell r="M237">
            <v>330000</v>
          </cell>
          <cell r="N237">
            <v>330000</v>
          </cell>
          <cell r="O237" t="str">
            <v>n/d</v>
          </cell>
          <cell r="P237">
            <v>243284</v>
          </cell>
          <cell r="Q237">
            <v>243284</v>
          </cell>
          <cell r="R237">
            <v>0.73722424242424245</v>
          </cell>
          <cell r="S237">
            <v>0.5</v>
          </cell>
          <cell r="T237" t="str">
            <v>n/d</v>
          </cell>
          <cell r="U237">
            <v>165000</v>
          </cell>
          <cell r="V237">
            <v>573284</v>
          </cell>
          <cell r="W237">
            <v>495000</v>
          </cell>
          <cell r="X237" t="str">
            <v>input</v>
          </cell>
          <cell r="Y237">
            <v>187997.66666666666</v>
          </cell>
          <cell r="Z237" t="str">
            <v>input</v>
          </cell>
          <cell r="AA237">
            <v>0</v>
          </cell>
          <cell r="AB237">
            <v>0.59460381593714928</v>
          </cell>
          <cell r="AC237">
            <v>196219.25925925927</v>
          </cell>
          <cell r="AD237">
            <v>0</v>
          </cell>
          <cell r="AE237">
            <v>691219.25925925933</v>
          </cell>
          <cell r="AF237" t="str">
            <v>Richard Weech was appointed SVP, Finance and CFO on March 3, 2011. Prior thereto, he was VP, Finance and CFO.</v>
          </cell>
          <cell r="AH237">
            <v>0</v>
          </cell>
          <cell r="AI237">
            <v>0</v>
          </cell>
          <cell r="AJ237">
            <v>0</v>
          </cell>
        </row>
        <row r="238">
          <cell r="A238" t="str">
            <v>TSX:VSN_NEO 1_2012</v>
          </cell>
          <cell r="B238" t="str">
            <v>TSX:VSN</v>
          </cell>
          <cell r="C238" t="str">
            <v>Veresen Inc.</v>
          </cell>
          <cell r="D238">
            <v>2012</v>
          </cell>
          <cell r="E238">
            <v>12</v>
          </cell>
          <cell r="F238" t="str">
            <v>CAD</v>
          </cell>
          <cell r="G238">
            <v>1</v>
          </cell>
          <cell r="H238" t="str">
            <v>David Holm</v>
          </cell>
          <cell r="I238" t="str">
            <v>EVP, Corporate and Business Development</v>
          </cell>
          <cell r="J238" t="str">
            <v>NEO 1</v>
          </cell>
          <cell r="K238">
            <v>2448.6585</v>
          </cell>
          <cell r="L238">
            <v>4022.9585000000002</v>
          </cell>
          <cell r="M238">
            <v>372000</v>
          </cell>
          <cell r="N238">
            <v>372000</v>
          </cell>
          <cell r="O238" t="str">
            <v>n/d</v>
          </cell>
          <cell r="P238">
            <v>322587</v>
          </cell>
          <cell r="Q238">
            <v>322587</v>
          </cell>
          <cell r="R238">
            <v>0.86716935483870972</v>
          </cell>
          <cell r="S238">
            <v>0.6</v>
          </cell>
          <cell r="T238" t="str">
            <v>n/d</v>
          </cell>
          <cell r="U238">
            <v>223200</v>
          </cell>
          <cell r="V238">
            <v>694587</v>
          </cell>
          <cell r="W238">
            <v>595200</v>
          </cell>
          <cell r="X238" t="str">
            <v>input</v>
          </cell>
          <cell r="Y238">
            <v>294600</v>
          </cell>
          <cell r="Z238">
            <v>0</v>
          </cell>
          <cell r="AA238">
            <v>294600</v>
          </cell>
          <cell r="AB238">
            <v>0.79193548387096779</v>
          </cell>
          <cell r="AC238">
            <v>294600</v>
          </cell>
          <cell r="AD238">
            <v>989187</v>
          </cell>
          <cell r="AE238">
            <v>0</v>
          </cell>
          <cell r="AH238" t="str">
            <v>2X base salary</v>
          </cell>
          <cell r="AI238" t="str">
            <v>5 years</v>
          </cell>
        </row>
        <row r="239">
          <cell r="A239" t="str">
            <v>TSX:VSN_NEO 1_2011</v>
          </cell>
          <cell r="B239" t="str">
            <v>TSX:VSN</v>
          </cell>
          <cell r="C239" t="str">
            <v>Veresen Inc.</v>
          </cell>
          <cell r="D239">
            <v>2011</v>
          </cell>
          <cell r="E239">
            <v>12</v>
          </cell>
          <cell r="F239" t="str">
            <v>CAD</v>
          </cell>
          <cell r="G239">
            <v>1</v>
          </cell>
          <cell r="H239" t="str">
            <v>David Holm</v>
          </cell>
          <cell r="I239" t="str">
            <v>EVP, Corporate and Business Development</v>
          </cell>
          <cell r="J239" t="str">
            <v>NEO 1</v>
          </cell>
          <cell r="K239">
            <v>2448.6585</v>
          </cell>
          <cell r="L239">
            <v>4022.9585000000002</v>
          </cell>
          <cell r="M239">
            <v>357000</v>
          </cell>
          <cell r="N239">
            <v>357000</v>
          </cell>
          <cell r="O239">
            <v>0</v>
          </cell>
          <cell r="P239">
            <v>378854</v>
          </cell>
          <cell r="Q239">
            <v>378854</v>
          </cell>
          <cell r="R239">
            <v>1.0612156862745099</v>
          </cell>
          <cell r="S239">
            <v>0</v>
          </cell>
          <cell r="T239">
            <v>0</v>
          </cell>
          <cell r="U239">
            <v>0</v>
          </cell>
          <cell r="V239">
            <v>0</v>
          </cell>
          <cell r="W239">
            <v>0</v>
          </cell>
          <cell r="X239">
            <v>0</v>
          </cell>
          <cell r="Y239">
            <v>211650</v>
          </cell>
          <cell r="Z239">
            <v>0</v>
          </cell>
          <cell r="AA239">
            <v>211650</v>
          </cell>
          <cell r="AB239">
            <v>0.59285714285714286</v>
          </cell>
          <cell r="AC239">
            <v>211650</v>
          </cell>
          <cell r="AD239">
            <v>947504</v>
          </cell>
          <cell r="AE239">
            <v>0</v>
          </cell>
          <cell r="AH239">
            <v>0</v>
          </cell>
          <cell r="AI239">
            <v>0</v>
          </cell>
        </row>
        <row r="240">
          <cell r="A240" t="str">
            <v>TSX:VSN_NEO 1_2010</v>
          </cell>
          <cell r="B240" t="str">
            <v>TSX:VSN</v>
          </cell>
          <cell r="C240" t="str">
            <v>Veresen Inc.</v>
          </cell>
          <cell r="D240">
            <v>2010</v>
          </cell>
          <cell r="E240">
            <v>12</v>
          </cell>
          <cell r="F240" t="str">
            <v>CAD</v>
          </cell>
          <cell r="G240">
            <v>1</v>
          </cell>
          <cell r="H240" t="str">
            <v>David Holm</v>
          </cell>
          <cell r="I240" t="str">
            <v>EVP, Corporate and Business Development</v>
          </cell>
          <cell r="J240" t="str">
            <v>NEO 1</v>
          </cell>
          <cell r="K240">
            <v>2448.6585</v>
          </cell>
          <cell r="L240">
            <v>4022.9585000000002</v>
          </cell>
          <cell r="M240">
            <v>340000</v>
          </cell>
          <cell r="N240">
            <v>340000</v>
          </cell>
          <cell r="O240">
            <v>0</v>
          </cell>
          <cell r="P240">
            <v>316771</v>
          </cell>
          <cell r="Q240">
            <v>316771</v>
          </cell>
          <cell r="R240">
            <v>0.93167941176470592</v>
          </cell>
          <cell r="S240">
            <v>0</v>
          </cell>
          <cell r="T240">
            <v>0</v>
          </cell>
          <cell r="U240">
            <v>0</v>
          </cell>
          <cell r="V240">
            <v>0</v>
          </cell>
          <cell r="W240">
            <v>0</v>
          </cell>
          <cell r="X240">
            <v>0</v>
          </cell>
          <cell r="Y240">
            <v>204000</v>
          </cell>
          <cell r="Z240">
            <v>0</v>
          </cell>
          <cell r="AA240">
            <v>204000</v>
          </cell>
          <cell r="AB240">
            <v>0.6</v>
          </cell>
          <cell r="AC240">
            <v>204000</v>
          </cell>
          <cell r="AD240">
            <v>860771</v>
          </cell>
          <cell r="AE240">
            <v>0</v>
          </cell>
          <cell r="AH240">
            <v>0</v>
          </cell>
          <cell r="AI240">
            <v>0</v>
          </cell>
        </row>
        <row r="241">
          <cell r="A241" t="str">
            <v>TSX:VSN_NEO 1_Target</v>
          </cell>
          <cell r="B241" t="str">
            <v>TSX:VSN</v>
          </cell>
          <cell r="C241" t="str">
            <v>Veresen Inc.</v>
          </cell>
          <cell r="D241" t="str">
            <v>Target</v>
          </cell>
          <cell r="E241">
            <v>12</v>
          </cell>
          <cell r="F241" t="str">
            <v>CAD</v>
          </cell>
          <cell r="G241">
            <v>1</v>
          </cell>
          <cell r="H241" t="str">
            <v>David Holm</v>
          </cell>
          <cell r="I241" t="str">
            <v>EVP, Corporate and Business Development</v>
          </cell>
          <cell r="J241" t="str">
            <v>NEO 1</v>
          </cell>
          <cell r="K241">
            <v>2448.6585</v>
          </cell>
          <cell r="L241">
            <v>4022.9585000000002</v>
          </cell>
          <cell r="M241">
            <v>372000</v>
          </cell>
          <cell r="N241">
            <v>372000</v>
          </cell>
          <cell r="O241" t="str">
            <v>n/d</v>
          </cell>
          <cell r="P241">
            <v>322587</v>
          </cell>
          <cell r="Q241">
            <v>322587</v>
          </cell>
          <cell r="R241">
            <v>0.86716935483870972</v>
          </cell>
          <cell r="S241">
            <v>0.6</v>
          </cell>
          <cell r="T241" t="str">
            <v>n/d</v>
          </cell>
          <cell r="U241">
            <v>223200</v>
          </cell>
          <cell r="V241">
            <v>694587</v>
          </cell>
          <cell r="W241">
            <v>595200</v>
          </cell>
          <cell r="X241" t="str">
            <v>input</v>
          </cell>
          <cell r="Y241">
            <v>236750</v>
          </cell>
          <cell r="Z241" t="str">
            <v>input</v>
          </cell>
          <cell r="AA241">
            <v>0</v>
          </cell>
          <cell r="AB241">
            <v>0.66159754224270362</v>
          </cell>
          <cell r="AC241">
            <v>246114.28571428574</v>
          </cell>
          <cell r="AD241">
            <v>0</v>
          </cell>
          <cell r="AE241">
            <v>841314.28571428568</v>
          </cell>
          <cell r="AF241">
            <v>0</v>
          </cell>
          <cell r="AH241">
            <v>0</v>
          </cell>
          <cell r="AI241">
            <v>0</v>
          </cell>
          <cell r="AJ241">
            <v>0</v>
          </cell>
        </row>
        <row r="242">
          <cell r="A242" t="str">
            <v>TSX:VSN_NEO 2_2012</v>
          </cell>
          <cell r="B242" t="str">
            <v>TSX:VSN</v>
          </cell>
          <cell r="C242" t="str">
            <v>Veresen Inc.</v>
          </cell>
          <cell r="D242">
            <v>2012</v>
          </cell>
          <cell r="E242">
            <v>12</v>
          </cell>
          <cell r="F242" t="str">
            <v>CAD</v>
          </cell>
          <cell r="G242">
            <v>1</v>
          </cell>
          <cell r="H242" t="str">
            <v>Kevan King</v>
          </cell>
          <cell r="I242" t="str">
            <v>SVP, General Counsel and Secretary</v>
          </cell>
          <cell r="J242" t="str">
            <v>NEO 2</v>
          </cell>
          <cell r="K242">
            <v>2448.6585</v>
          </cell>
          <cell r="L242">
            <v>4022.9585000000002</v>
          </cell>
          <cell r="M242">
            <v>283500</v>
          </cell>
          <cell r="N242">
            <v>283500</v>
          </cell>
          <cell r="O242" t="str">
            <v>n/d</v>
          </cell>
          <cell r="P242">
            <v>210562</v>
          </cell>
          <cell r="Q242">
            <v>210562</v>
          </cell>
          <cell r="R242">
            <v>0.74272310405643738</v>
          </cell>
          <cell r="S242">
            <v>0.5</v>
          </cell>
          <cell r="T242" t="str">
            <v>n/d</v>
          </cell>
          <cell r="U242">
            <v>141750</v>
          </cell>
          <cell r="V242">
            <v>494062</v>
          </cell>
          <cell r="W242">
            <v>425250</v>
          </cell>
          <cell r="X242" t="str">
            <v>input</v>
          </cell>
          <cell r="Y242">
            <v>168450</v>
          </cell>
          <cell r="Z242">
            <v>0</v>
          </cell>
          <cell r="AA242">
            <v>168450</v>
          </cell>
          <cell r="AB242">
            <v>0.59417989417989414</v>
          </cell>
          <cell r="AC242">
            <v>168450</v>
          </cell>
          <cell r="AD242">
            <v>662512</v>
          </cell>
          <cell r="AE242">
            <v>0</v>
          </cell>
          <cell r="AF242" t="str">
            <v>Kevan King was appointed SVP, General Counsel and Secretary on March 3, 2011. Prior thereto he was VP, General Counsel and Secretary. The data recorded only represents his 2012 compensation because Veresen's 2013 Proxy does not disclose how much his 2011 compensation is attibutable to is new role, and how much is attributable to his old role. Additionally, we did not include the STIP and LTIP values prior to 2012 in the target calculations.</v>
          </cell>
          <cell r="AH242" t="str">
            <v>2X base salary</v>
          </cell>
          <cell r="AI242" t="str">
            <v>5 years</v>
          </cell>
        </row>
        <row r="243">
          <cell r="A243" t="str">
            <v>TSX:VSN__2011</v>
          </cell>
          <cell r="B243" t="str">
            <v>TSX:VSN</v>
          </cell>
          <cell r="C243" t="str">
            <v>Veresen Inc.</v>
          </cell>
          <cell r="D243">
            <v>2011</v>
          </cell>
          <cell r="E243">
            <v>12</v>
          </cell>
          <cell r="F243" t="str">
            <v>CAD</v>
          </cell>
          <cell r="G243">
            <v>1</v>
          </cell>
          <cell r="K243">
            <v>2448.6585</v>
          </cell>
          <cell r="L243">
            <v>4022.9585000000002</v>
          </cell>
          <cell r="M243">
            <v>0</v>
          </cell>
          <cell r="N243">
            <v>0</v>
          </cell>
          <cell r="O243">
            <v>0</v>
          </cell>
          <cell r="P243">
            <v>0</v>
          </cell>
          <cell r="Q243">
            <v>0</v>
          </cell>
          <cell r="R243" t="str">
            <v>input</v>
          </cell>
          <cell r="S243">
            <v>0</v>
          </cell>
          <cell r="T243">
            <v>0</v>
          </cell>
          <cell r="U243">
            <v>0</v>
          </cell>
          <cell r="V243">
            <v>0</v>
          </cell>
          <cell r="W243">
            <v>0</v>
          </cell>
          <cell r="X243">
            <v>0</v>
          </cell>
          <cell r="Y243">
            <v>0</v>
          </cell>
          <cell r="Z243">
            <v>0</v>
          </cell>
          <cell r="AA243">
            <v>0</v>
          </cell>
          <cell r="AB243" t="str">
            <v>input</v>
          </cell>
          <cell r="AC243">
            <v>0</v>
          </cell>
          <cell r="AD243">
            <v>0</v>
          </cell>
          <cell r="AE243">
            <v>0</v>
          </cell>
          <cell r="AH243">
            <v>0</v>
          </cell>
          <cell r="AI243">
            <v>0</v>
          </cell>
        </row>
        <row r="244">
          <cell r="A244" t="str">
            <v>TSX:VSN__2010</v>
          </cell>
          <cell r="B244" t="str">
            <v>TSX:VSN</v>
          </cell>
          <cell r="C244" t="str">
            <v>Veresen Inc.</v>
          </cell>
          <cell r="D244">
            <v>2010</v>
          </cell>
          <cell r="E244">
            <v>12</v>
          </cell>
          <cell r="F244" t="str">
            <v>CAD</v>
          </cell>
          <cell r="G244">
            <v>1</v>
          </cell>
          <cell r="K244">
            <v>2448.6585</v>
          </cell>
          <cell r="L244">
            <v>4022.9585000000002</v>
          </cell>
          <cell r="M244">
            <v>0</v>
          </cell>
          <cell r="N244">
            <v>0</v>
          </cell>
          <cell r="O244">
            <v>0</v>
          </cell>
          <cell r="P244">
            <v>0</v>
          </cell>
          <cell r="Q244">
            <v>0</v>
          </cell>
          <cell r="R244" t="str">
            <v>input</v>
          </cell>
          <cell r="S244">
            <v>0</v>
          </cell>
          <cell r="T244">
            <v>0</v>
          </cell>
          <cell r="U244">
            <v>0</v>
          </cell>
          <cell r="V244">
            <v>0</v>
          </cell>
          <cell r="W244">
            <v>0</v>
          </cell>
          <cell r="X244">
            <v>0</v>
          </cell>
          <cell r="Y244">
            <v>0</v>
          </cell>
          <cell r="Z244">
            <v>0</v>
          </cell>
          <cell r="AA244">
            <v>0</v>
          </cell>
          <cell r="AB244" t="str">
            <v>input</v>
          </cell>
          <cell r="AC244">
            <v>0</v>
          </cell>
          <cell r="AD244">
            <v>0</v>
          </cell>
          <cell r="AE244">
            <v>0</v>
          </cell>
          <cell r="AH244">
            <v>0</v>
          </cell>
          <cell r="AI244">
            <v>0</v>
          </cell>
        </row>
        <row r="245">
          <cell r="A245" t="str">
            <v>TSX:VSN_NEO 2_Target</v>
          </cell>
          <cell r="B245" t="str">
            <v>TSX:VSN</v>
          </cell>
          <cell r="C245" t="str">
            <v>Veresen Inc.</v>
          </cell>
          <cell r="D245" t="str">
            <v>Target</v>
          </cell>
          <cell r="E245">
            <v>12</v>
          </cell>
          <cell r="F245" t="str">
            <v>CAD</v>
          </cell>
          <cell r="G245">
            <v>1</v>
          </cell>
          <cell r="H245" t="str">
            <v>Kevan King</v>
          </cell>
          <cell r="I245" t="str">
            <v>SVP, General Counsel and Secretary</v>
          </cell>
          <cell r="J245" t="str">
            <v>NEO 2</v>
          </cell>
          <cell r="K245">
            <v>2448.6585</v>
          </cell>
          <cell r="L245">
            <v>4022.9585000000002</v>
          </cell>
          <cell r="M245">
            <v>283500</v>
          </cell>
          <cell r="N245">
            <v>283500</v>
          </cell>
          <cell r="O245" t="str">
            <v>n/d</v>
          </cell>
          <cell r="P245">
            <v>210562</v>
          </cell>
          <cell r="Q245">
            <v>210562</v>
          </cell>
          <cell r="R245">
            <v>0.74272310405643738</v>
          </cell>
          <cell r="S245">
            <v>0.5</v>
          </cell>
          <cell r="T245" t="str">
            <v>n/d</v>
          </cell>
          <cell r="U245">
            <v>141750</v>
          </cell>
          <cell r="V245">
            <v>494062</v>
          </cell>
          <cell r="W245">
            <v>425250</v>
          </cell>
          <cell r="X245" t="str">
            <v>input</v>
          </cell>
          <cell r="Y245">
            <v>168450</v>
          </cell>
          <cell r="Z245" t="str">
            <v>input</v>
          </cell>
          <cell r="AA245">
            <v>0</v>
          </cell>
          <cell r="AB245">
            <v>0.59417989417989414</v>
          </cell>
          <cell r="AC245">
            <v>168450</v>
          </cell>
          <cell r="AD245">
            <v>0</v>
          </cell>
          <cell r="AE245">
            <v>593700</v>
          </cell>
          <cell r="AF245" t="str">
            <v>Kevan King was appointed SVP, General Counsel and Secretary on March 3, 2011. Prior thereto he was VP, General Counsel and Secretary. The data recorded only represents his 2012 compensation because Veresen's 2013 Proxy does not disclose how much his 2011 compensation is attibutable to is new role, and how much is attributable to his old role. Additionally, we did not include the STIP and LTIP values prior to 2012 in the target calculations.</v>
          </cell>
          <cell r="AH245">
            <v>0</v>
          </cell>
          <cell r="AI245">
            <v>0</v>
          </cell>
          <cell r="AJ245">
            <v>0</v>
          </cell>
        </row>
        <row r="246">
          <cell r="A246" t="str">
            <v>TSX:VSN_NEO 3_2012</v>
          </cell>
          <cell r="B246" t="str">
            <v>TSX:VSN</v>
          </cell>
          <cell r="C246" t="str">
            <v>Veresen Inc.</v>
          </cell>
          <cell r="D246">
            <v>2012</v>
          </cell>
          <cell r="E246">
            <v>12</v>
          </cell>
          <cell r="F246" t="str">
            <v>CAD</v>
          </cell>
          <cell r="G246">
            <v>1</v>
          </cell>
          <cell r="H246" t="str">
            <v>Vern Wadey</v>
          </cell>
          <cell r="I246" t="str">
            <v>VP, Business Development</v>
          </cell>
          <cell r="J246" t="str">
            <v>NEO 3</v>
          </cell>
          <cell r="K246">
            <v>2448.6585</v>
          </cell>
          <cell r="L246">
            <v>4022.9585000000002</v>
          </cell>
          <cell r="M246">
            <v>280000</v>
          </cell>
          <cell r="N246">
            <v>280000</v>
          </cell>
          <cell r="O246" t="str">
            <v>n/d</v>
          </cell>
          <cell r="P246">
            <v>196848</v>
          </cell>
          <cell r="Q246">
            <v>196848</v>
          </cell>
          <cell r="R246">
            <v>0.70302857142857145</v>
          </cell>
          <cell r="S246">
            <v>0.5</v>
          </cell>
          <cell r="T246" t="str">
            <v>n/d</v>
          </cell>
          <cell r="U246">
            <v>140000</v>
          </cell>
          <cell r="V246">
            <v>476848</v>
          </cell>
          <cell r="W246">
            <v>420000</v>
          </cell>
          <cell r="X246" t="str">
            <v>input</v>
          </cell>
          <cell r="Y246">
            <v>138625</v>
          </cell>
          <cell r="Z246">
            <v>0</v>
          </cell>
          <cell r="AA246">
            <v>138625</v>
          </cell>
          <cell r="AB246">
            <v>0.49508928571428573</v>
          </cell>
          <cell r="AC246">
            <v>138625</v>
          </cell>
          <cell r="AD246">
            <v>615473</v>
          </cell>
          <cell r="AE246">
            <v>0</v>
          </cell>
          <cell r="AH246" t="str">
            <v>1X base salary</v>
          </cell>
          <cell r="AI246" t="str">
            <v>5 years</v>
          </cell>
        </row>
        <row r="247">
          <cell r="A247" t="str">
            <v>TSX:VSN_NEO 3_2011</v>
          </cell>
          <cell r="B247" t="str">
            <v>TSX:VSN</v>
          </cell>
          <cell r="C247" t="str">
            <v>Veresen Inc.</v>
          </cell>
          <cell r="D247">
            <v>2011</v>
          </cell>
          <cell r="E247">
            <v>12</v>
          </cell>
          <cell r="F247" t="str">
            <v>CAD</v>
          </cell>
          <cell r="G247">
            <v>1</v>
          </cell>
          <cell r="H247" t="str">
            <v>Vern Wadey</v>
          </cell>
          <cell r="I247" t="str">
            <v>VP, Business Development</v>
          </cell>
          <cell r="J247" t="str">
            <v>NEO 3</v>
          </cell>
          <cell r="K247">
            <v>2448.6585</v>
          </cell>
          <cell r="L247">
            <v>4022.9585000000002</v>
          </cell>
          <cell r="M247">
            <v>269000</v>
          </cell>
          <cell r="N247">
            <v>269000</v>
          </cell>
          <cell r="O247">
            <v>0</v>
          </cell>
          <cell r="P247">
            <v>232616</v>
          </cell>
          <cell r="Q247">
            <v>232616</v>
          </cell>
          <cell r="R247">
            <v>0.86474349442379184</v>
          </cell>
          <cell r="S247">
            <v>0</v>
          </cell>
          <cell r="T247">
            <v>0</v>
          </cell>
          <cell r="U247">
            <v>0</v>
          </cell>
          <cell r="V247">
            <v>0</v>
          </cell>
          <cell r="W247">
            <v>0</v>
          </cell>
          <cell r="X247">
            <v>0</v>
          </cell>
          <cell r="Y247">
            <v>133688</v>
          </cell>
          <cell r="Z247">
            <v>0</v>
          </cell>
          <cell r="AA247">
            <v>133688</v>
          </cell>
          <cell r="AB247">
            <v>0.49698141263940521</v>
          </cell>
          <cell r="AC247">
            <v>133688</v>
          </cell>
          <cell r="AD247">
            <v>635304</v>
          </cell>
          <cell r="AE247">
            <v>0</v>
          </cell>
          <cell r="AH247">
            <v>0</v>
          </cell>
          <cell r="AI247">
            <v>0</v>
          </cell>
        </row>
        <row r="248">
          <cell r="A248" t="str">
            <v>TSX:VSN_NEO 3_2010</v>
          </cell>
          <cell r="B248" t="str">
            <v>TSX:VSN</v>
          </cell>
          <cell r="C248" t="str">
            <v>Veresen Inc.</v>
          </cell>
          <cell r="D248">
            <v>2010</v>
          </cell>
          <cell r="E248">
            <v>12</v>
          </cell>
          <cell r="F248" t="str">
            <v>CAD</v>
          </cell>
          <cell r="G248">
            <v>1</v>
          </cell>
          <cell r="H248" t="str">
            <v>Vern Wadey</v>
          </cell>
          <cell r="I248" t="str">
            <v>VP, Business Development</v>
          </cell>
          <cell r="J248" t="str">
            <v>NEO 3</v>
          </cell>
          <cell r="K248">
            <v>2448.6585</v>
          </cell>
          <cell r="L248">
            <v>4022.9585000000002</v>
          </cell>
          <cell r="M248">
            <v>260625</v>
          </cell>
          <cell r="N248">
            <v>260625</v>
          </cell>
          <cell r="O248">
            <v>0</v>
          </cell>
          <cell r="P248">
            <v>193227</v>
          </cell>
          <cell r="Q248">
            <v>193227</v>
          </cell>
          <cell r="R248">
            <v>0.74139856115107916</v>
          </cell>
          <cell r="S248">
            <v>0</v>
          </cell>
          <cell r="T248">
            <v>0</v>
          </cell>
          <cell r="U248">
            <v>0</v>
          </cell>
          <cell r="V248">
            <v>0</v>
          </cell>
          <cell r="W248">
            <v>0</v>
          </cell>
          <cell r="X248">
            <v>0</v>
          </cell>
          <cell r="Y248">
            <v>130313</v>
          </cell>
          <cell r="Z248">
            <v>0</v>
          </cell>
          <cell r="AA248">
            <v>130313</v>
          </cell>
          <cell r="AB248">
            <v>0.50000191846522779</v>
          </cell>
          <cell r="AC248">
            <v>130313</v>
          </cell>
          <cell r="AD248">
            <v>584165</v>
          </cell>
          <cell r="AE248">
            <v>0</v>
          </cell>
          <cell r="AH248">
            <v>0</v>
          </cell>
          <cell r="AI248">
            <v>0</v>
          </cell>
        </row>
        <row r="249">
          <cell r="A249" t="str">
            <v>TSX:VSN_NEO 3_Target</v>
          </cell>
          <cell r="B249" t="str">
            <v>TSX:VSN</v>
          </cell>
          <cell r="C249" t="str">
            <v>Veresen Inc.</v>
          </cell>
          <cell r="D249" t="str">
            <v>Target</v>
          </cell>
          <cell r="E249">
            <v>12</v>
          </cell>
          <cell r="F249" t="str">
            <v>CAD</v>
          </cell>
          <cell r="G249">
            <v>1</v>
          </cell>
          <cell r="H249" t="str">
            <v>Vern Wadey</v>
          </cell>
          <cell r="I249" t="str">
            <v>VP, Business Development</v>
          </cell>
          <cell r="J249" t="str">
            <v>NEO 3</v>
          </cell>
          <cell r="K249">
            <v>2448.6585</v>
          </cell>
          <cell r="L249">
            <v>4022.9585000000002</v>
          </cell>
          <cell r="M249">
            <v>280000</v>
          </cell>
          <cell r="N249">
            <v>280000</v>
          </cell>
          <cell r="O249" t="str">
            <v>n/d</v>
          </cell>
          <cell r="P249">
            <v>196848</v>
          </cell>
          <cell r="Q249">
            <v>196848</v>
          </cell>
          <cell r="R249">
            <v>0.70302857142857145</v>
          </cell>
          <cell r="S249">
            <v>0.5</v>
          </cell>
          <cell r="T249" t="str">
            <v>n/d</v>
          </cell>
          <cell r="U249">
            <v>140000</v>
          </cell>
          <cell r="V249">
            <v>476848</v>
          </cell>
          <cell r="W249">
            <v>420000</v>
          </cell>
          <cell r="X249" t="str">
            <v>input</v>
          </cell>
          <cell r="Y249">
            <v>134208.66666666666</v>
          </cell>
          <cell r="Z249" t="str">
            <v>input</v>
          </cell>
          <cell r="AA249">
            <v>0</v>
          </cell>
          <cell r="AB249">
            <v>0.49735753893963958</v>
          </cell>
          <cell r="AC249">
            <v>139260.11090309909</v>
          </cell>
          <cell r="AD249">
            <v>0</v>
          </cell>
          <cell r="AE249">
            <v>559260.11090309906</v>
          </cell>
          <cell r="AF249">
            <v>0</v>
          </cell>
          <cell r="AH249">
            <v>0</v>
          </cell>
          <cell r="AI249">
            <v>0</v>
          </cell>
          <cell r="AJ249">
            <v>0</v>
          </cell>
        </row>
        <row r="250">
          <cell r="A250" t="str">
            <v>TSX:VET_CEO_2012</v>
          </cell>
          <cell r="B250" t="str">
            <v>TSX:VET</v>
          </cell>
          <cell r="C250" t="str">
            <v>Vermilion Energy Inc.</v>
          </cell>
          <cell r="D250">
            <v>2012</v>
          </cell>
          <cell r="E250">
            <v>12</v>
          </cell>
          <cell r="F250" t="str">
            <v>CAD</v>
          </cell>
          <cell r="G250">
            <v>1</v>
          </cell>
          <cell r="H250" t="str">
            <v>Lorenzo Donadeo</v>
          </cell>
          <cell r="I250" t="str">
            <v>President and CEO</v>
          </cell>
          <cell r="J250" t="str">
            <v>CEO</v>
          </cell>
          <cell r="K250">
            <v>5771.8670400000001</v>
          </cell>
          <cell r="L250">
            <v>6316.7390400000004</v>
          </cell>
          <cell r="M250">
            <v>460000</v>
          </cell>
          <cell r="N250">
            <v>460000</v>
          </cell>
          <cell r="O250" t="str">
            <v>n/d</v>
          </cell>
          <cell r="P250">
            <v>650000</v>
          </cell>
          <cell r="Q250">
            <v>650000</v>
          </cell>
          <cell r="R250">
            <v>1.4130434782608696</v>
          </cell>
          <cell r="S250">
            <v>0.75</v>
          </cell>
          <cell r="T250" t="str">
            <v>n/d</v>
          </cell>
          <cell r="U250">
            <v>345000</v>
          </cell>
          <cell r="V250">
            <v>1110000</v>
          </cell>
          <cell r="W250">
            <v>805000</v>
          </cell>
          <cell r="X250" t="str">
            <v>input</v>
          </cell>
          <cell r="Y250">
            <v>1540022</v>
          </cell>
          <cell r="Z250">
            <v>0</v>
          </cell>
          <cell r="AA250">
            <v>1540022</v>
          </cell>
          <cell r="AB250">
            <v>3.3478739130434785</v>
          </cell>
          <cell r="AC250">
            <v>1540022</v>
          </cell>
          <cell r="AD250">
            <v>2650022</v>
          </cell>
          <cell r="AE250">
            <v>0</v>
          </cell>
          <cell r="AH250" t="str">
            <v>3X base salary</v>
          </cell>
          <cell r="AI250" t="str">
            <v>5 years</v>
          </cell>
          <cell r="AJ250" t="str">
            <v>The annual bonuses are paid in 50% cash and in 50% shares from treasury with after tax dollars. Re: SOG, CEO must retain 3X base salary for 12 months post-resignation/retirement</v>
          </cell>
        </row>
        <row r="251">
          <cell r="A251" t="str">
            <v>TSX:VET_CEO_2011</v>
          </cell>
          <cell r="B251" t="str">
            <v>TSX:VET</v>
          </cell>
          <cell r="C251" t="str">
            <v>Vermilion Energy Inc.</v>
          </cell>
          <cell r="D251">
            <v>2011</v>
          </cell>
          <cell r="E251">
            <v>12</v>
          </cell>
          <cell r="F251" t="str">
            <v>CAD</v>
          </cell>
          <cell r="G251">
            <v>1</v>
          </cell>
          <cell r="H251" t="str">
            <v>Lorenzo Donadeo</v>
          </cell>
          <cell r="I251" t="str">
            <v>President and CEO</v>
          </cell>
          <cell r="J251" t="str">
            <v>CEO</v>
          </cell>
          <cell r="K251">
            <v>5771.8670400000001</v>
          </cell>
          <cell r="L251">
            <v>6316.7390400000004</v>
          </cell>
          <cell r="M251">
            <v>435000</v>
          </cell>
          <cell r="N251">
            <v>435000</v>
          </cell>
          <cell r="O251">
            <v>0</v>
          </cell>
          <cell r="P251">
            <v>500000</v>
          </cell>
          <cell r="Q251">
            <v>500000</v>
          </cell>
          <cell r="R251">
            <v>1.1494252873563218</v>
          </cell>
          <cell r="S251">
            <v>0</v>
          </cell>
          <cell r="T251">
            <v>0</v>
          </cell>
          <cell r="U251">
            <v>0</v>
          </cell>
          <cell r="V251">
            <v>0</v>
          </cell>
          <cell r="W251">
            <v>0</v>
          </cell>
          <cell r="X251">
            <v>0</v>
          </cell>
          <cell r="Y251">
            <v>1500000</v>
          </cell>
          <cell r="Z251">
            <v>0</v>
          </cell>
          <cell r="AA251">
            <v>1500000</v>
          </cell>
          <cell r="AB251">
            <v>3.4482758620689653</v>
          </cell>
          <cell r="AC251">
            <v>1500000</v>
          </cell>
          <cell r="AD251">
            <v>2435000</v>
          </cell>
          <cell r="AE251">
            <v>0</v>
          </cell>
          <cell r="AH251">
            <v>0</v>
          </cell>
          <cell r="AI251">
            <v>0</v>
          </cell>
        </row>
        <row r="252">
          <cell r="A252" t="str">
            <v>TSX:VET_CEO_2010</v>
          </cell>
          <cell r="B252" t="str">
            <v>TSX:VET</v>
          </cell>
          <cell r="C252" t="str">
            <v>Vermilion Energy Inc.</v>
          </cell>
          <cell r="D252">
            <v>2010</v>
          </cell>
          <cell r="E252">
            <v>12</v>
          </cell>
          <cell r="F252" t="str">
            <v>CAD</v>
          </cell>
          <cell r="G252">
            <v>1</v>
          </cell>
          <cell r="H252" t="str">
            <v>Lorenzo Donadeo</v>
          </cell>
          <cell r="I252" t="str">
            <v>President and CEO</v>
          </cell>
          <cell r="J252" t="str">
            <v>CEO</v>
          </cell>
          <cell r="K252">
            <v>5771.8670400000001</v>
          </cell>
          <cell r="L252">
            <v>6316.7390400000004</v>
          </cell>
          <cell r="M252">
            <v>428900</v>
          </cell>
          <cell r="N252">
            <v>428900</v>
          </cell>
          <cell r="O252">
            <v>0</v>
          </cell>
          <cell r="P252">
            <v>815000</v>
          </cell>
          <cell r="Q252">
            <v>815000</v>
          </cell>
          <cell r="R252">
            <v>1.9002098391233389</v>
          </cell>
          <cell r="S252">
            <v>0</v>
          </cell>
          <cell r="T252">
            <v>0</v>
          </cell>
          <cell r="U252">
            <v>0</v>
          </cell>
          <cell r="V252">
            <v>0</v>
          </cell>
          <cell r="W252">
            <v>0</v>
          </cell>
          <cell r="X252">
            <v>0</v>
          </cell>
          <cell r="Y252">
            <v>1904967</v>
          </cell>
          <cell r="Z252">
            <v>0</v>
          </cell>
          <cell r="AA252">
            <v>1904967</v>
          </cell>
          <cell r="AB252">
            <v>4.4415178363254837</v>
          </cell>
          <cell r="AC252">
            <v>1904967</v>
          </cell>
          <cell r="AD252">
            <v>3148867</v>
          </cell>
          <cell r="AE252">
            <v>0</v>
          </cell>
          <cell r="AH252">
            <v>0</v>
          </cell>
          <cell r="AI252">
            <v>0</v>
          </cell>
        </row>
        <row r="253">
          <cell r="A253" t="str">
            <v>TSX:VET_CEO_Target</v>
          </cell>
          <cell r="B253" t="str">
            <v>TSX:VET</v>
          </cell>
          <cell r="C253" t="str">
            <v>Vermilion Energy Inc.</v>
          </cell>
          <cell r="D253" t="str">
            <v>Target</v>
          </cell>
          <cell r="E253">
            <v>12</v>
          </cell>
          <cell r="F253" t="str">
            <v>CAD</v>
          </cell>
          <cell r="G253">
            <v>1</v>
          </cell>
          <cell r="H253" t="str">
            <v>Lorenzo Donadeo</v>
          </cell>
          <cell r="I253" t="str">
            <v>President and CEO</v>
          </cell>
          <cell r="J253" t="str">
            <v>CEO</v>
          </cell>
          <cell r="K253">
            <v>5771.8670400000001</v>
          </cell>
          <cell r="L253">
            <v>6316.7390400000004</v>
          </cell>
          <cell r="M253">
            <v>460000</v>
          </cell>
          <cell r="N253">
            <v>460000</v>
          </cell>
          <cell r="O253" t="str">
            <v>n/d</v>
          </cell>
          <cell r="P253">
            <v>650000</v>
          </cell>
          <cell r="Q253">
            <v>650000</v>
          </cell>
          <cell r="R253">
            <v>1.4130434782608696</v>
          </cell>
          <cell r="S253">
            <v>0.75</v>
          </cell>
          <cell r="T253" t="str">
            <v>n/d</v>
          </cell>
          <cell r="U253">
            <v>345000</v>
          </cell>
          <cell r="V253">
            <v>1110000</v>
          </cell>
          <cell r="W253">
            <v>805000</v>
          </cell>
          <cell r="X253" t="str">
            <v>input</v>
          </cell>
          <cell r="Y253">
            <v>1648329.6666666667</v>
          </cell>
          <cell r="Z253" t="str">
            <v>input</v>
          </cell>
          <cell r="AA253">
            <v>0</v>
          </cell>
          <cell r="AB253">
            <v>3.7458892038126428</v>
          </cell>
          <cell r="AC253">
            <v>1723109.0337538156</v>
          </cell>
          <cell r="AD253">
            <v>0</v>
          </cell>
          <cell r="AE253">
            <v>2528109.0337538156</v>
          </cell>
          <cell r="AF253">
            <v>0</v>
          </cell>
          <cell r="AH253">
            <v>0</v>
          </cell>
          <cell r="AI253">
            <v>0</v>
          </cell>
          <cell r="AJ253">
            <v>0</v>
          </cell>
        </row>
        <row r="254">
          <cell r="A254" t="str">
            <v>TSX:VET_CFO_2012</v>
          </cell>
          <cell r="B254" t="str">
            <v>TSX:VET</v>
          </cell>
          <cell r="C254" t="str">
            <v>Vermilion Energy Inc.</v>
          </cell>
          <cell r="D254">
            <v>2012</v>
          </cell>
          <cell r="E254">
            <v>12</v>
          </cell>
          <cell r="F254" t="str">
            <v>CAD</v>
          </cell>
          <cell r="G254">
            <v>1</v>
          </cell>
          <cell r="H254" t="str">
            <v>Curtis Hicks</v>
          </cell>
          <cell r="I254" t="str">
            <v>EVP and CFO</v>
          </cell>
          <cell r="J254" t="str">
            <v>CFO</v>
          </cell>
          <cell r="K254">
            <v>5771.8670400000001</v>
          </cell>
          <cell r="L254">
            <v>6316.7390400000004</v>
          </cell>
          <cell r="M254">
            <v>310000</v>
          </cell>
          <cell r="N254">
            <v>310000</v>
          </cell>
          <cell r="O254" t="str">
            <v>n/d</v>
          </cell>
          <cell r="P254">
            <v>350000</v>
          </cell>
          <cell r="Q254">
            <v>350000</v>
          </cell>
          <cell r="R254">
            <v>1.1290322580645162</v>
          </cell>
          <cell r="S254">
            <v>0.6</v>
          </cell>
          <cell r="T254" t="str">
            <v>n/d</v>
          </cell>
          <cell r="U254">
            <v>186000</v>
          </cell>
          <cell r="V254">
            <v>660000</v>
          </cell>
          <cell r="W254">
            <v>496000</v>
          </cell>
          <cell r="X254" t="str">
            <v>input</v>
          </cell>
          <cell r="Y254">
            <v>750026</v>
          </cell>
          <cell r="Z254">
            <v>0</v>
          </cell>
          <cell r="AA254">
            <v>750026</v>
          </cell>
          <cell r="AB254">
            <v>2.4194387096774195</v>
          </cell>
          <cell r="AC254">
            <v>750026</v>
          </cell>
          <cell r="AD254">
            <v>1410026</v>
          </cell>
          <cell r="AE254">
            <v>0</v>
          </cell>
          <cell r="AH254" t="str">
            <v>2X base salary</v>
          </cell>
          <cell r="AI254" t="str">
            <v>5 years</v>
          </cell>
        </row>
        <row r="255">
          <cell r="A255" t="str">
            <v>TSX:VET_CFO_2011</v>
          </cell>
          <cell r="B255" t="str">
            <v>TSX:VET</v>
          </cell>
          <cell r="C255" t="str">
            <v>Vermilion Energy Inc.</v>
          </cell>
          <cell r="D255">
            <v>2011</v>
          </cell>
          <cell r="E255">
            <v>12</v>
          </cell>
          <cell r="F255" t="str">
            <v>CAD</v>
          </cell>
          <cell r="G255">
            <v>1</v>
          </cell>
          <cell r="H255" t="str">
            <v>Curtis Hicks</v>
          </cell>
          <cell r="I255" t="str">
            <v>EVP and CFO</v>
          </cell>
          <cell r="J255" t="str">
            <v>CFO</v>
          </cell>
          <cell r="K255">
            <v>5771.8670400000001</v>
          </cell>
          <cell r="L255">
            <v>6316.7390400000004</v>
          </cell>
          <cell r="M255">
            <v>300000</v>
          </cell>
          <cell r="N255">
            <v>300000</v>
          </cell>
          <cell r="O255">
            <v>0</v>
          </cell>
          <cell r="P255">
            <v>500000</v>
          </cell>
          <cell r="Q255">
            <v>500000</v>
          </cell>
          <cell r="R255">
            <v>1.6666666666666667</v>
          </cell>
          <cell r="S255">
            <v>0</v>
          </cell>
          <cell r="T255">
            <v>0</v>
          </cell>
          <cell r="U255">
            <v>0</v>
          </cell>
          <cell r="V255">
            <v>0</v>
          </cell>
          <cell r="W255">
            <v>0</v>
          </cell>
          <cell r="X255">
            <v>0</v>
          </cell>
          <cell r="Y255">
            <v>750000</v>
          </cell>
          <cell r="Z255">
            <v>0</v>
          </cell>
          <cell r="AA255">
            <v>750000</v>
          </cell>
          <cell r="AB255">
            <v>2.5</v>
          </cell>
          <cell r="AC255">
            <v>750000</v>
          </cell>
          <cell r="AD255">
            <v>1550000</v>
          </cell>
          <cell r="AE255">
            <v>0</v>
          </cell>
          <cell r="AH255">
            <v>0</v>
          </cell>
          <cell r="AI255">
            <v>0</v>
          </cell>
        </row>
        <row r="256">
          <cell r="A256" t="str">
            <v>TSX:VET_CFO_2010</v>
          </cell>
          <cell r="B256" t="str">
            <v>TSX:VET</v>
          </cell>
          <cell r="C256" t="str">
            <v>Vermilion Energy Inc.</v>
          </cell>
          <cell r="D256">
            <v>2010</v>
          </cell>
          <cell r="E256">
            <v>12</v>
          </cell>
          <cell r="F256" t="str">
            <v>CAD</v>
          </cell>
          <cell r="G256">
            <v>1</v>
          </cell>
          <cell r="H256" t="str">
            <v>Curtis Hicks</v>
          </cell>
          <cell r="I256" t="str">
            <v>EVP and CFO</v>
          </cell>
          <cell r="J256" t="str">
            <v>CFO</v>
          </cell>
          <cell r="K256">
            <v>5771.8670400000001</v>
          </cell>
          <cell r="L256">
            <v>6316.7390400000004</v>
          </cell>
          <cell r="M256">
            <v>286000</v>
          </cell>
          <cell r="N256">
            <v>286000</v>
          </cell>
          <cell r="O256">
            <v>0</v>
          </cell>
          <cell r="P256">
            <v>425000</v>
          </cell>
          <cell r="Q256">
            <v>425000</v>
          </cell>
          <cell r="R256">
            <v>1.486013986013986</v>
          </cell>
          <cell r="S256">
            <v>0</v>
          </cell>
          <cell r="T256">
            <v>0</v>
          </cell>
          <cell r="U256">
            <v>0</v>
          </cell>
          <cell r="V256">
            <v>0</v>
          </cell>
          <cell r="W256">
            <v>0</v>
          </cell>
          <cell r="X256">
            <v>0</v>
          </cell>
          <cell r="Y256">
            <v>1087871</v>
          </cell>
          <cell r="Z256">
            <v>0</v>
          </cell>
          <cell r="AA256">
            <v>1087871</v>
          </cell>
          <cell r="AB256">
            <v>3.8037447552447552</v>
          </cell>
          <cell r="AC256">
            <v>1087871</v>
          </cell>
          <cell r="AD256">
            <v>1798871</v>
          </cell>
          <cell r="AE256">
            <v>0</v>
          </cell>
          <cell r="AH256">
            <v>0</v>
          </cell>
          <cell r="AI256">
            <v>0</v>
          </cell>
        </row>
        <row r="257">
          <cell r="A257" t="str">
            <v>TSX:VET_CFO_Target</v>
          </cell>
          <cell r="B257" t="str">
            <v>TSX:VET</v>
          </cell>
          <cell r="C257" t="str">
            <v>Vermilion Energy Inc.</v>
          </cell>
          <cell r="D257" t="str">
            <v>Target</v>
          </cell>
          <cell r="E257">
            <v>12</v>
          </cell>
          <cell r="F257" t="str">
            <v>CAD</v>
          </cell>
          <cell r="G257">
            <v>1</v>
          </cell>
          <cell r="H257" t="str">
            <v>Curtis Hicks</v>
          </cell>
          <cell r="I257" t="str">
            <v>EVP and CFO</v>
          </cell>
          <cell r="J257" t="str">
            <v>CFO</v>
          </cell>
          <cell r="K257">
            <v>5771.8670400000001</v>
          </cell>
          <cell r="L257">
            <v>6316.7390400000004</v>
          </cell>
          <cell r="M257">
            <v>310000</v>
          </cell>
          <cell r="N257">
            <v>310000</v>
          </cell>
          <cell r="O257" t="str">
            <v>n/d</v>
          </cell>
          <cell r="P257">
            <v>350000</v>
          </cell>
          <cell r="Q257">
            <v>350000</v>
          </cell>
          <cell r="R257">
            <v>1.1290322580645162</v>
          </cell>
          <cell r="S257">
            <v>0.6</v>
          </cell>
          <cell r="T257" t="str">
            <v>n/d</v>
          </cell>
          <cell r="U257">
            <v>186000</v>
          </cell>
          <cell r="V257">
            <v>660000</v>
          </cell>
          <cell r="W257">
            <v>496000</v>
          </cell>
          <cell r="X257" t="str">
            <v>input</v>
          </cell>
          <cell r="Y257">
            <v>862632.33333333337</v>
          </cell>
          <cell r="Z257" t="str">
            <v>input</v>
          </cell>
          <cell r="AA257">
            <v>0</v>
          </cell>
          <cell r="AB257">
            <v>2.9077278216407247</v>
          </cell>
          <cell r="AC257">
            <v>901395.62470862467</v>
          </cell>
          <cell r="AD257">
            <v>0</v>
          </cell>
          <cell r="AE257">
            <v>1397395.6247086246</v>
          </cell>
          <cell r="AF257">
            <v>0</v>
          </cell>
          <cell r="AH257">
            <v>0</v>
          </cell>
          <cell r="AI257">
            <v>0</v>
          </cell>
          <cell r="AJ257">
            <v>0</v>
          </cell>
        </row>
        <row r="258">
          <cell r="A258" t="str">
            <v>TSX:VET_NEO 1_2012</v>
          </cell>
          <cell r="B258" t="str">
            <v>TSX:VET</v>
          </cell>
          <cell r="C258" t="str">
            <v>Vermilion Energy Inc.</v>
          </cell>
          <cell r="D258">
            <v>2012</v>
          </cell>
          <cell r="E258">
            <v>12</v>
          </cell>
          <cell r="F258" t="str">
            <v>CAD</v>
          </cell>
          <cell r="G258">
            <v>1</v>
          </cell>
          <cell r="H258" t="str">
            <v>Anthony Marino</v>
          </cell>
          <cell r="I258" t="str">
            <v>EVP and COO</v>
          </cell>
          <cell r="J258" t="str">
            <v>NEO 1</v>
          </cell>
          <cell r="K258">
            <v>5771.8670400000001</v>
          </cell>
          <cell r="L258">
            <v>6316.7390400000004</v>
          </cell>
          <cell r="M258">
            <v>385000</v>
          </cell>
          <cell r="N258">
            <v>385000</v>
          </cell>
          <cell r="O258" t="str">
            <v>n/d</v>
          </cell>
          <cell r="P258">
            <v>300000</v>
          </cell>
          <cell r="Q258">
            <v>300000</v>
          </cell>
          <cell r="R258">
            <v>0.77922077922077926</v>
          </cell>
          <cell r="S258">
            <v>0.6</v>
          </cell>
          <cell r="T258" t="str">
            <v>n/d</v>
          </cell>
          <cell r="U258">
            <v>231000</v>
          </cell>
          <cell r="V258">
            <v>685000</v>
          </cell>
          <cell r="W258">
            <v>616000</v>
          </cell>
          <cell r="X258" t="str">
            <v>input</v>
          </cell>
          <cell r="Y258">
            <v>2875466</v>
          </cell>
          <cell r="Z258">
            <v>0</v>
          </cell>
          <cell r="AA258">
            <v>2875466</v>
          </cell>
          <cell r="AB258">
            <v>7.4687428571428569</v>
          </cell>
          <cell r="AC258">
            <v>2875466</v>
          </cell>
          <cell r="AD258">
            <v>3560466</v>
          </cell>
          <cell r="AE258">
            <v>0</v>
          </cell>
          <cell r="AF258" t="str">
            <v>Anthony Marino was appointed EVP and COO in June 2012. His share-based award was based on a new-hire award with 1/3 vesting in 2013, 2014, and 2015.</v>
          </cell>
          <cell r="AH258" t="str">
            <v>2X base salary</v>
          </cell>
          <cell r="AI258" t="str">
            <v>5 years</v>
          </cell>
        </row>
        <row r="259">
          <cell r="A259" t="str">
            <v>TSX:VET__2011</v>
          </cell>
          <cell r="B259" t="str">
            <v>TSX:VET</v>
          </cell>
          <cell r="C259" t="str">
            <v>Vermilion Energy Inc.</v>
          </cell>
          <cell r="D259">
            <v>2011</v>
          </cell>
          <cell r="E259">
            <v>12</v>
          </cell>
          <cell r="F259" t="str">
            <v>CAD</v>
          </cell>
          <cell r="G259">
            <v>1</v>
          </cell>
          <cell r="H259" t="str">
            <v>Anthony Marino</v>
          </cell>
          <cell r="K259">
            <v>5771.8670400000001</v>
          </cell>
          <cell r="L259">
            <v>6316.7390400000004</v>
          </cell>
          <cell r="M259">
            <v>0</v>
          </cell>
          <cell r="N259">
            <v>0</v>
          </cell>
          <cell r="O259">
            <v>0</v>
          </cell>
          <cell r="P259">
            <v>0</v>
          </cell>
          <cell r="Q259">
            <v>0</v>
          </cell>
          <cell r="R259" t="str">
            <v>input</v>
          </cell>
          <cell r="S259">
            <v>0</v>
          </cell>
          <cell r="T259">
            <v>0</v>
          </cell>
          <cell r="U259">
            <v>0</v>
          </cell>
          <cell r="V259">
            <v>0</v>
          </cell>
          <cell r="W259">
            <v>0</v>
          </cell>
          <cell r="X259">
            <v>0</v>
          </cell>
          <cell r="Y259">
            <v>0</v>
          </cell>
          <cell r="Z259">
            <v>0</v>
          </cell>
          <cell r="AA259">
            <v>0</v>
          </cell>
          <cell r="AB259" t="str">
            <v>input</v>
          </cell>
          <cell r="AC259">
            <v>0</v>
          </cell>
          <cell r="AD259">
            <v>0</v>
          </cell>
          <cell r="AE259">
            <v>0</v>
          </cell>
          <cell r="AH259">
            <v>0</v>
          </cell>
          <cell r="AI259">
            <v>0</v>
          </cell>
        </row>
        <row r="260">
          <cell r="A260" t="str">
            <v>TSX:VET__2010</v>
          </cell>
          <cell r="B260" t="str">
            <v>TSX:VET</v>
          </cell>
          <cell r="C260" t="str">
            <v>Vermilion Energy Inc.</v>
          </cell>
          <cell r="D260">
            <v>2010</v>
          </cell>
          <cell r="E260">
            <v>12</v>
          </cell>
          <cell r="F260" t="str">
            <v>CAD</v>
          </cell>
          <cell r="G260">
            <v>1</v>
          </cell>
          <cell r="H260" t="str">
            <v>Anthony Marino</v>
          </cell>
          <cell r="K260">
            <v>5771.8670400000001</v>
          </cell>
          <cell r="L260">
            <v>6316.7390400000004</v>
          </cell>
          <cell r="M260">
            <v>0</v>
          </cell>
          <cell r="N260">
            <v>0</v>
          </cell>
          <cell r="O260">
            <v>0</v>
          </cell>
          <cell r="P260">
            <v>0</v>
          </cell>
          <cell r="Q260">
            <v>0</v>
          </cell>
          <cell r="R260" t="str">
            <v>input</v>
          </cell>
          <cell r="S260">
            <v>0</v>
          </cell>
          <cell r="T260">
            <v>0</v>
          </cell>
          <cell r="U260">
            <v>0</v>
          </cell>
          <cell r="V260">
            <v>0</v>
          </cell>
          <cell r="W260">
            <v>0</v>
          </cell>
          <cell r="X260">
            <v>0</v>
          </cell>
          <cell r="Y260">
            <v>0</v>
          </cell>
          <cell r="Z260">
            <v>0</v>
          </cell>
          <cell r="AA260">
            <v>0</v>
          </cell>
          <cell r="AB260" t="str">
            <v>input</v>
          </cell>
          <cell r="AC260">
            <v>0</v>
          </cell>
          <cell r="AD260">
            <v>0</v>
          </cell>
          <cell r="AE260">
            <v>0</v>
          </cell>
          <cell r="AH260">
            <v>0</v>
          </cell>
          <cell r="AI260">
            <v>0</v>
          </cell>
        </row>
        <row r="261">
          <cell r="A261" t="str">
            <v>TSX:VET_NEO 1_Target</v>
          </cell>
          <cell r="B261" t="str">
            <v>TSX:VET</v>
          </cell>
          <cell r="C261" t="str">
            <v>Vermilion Energy Inc.</v>
          </cell>
          <cell r="D261" t="str">
            <v>Target</v>
          </cell>
          <cell r="E261">
            <v>12</v>
          </cell>
          <cell r="F261" t="str">
            <v>CAD</v>
          </cell>
          <cell r="G261">
            <v>1</v>
          </cell>
          <cell r="H261" t="str">
            <v>Anthony Marino</v>
          </cell>
          <cell r="I261" t="str">
            <v>EVP and COO</v>
          </cell>
          <cell r="J261" t="str">
            <v>NEO 1</v>
          </cell>
          <cell r="K261">
            <v>5771.8670400000001</v>
          </cell>
          <cell r="L261">
            <v>6316.7390400000004</v>
          </cell>
          <cell r="M261">
            <v>385000</v>
          </cell>
          <cell r="N261">
            <v>385000</v>
          </cell>
          <cell r="O261" t="str">
            <v>n/d</v>
          </cell>
          <cell r="P261">
            <v>300000</v>
          </cell>
          <cell r="Q261">
            <v>300000</v>
          </cell>
          <cell r="R261">
            <v>0.77922077922077926</v>
          </cell>
          <cell r="S261">
            <v>0.6</v>
          </cell>
          <cell r="T261" t="str">
            <v>n/d</v>
          </cell>
          <cell r="U261">
            <v>231000</v>
          </cell>
          <cell r="V261">
            <v>685000</v>
          </cell>
          <cell r="W261">
            <v>616000</v>
          </cell>
          <cell r="X261" t="str">
            <v>input</v>
          </cell>
          <cell r="Y261">
            <v>2875466</v>
          </cell>
          <cell r="Z261" t="str">
            <v>input</v>
          </cell>
          <cell r="AA261">
            <v>0</v>
          </cell>
          <cell r="AB261">
            <v>7.4687428571428569</v>
          </cell>
          <cell r="AC261">
            <v>2875466</v>
          </cell>
          <cell r="AD261">
            <v>0</v>
          </cell>
          <cell r="AE261">
            <v>3491466</v>
          </cell>
          <cell r="AF261" t="str">
            <v>Anthony Marino was appointed EVP and COO in June 2012. His share-based award was based on a new-hire award with 1/3 vesting in 2013, 2014, and 2015.</v>
          </cell>
          <cell r="AH261">
            <v>0</v>
          </cell>
          <cell r="AI261">
            <v>0</v>
          </cell>
          <cell r="AJ261">
            <v>0</v>
          </cell>
        </row>
        <row r="262">
          <cell r="A262" t="str">
            <v>TSX:VET_NEO 2_2012</v>
          </cell>
          <cell r="B262" t="str">
            <v>TSX:VET</v>
          </cell>
          <cell r="C262" t="str">
            <v>Vermilion Energy Inc.</v>
          </cell>
          <cell r="D262">
            <v>2012</v>
          </cell>
          <cell r="E262">
            <v>12</v>
          </cell>
          <cell r="F262" t="str">
            <v>CAD</v>
          </cell>
          <cell r="G262">
            <v>1</v>
          </cell>
          <cell r="H262" t="str">
            <v>John Donovan</v>
          </cell>
          <cell r="I262" t="str">
            <v>EVP, Business Development</v>
          </cell>
          <cell r="J262" t="str">
            <v>NEO 2</v>
          </cell>
          <cell r="K262">
            <v>5771.8670400000001</v>
          </cell>
          <cell r="L262">
            <v>6316.7390400000004</v>
          </cell>
          <cell r="M262">
            <v>310000</v>
          </cell>
          <cell r="N262">
            <v>310000</v>
          </cell>
          <cell r="O262" t="str">
            <v>n/d</v>
          </cell>
          <cell r="P262">
            <v>225000</v>
          </cell>
          <cell r="Q262">
            <v>225000</v>
          </cell>
          <cell r="R262">
            <v>0.72580645161290325</v>
          </cell>
          <cell r="S262">
            <v>0.6</v>
          </cell>
          <cell r="T262" t="str">
            <v>n/d</v>
          </cell>
          <cell r="U262">
            <v>186000</v>
          </cell>
          <cell r="V262">
            <v>535000</v>
          </cell>
          <cell r="W262">
            <v>496000</v>
          </cell>
          <cell r="X262" t="str">
            <v>input</v>
          </cell>
          <cell r="Y262">
            <v>750026</v>
          </cell>
          <cell r="Z262">
            <v>0</v>
          </cell>
          <cell r="AA262">
            <v>750026</v>
          </cell>
          <cell r="AB262">
            <v>2.4194387096774195</v>
          </cell>
          <cell r="AC262">
            <v>750026</v>
          </cell>
          <cell r="AD262">
            <v>1285026</v>
          </cell>
          <cell r="AE262">
            <v>0</v>
          </cell>
          <cell r="AH262" t="str">
            <v>2X base salary</v>
          </cell>
          <cell r="AI262" t="str">
            <v>5 years</v>
          </cell>
        </row>
        <row r="263">
          <cell r="A263" t="str">
            <v>TSX:VET_NEO 2_2011</v>
          </cell>
          <cell r="B263" t="str">
            <v>TSX:VET</v>
          </cell>
          <cell r="C263" t="str">
            <v>Vermilion Energy Inc.</v>
          </cell>
          <cell r="D263">
            <v>2011</v>
          </cell>
          <cell r="E263">
            <v>12</v>
          </cell>
          <cell r="F263" t="str">
            <v>CAD</v>
          </cell>
          <cell r="G263">
            <v>1</v>
          </cell>
          <cell r="H263" t="str">
            <v>John Donovan</v>
          </cell>
          <cell r="I263" t="str">
            <v>EVP, Business Development</v>
          </cell>
          <cell r="J263" t="str">
            <v>NEO 2</v>
          </cell>
          <cell r="K263">
            <v>5771.8670400000001</v>
          </cell>
          <cell r="L263">
            <v>6316.7390400000004</v>
          </cell>
          <cell r="M263">
            <v>300000</v>
          </cell>
          <cell r="N263">
            <v>300000</v>
          </cell>
          <cell r="O263">
            <v>0</v>
          </cell>
          <cell r="P263">
            <v>400000</v>
          </cell>
          <cell r="Q263">
            <v>400000</v>
          </cell>
          <cell r="R263">
            <v>1.3333333333333333</v>
          </cell>
          <cell r="S263">
            <v>0</v>
          </cell>
          <cell r="T263">
            <v>0</v>
          </cell>
          <cell r="U263">
            <v>0</v>
          </cell>
          <cell r="V263">
            <v>0</v>
          </cell>
          <cell r="W263">
            <v>0</v>
          </cell>
          <cell r="X263">
            <v>0</v>
          </cell>
          <cell r="Y263">
            <v>700020</v>
          </cell>
          <cell r="Z263">
            <v>0</v>
          </cell>
          <cell r="AA263">
            <v>700020</v>
          </cell>
          <cell r="AB263">
            <v>2.3334000000000001</v>
          </cell>
          <cell r="AC263">
            <v>700020</v>
          </cell>
          <cell r="AD263">
            <v>1400020</v>
          </cell>
          <cell r="AE263">
            <v>0</v>
          </cell>
          <cell r="AH263">
            <v>0</v>
          </cell>
          <cell r="AI263">
            <v>0</v>
          </cell>
        </row>
        <row r="264">
          <cell r="A264" t="str">
            <v>TSX:VET_NEO 2_2010</v>
          </cell>
          <cell r="B264" t="str">
            <v>TSX:VET</v>
          </cell>
          <cell r="C264" t="str">
            <v>Vermilion Energy Inc.</v>
          </cell>
          <cell r="D264">
            <v>2010</v>
          </cell>
          <cell r="E264">
            <v>12</v>
          </cell>
          <cell r="F264" t="str">
            <v>CAD</v>
          </cell>
          <cell r="G264">
            <v>1</v>
          </cell>
          <cell r="H264" t="str">
            <v>John Donovan</v>
          </cell>
          <cell r="I264" t="str">
            <v>EVP, Business Development</v>
          </cell>
          <cell r="J264" t="str">
            <v>NEO 2</v>
          </cell>
          <cell r="K264">
            <v>5771.8670400000001</v>
          </cell>
          <cell r="L264">
            <v>6316.7390400000004</v>
          </cell>
          <cell r="M264">
            <v>286000</v>
          </cell>
          <cell r="N264">
            <v>286000</v>
          </cell>
          <cell r="O264">
            <v>0</v>
          </cell>
          <cell r="P264">
            <v>240000</v>
          </cell>
          <cell r="Q264">
            <v>240000</v>
          </cell>
          <cell r="R264">
            <v>0.83916083916083917</v>
          </cell>
          <cell r="S264">
            <v>0</v>
          </cell>
          <cell r="T264">
            <v>0</v>
          </cell>
          <cell r="U264">
            <v>0</v>
          </cell>
          <cell r="V264">
            <v>0</v>
          </cell>
          <cell r="W264">
            <v>0</v>
          </cell>
          <cell r="X264">
            <v>0</v>
          </cell>
          <cell r="Y264">
            <v>1087871</v>
          </cell>
          <cell r="Z264">
            <v>0</v>
          </cell>
          <cell r="AA264">
            <v>1087871</v>
          </cell>
          <cell r="AB264">
            <v>3.8037447552447552</v>
          </cell>
          <cell r="AC264">
            <v>1087871</v>
          </cell>
          <cell r="AD264">
            <v>1613871</v>
          </cell>
          <cell r="AE264">
            <v>0</v>
          </cell>
          <cell r="AH264">
            <v>0</v>
          </cell>
          <cell r="AI264">
            <v>0</v>
          </cell>
        </row>
        <row r="265">
          <cell r="A265" t="str">
            <v>TSX:VET_NEO 2_Target</v>
          </cell>
          <cell r="B265" t="str">
            <v>TSX:VET</v>
          </cell>
          <cell r="C265" t="str">
            <v>Vermilion Energy Inc.</v>
          </cell>
          <cell r="D265" t="str">
            <v>Target</v>
          </cell>
          <cell r="E265">
            <v>12</v>
          </cell>
          <cell r="F265" t="str">
            <v>CAD</v>
          </cell>
          <cell r="G265">
            <v>1</v>
          </cell>
          <cell r="H265" t="str">
            <v>John Donovan</v>
          </cell>
          <cell r="I265" t="str">
            <v>EVP, Business Development</v>
          </cell>
          <cell r="J265" t="str">
            <v>NEO 2</v>
          </cell>
          <cell r="K265">
            <v>5771.8670400000001</v>
          </cell>
          <cell r="L265">
            <v>6316.7390400000004</v>
          </cell>
          <cell r="M265">
            <v>310000</v>
          </cell>
          <cell r="N265">
            <v>310000</v>
          </cell>
          <cell r="O265" t="str">
            <v>n/d</v>
          </cell>
          <cell r="P265">
            <v>225000</v>
          </cell>
          <cell r="Q265">
            <v>225000</v>
          </cell>
          <cell r="R265">
            <v>0.72580645161290325</v>
          </cell>
          <cell r="S265">
            <v>0.6</v>
          </cell>
          <cell r="T265" t="str">
            <v>n/d</v>
          </cell>
          <cell r="U265">
            <v>186000</v>
          </cell>
          <cell r="V265">
            <v>535000</v>
          </cell>
          <cell r="W265">
            <v>496000</v>
          </cell>
          <cell r="X265" t="str">
            <v>input</v>
          </cell>
          <cell r="Y265">
            <v>845972.33333333337</v>
          </cell>
          <cell r="Z265" t="str">
            <v>input</v>
          </cell>
          <cell r="AA265">
            <v>0</v>
          </cell>
          <cell r="AB265">
            <v>2.8521944883073918</v>
          </cell>
          <cell r="AC265">
            <v>884180.29137529142</v>
          </cell>
          <cell r="AD265">
            <v>0</v>
          </cell>
          <cell r="AE265">
            <v>1380180.2913752915</v>
          </cell>
          <cell r="AF265">
            <v>0</v>
          </cell>
          <cell r="AH265">
            <v>0</v>
          </cell>
          <cell r="AI265">
            <v>0</v>
          </cell>
          <cell r="AJ265">
            <v>0</v>
          </cell>
        </row>
        <row r="266">
          <cell r="A266" t="str">
            <v>TSX:VET_NEO 3_2012</v>
          </cell>
          <cell r="B266" t="str">
            <v>TSX:VET</v>
          </cell>
          <cell r="C266" t="str">
            <v>Vermilion Energy Inc.</v>
          </cell>
          <cell r="D266">
            <v>2012</v>
          </cell>
          <cell r="E266">
            <v>12</v>
          </cell>
          <cell r="F266" t="str">
            <v>CAD</v>
          </cell>
          <cell r="G266">
            <v>1</v>
          </cell>
          <cell r="H266" t="str">
            <v>Mona Jasinski</v>
          </cell>
          <cell r="I266" t="str">
            <v>EVP, People</v>
          </cell>
          <cell r="J266" t="str">
            <v>NEO 3</v>
          </cell>
          <cell r="K266">
            <v>5771.8670400000001</v>
          </cell>
          <cell r="L266">
            <v>6316.7390400000004</v>
          </cell>
          <cell r="M266">
            <v>245000</v>
          </cell>
          <cell r="N266">
            <v>245000</v>
          </cell>
          <cell r="O266" t="str">
            <v>n/d</v>
          </cell>
          <cell r="P266">
            <v>258400</v>
          </cell>
          <cell r="Q266">
            <v>258400</v>
          </cell>
          <cell r="R266">
            <v>1.0546938775510204</v>
          </cell>
          <cell r="S266">
            <v>0.6</v>
          </cell>
          <cell r="T266" t="str">
            <v>n/d</v>
          </cell>
          <cell r="U266">
            <v>147000</v>
          </cell>
          <cell r="V266">
            <v>503400</v>
          </cell>
          <cell r="W266">
            <v>392000</v>
          </cell>
          <cell r="X266" t="str">
            <v>input</v>
          </cell>
          <cell r="Y266">
            <v>600021</v>
          </cell>
          <cell r="Z266">
            <v>0</v>
          </cell>
          <cell r="AA266">
            <v>600021</v>
          </cell>
          <cell r="AB266">
            <v>2.4490653061224488</v>
          </cell>
          <cell r="AC266">
            <v>600021</v>
          </cell>
          <cell r="AD266">
            <v>1103421</v>
          </cell>
          <cell r="AE266">
            <v>0</v>
          </cell>
          <cell r="AH266" t="str">
            <v>2X base salary</v>
          </cell>
          <cell r="AI266" t="str">
            <v>5 years</v>
          </cell>
        </row>
        <row r="267">
          <cell r="A267" t="str">
            <v>TSX:VET_NEO 3_2011</v>
          </cell>
          <cell r="B267" t="str">
            <v>TSX:VET</v>
          </cell>
          <cell r="C267" t="str">
            <v>Vermilion Energy Inc.</v>
          </cell>
          <cell r="D267">
            <v>2011</v>
          </cell>
          <cell r="E267">
            <v>12</v>
          </cell>
          <cell r="F267" t="str">
            <v>CAD</v>
          </cell>
          <cell r="G267">
            <v>1</v>
          </cell>
          <cell r="H267" t="str">
            <v>Mona Jasinski</v>
          </cell>
          <cell r="I267" t="str">
            <v>EVP, People</v>
          </cell>
          <cell r="J267" t="str">
            <v>NEO 3</v>
          </cell>
          <cell r="K267">
            <v>5771.8670400000001</v>
          </cell>
          <cell r="L267">
            <v>6316.7390400000004</v>
          </cell>
          <cell r="M267">
            <v>237600</v>
          </cell>
          <cell r="N267">
            <v>237600</v>
          </cell>
          <cell r="O267">
            <v>0</v>
          </cell>
          <cell r="P267">
            <v>220000</v>
          </cell>
          <cell r="Q267">
            <v>220000</v>
          </cell>
          <cell r="R267">
            <v>0.92592592592592593</v>
          </cell>
          <cell r="S267">
            <v>0</v>
          </cell>
          <cell r="T267">
            <v>0</v>
          </cell>
          <cell r="U267">
            <v>0</v>
          </cell>
          <cell r="V267">
            <v>0</v>
          </cell>
          <cell r="W267">
            <v>0</v>
          </cell>
          <cell r="X267">
            <v>0</v>
          </cell>
          <cell r="Y267">
            <v>618013</v>
          </cell>
          <cell r="Z267">
            <v>0</v>
          </cell>
          <cell r="AA267">
            <v>618013</v>
          </cell>
          <cell r="AB267">
            <v>2.6010648148148148</v>
          </cell>
          <cell r="AC267">
            <v>618013</v>
          </cell>
          <cell r="AD267">
            <v>1075613</v>
          </cell>
          <cell r="AE267">
            <v>0</v>
          </cell>
          <cell r="AH267">
            <v>0</v>
          </cell>
          <cell r="AI267">
            <v>0</v>
          </cell>
        </row>
        <row r="268">
          <cell r="A268" t="str">
            <v>TSX:VET_NEO 3_2010</v>
          </cell>
          <cell r="B268" t="str">
            <v>TSX:VET</v>
          </cell>
          <cell r="C268" t="str">
            <v>Vermilion Energy Inc.</v>
          </cell>
          <cell r="D268">
            <v>2010</v>
          </cell>
          <cell r="E268">
            <v>12</v>
          </cell>
          <cell r="F268" t="str">
            <v>CAD</v>
          </cell>
          <cell r="G268">
            <v>1</v>
          </cell>
          <cell r="H268" t="str">
            <v>Mona Jasinski</v>
          </cell>
          <cell r="I268" t="str">
            <v>EVP, People</v>
          </cell>
          <cell r="J268" t="str">
            <v>NEO 3</v>
          </cell>
          <cell r="K268">
            <v>5771.8670400000001</v>
          </cell>
          <cell r="L268">
            <v>6316.7390400000004</v>
          </cell>
          <cell r="M268">
            <v>201400</v>
          </cell>
          <cell r="N268">
            <v>201400</v>
          </cell>
          <cell r="O268">
            <v>0</v>
          </cell>
          <cell r="P268">
            <v>220000</v>
          </cell>
          <cell r="Q268">
            <v>220000</v>
          </cell>
          <cell r="R268">
            <v>1.0923535253227408</v>
          </cell>
          <cell r="S268">
            <v>0</v>
          </cell>
          <cell r="T268">
            <v>0</v>
          </cell>
          <cell r="U268">
            <v>0</v>
          </cell>
          <cell r="V268">
            <v>0</v>
          </cell>
          <cell r="W268">
            <v>0</v>
          </cell>
          <cell r="X268">
            <v>0</v>
          </cell>
          <cell r="Y268">
            <v>535083</v>
          </cell>
          <cell r="Z268">
            <v>0</v>
          </cell>
          <cell r="AA268">
            <v>535083</v>
          </cell>
          <cell r="AB268">
            <v>2.6568172790466731</v>
          </cell>
          <cell r="AC268">
            <v>535083</v>
          </cell>
          <cell r="AD268">
            <v>956483</v>
          </cell>
          <cell r="AE268">
            <v>0</v>
          </cell>
          <cell r="AH268">
            <v>0</v>
          </cell>
          <cell r="AI268">
            <v>0</v>
          </cell>
        </row>
        <row r="269">
          <cell r="A269" t="str">
            <v>TSX:VET_NEO 3_Target</v>
          </cell>
          <cell r="B269" t="str">
            <v>TSX:VET</v>
          </cell>
          <cell r="C269" t="str">
            <v>Vermilion Energy Inc.</v>
          </cell>
          <cell r="D269" t="str">
            <v>Target</v>
          </cell>
          <cell r="E269">
            <v>12</v>
          </cell>
          <cell r="F269" t="str">
            <v>CAD</v>
          </cell>
          <cell r="G269">
            <v>1</v>
          </cell>
          <cell r="H269" t="str">
            <v>Mona Jasinski</v>
          </cell>
          <cell r="I269" t="str">
            <v>EVP, People</v>
          </cell>
          <cell r="J269" t="str">
            <v>NEO 3</v>
          </cell>
          <cell r="K269">
            <v>5771.8670400000001</v>
          </cell>
          <cell r="L269">
            <v>6316.7390400000004</v>
          </cell>
          <cell r="M269">
            <v>245000</v>
          </cell>
          <cell r="N269">
            <v>245000</v>
          </cell>
          <cell r="O269" t="str">
            <v>n/d</v>
          </cell>
          <cell r="P269">
            <v>258400</v>
          </cell>
          <cell r="Q269">
            <v>258400</v>
          </cell>
          <cell r="R269">
            <v>1.0546938775510204</v>
          </cell>
          <cell r="S269">
            <v>0.6</v>
          </cell>
          <cell r="T269" t="str">
            <v>n/d</v>
          </cell>
          <cell r="U269">
            <v>147000</v>
          </cell>
          <cell r="V269">
            <v>503400</v>
          </cell>
          <cell r="W269">
            <v>392000</v>
          </cell>
          <cell r="X269" t="str">
            <v>input</v>
          </cell>
          <cell r="Y269">
            <v>584372.33333333337</v>
          </cell>
          <cell r="Z269" t="str">
            <v>input</v>
          </cell>
          <cell r="AA269">
            <v>0</v>
          </cell>
          <cell r="AB269">
            <v>2.5689824666613119</v>
          </cell>
          <cell r="AC269">
            <v>629400.70433202141</v>
          </cell>
          <cell r="AD269">
            <v>0</v>
          </cell>
          <cell r="AE269">
            <v>1021400.7043320214</v>
          </cell>
          <cell r="AF269">
            <v>0</v>
          </cell>
          <cell r="AH269">
            <v>0</v>
          </cell>
          <cell r="AI269">
            <v>0</v>
          </cell>
          <cell r="AJ269">
            <v>0</v>
          </cell>
        </row>
        <row r="270">
          <cell r="A270" t="str">
            <v>TSX:ENB_CEO_2012</v>
          </cell>
          <cell r="B270" t="str">
            <v>TSX:ENB</v>
          </cell>
          <cell r="C270" t="str">
            <v>Enbridge Inc.</v>
          </cell>
          <cell r="D270">
            <v>2012</v>
          </cell>
          <cell r="E270">
            <v>9</v>
          </cell>
          <cell r="F270" t="str">
            <v>CAD</v>
          </cell>
          <cell r="G270">
            <v>1</v>
          </cell>
          <cell r="H270" t="str">
            <v>Al Monaco</v>
          </cell>
          <cell r="I270" t="str">
            <v>President and CEO</v>
          </cell>
          <cell r="J270" t="str">
            <v>CEO</v>
          </cell>
          <cell r="K270">
            <v>35686.84044</v>
          </cell>
          <cell r="L270">
            <v>66603.84044</v>
          </cell>
          <cell r="M270">
            <v>1000000</v>
          </cell>
          <cell r="N270">
            <v>1330000</v>
          </cell>
          <cell r="O270" t="str">
            <v>n/d</v>
          </cell>
          <cell r="P270">
            <v>1033550</v>
          </cell>
          <cell r="Q270">
            <v>1378066.6666666665</v>
          </cell>
          <cell r="R270">
            <v>1.0361403508771929</v>
          </cell>
          <cell r="S270">
            <v>0.9</v>
          </cell>
          <cell r="T270">
            <v>1.8</v>
          </cell>
          <cell r="U270">
            <v>1197000</v>
          </cell>
          <cell r="V270">
            <v>2708066.6666666665</v>
          </cell>
          <cell r="W270">
            <v>2527000</v>
          </cell>
          <cell r="X270">
            <v>3723999.9999999995</v>
          </cell>
          <cell r="Y270">
            <v>771256</v>
          </cell>
          <cell r="Z270">
            <v>3250100</v>
          </cell>
          <cell r="AA270">
            <v>4021356</v>
          </cell>
          <cell r="AB270">
            <v>3.023575939849624</v>
          </cell>
          <cell r="AC270">
            <v>4021356</v>
          </cell>
          <cell r="AD270">
            <v>6729422.666666666</v>
          </cell>
          <cell r="AE270">
            <v>0</v>
          </cell>
          <cell r="AF270" t="str">
            <v>Patrick Daniel retired on September 30, 2012. His successor, Al Monaco, was appointed President on February 27, 2012 and President and CEO on October 1, 2012. The data recorded represents Mr. Daniel's compensation and has been annualized. Additionally, we did not include the STIP and LTIP values prior to 2012 in the target calculations.</v>
          </cell>
          <cell r="AH270" t="str">
            <v>4X base salary</v>
          </cell>
          <cell r="AI270" t="str">
            <v>4 years</v>
          </cell>
          <cell r="AJ270">
            <v>0</v>
          </cell>
        </row>
        <row r="271">
          <cell r="A271" t="str">
            <v>TSX:ENB_CEO_2011</v>
          </cell>
          <cell r="B271" t="str">
            <v>TSX:ENB</v>
          </cell>
          <cell r="C271" t="str">
            <v>Enbridge Inc.</v>
          </cell>
          <cell r="D271">
            <v>2011</v>
          </cell>
          <cell r="E271">
            <v>12</v>
          </cell>
          <cell r="F271" t="str">
            <v>CAD</v>
          </cell>
          <cell r="G271">
            <v>1</v>
          </cell>
          <cell r="H271">
            <v>0</v>
          </cell>
          <cell r="I271">
            <v>0</v>
          </cell>
          <cell r="J271" t="str">
            <v>CEO</v>
          </cell>
          <cell r="K271">
            <v>35686.84044</v>
          </cell>
          <cell r="L271">
            <v>66603.84044</v>
          </cell>
          <cell r="M271">
            <v>0</v>
          </cell>
          <cell r="N271">
            <v>0</v>
          </cell>
          <cell r="O271">
            <v>0</v>
          </cell>
          <cell r="P271">
            <v>0</v>
          </cell>
          <cell r="Q271">
            <v>0</v>
          </cell>
          <cell r="R271" t="str">
            <v>input</v>
          </cell>
          <cell r="S271">
            <v>0</v>
          </cell>
          <cell r="T271">
            <v>0</v>
          </cell>
          <cell r="U271">
            <v>0</v>
          </cell>
          <cell r="V271">
            <v>0</v>
          </cell>
          <cell r="W271">
            <v>0</v>
          </cell>
          <cell r="X271">
            <v>0</v>
          </cell>
          <cell r="Y271">
            <v>0</v>
          </cell>
          <cell r="Z271">
            <v>0</v>
          </cell>
          <cell r="AA271">
            <v>0</v>
          </cell>
          <cell r="AB271" t="str">
            <v>input</v>
          </cell>
          <cell r="AC271">
            <v>0</v>
          </cell>
          <cell r="AD271">
            <v>0</v>
          </cell>
          <cell r="AE271">
            <v>0</v>
          </cell>
          <cell r="AF271">
            <v>0</v>
          </cell>
          <cell r="AH271">
            <v>0</v>
          </cell>
          <cell r="AI271">
            <v>0</v>
          </cell>
          <cell r="AJ271">
            <v>0</v>
          </cell>
        </row>
        <row r="272">
          <cell r="A272" t="str">
            <v>TSX:ENB_CEO_2010</v>
          </cell>
          <cell r="B272" t="str">
            <v>TSX:ENB</v>
          </cell>
          <cell r="C272" t="str">
            <v>Enbridge Inc.</v>
          </cell>
          <cell r="D272">
            <v>2010</v>
          </cell>
          <cell r="E272">
            <v>12</v>
          </cell>
          <cell r="F272" t="str">
            <v>CAD</v>
          </cell>
          <cell r="G272">
            <v>1</v>
          </cell>
          <cell r="H272">
            <v>0</v>
          </cell>
          <cell r="I272">
            <v>0</v>
          </cell>
          <cell r="J272" t="str">
            <v>CEO</v>
          </cell>
          <cell r="K272">
            <v>35686.84044</v>
          </cell>
          <cell r="L272">
            <v>66603.84044</v>
          </cell>
          <cell r="M272">
            <v>0</v>
          </cell>
          <cell r="N272">
            <v>0</v>
          </cell>
          <cell r="O272">
            <v>0</v>
          </cell>
          <cell r="P272">
            <v>0</v>
          </cell>
          <cell r="Q272">
            <v>0</v>
          </cell>
          <cell r="R272" t="str">
            <v>input</v>
          </cell>
          <cell r="S272">
            <v>0</v>
          </cell>
          <cell r="T272">
            <v>0</v>
          </cell>
          <cell r="U272">
            <v>0</v>
          </cell>
          <cell r="V272">
            <v>0</v>
          </cell>
          <cell r="W272">
            <v>0</v>
          </cell>
          <cell r="X272">
            <v>0</v>
          </cell>
          <cell r="Y272">
            <v>0</v>
          </cell>
          <cell r="Z272">
            <v>0</v>
          </cell>
          <cell r="AA272">
            <v>0</v>
          </cell>
          <cell r="AB272" t="str">
            <v>input</v>
          </cell>
          <cell r="AC272">
            <v>0</v>
          </cell>
          <cell r="AD272">
            <v>0</v>
          </cell>
          <cell r="AE272">
            <v>0</v>
          </cell>
          <cell r="AF272">
            <v>0</v>
          </cell>
          <cell r="AH272">
            <v>0</v>
          </cell>
          <cell r="AI272">
            <v>0</v>
          </cell>
          <cell r="AJ272">
            <v>0</v>
          </cell>
        </row>
        <row r="273">
          <cell r="A273" t="str">
            <v>TSX:ENB_CEO_Target</v>
          </cell>
          <cell r="B273" t="str">
            <v>TSX:ENB</v>
          </cell>
          <cell r="C273" t="str">
            <v>Enbridge Inc.</v>
          </cell>
          <cell r="D273" t="str">
            <v>Target</v>
          </cell>
          <cell r="E273">
            <v>9</v>
          </cell>
          <cell r="F273" t="str">
            <v>CAD</v>
          </cell>
          <cell r="G273">
            <v>1</v>
          </cell>
          <cell r="H273" t="str">
            <v>Al Monaco</v>
          </cell>
          <cell r="I273" t="str">
            <v>President and CEO</v>
          </cell>
          <cell r="J273" t="str">
            <v>CEO</v>
          </cell>
          <cell r="K273">
            <v>35686.84044</v>
          </cell>
          <cell r="L273">
            <v>66603.84044</v>
          </cell>
          <cell r="M273">
            <v>1000000</v>
          </cell>
          <cell r="N273">
            <v>1330000</v>
          </cell>
          <cell r="O273" t="str">
            <v>n/d</v>
          </cell>
          <cell r="P273">
            <v>1033550</v>
          </cell>
          <cell r="Q273">
            <v>1378066.6666666665</v>
          </cell>
          <cell r="R273">
            <v>1.0361403508771929</v>
          </cell>
          <cell r="S273">
            <v>0.9</v>
          </cell>
          <cell r="T273">
            <v>1.8</v>
          </cell>
          <cell r="U273">
            <v>1197000</v>
          </cell>
          <cell r="V273">
            <v>2708066.6666666665</v>
          </cell>
          <cell r="W273">
            <v>2527000</v>
          </cell>
          <cell r="X273">
            <v>3723999.9999999995</v>
          </cell>
          <cell r="Y273">
            <v>771256</v>
          </cell>
          <cell r="Z273">
            <v>3250100</v>
          </cell>
          <cell r="AA273">
            <v>0</v>
          </cell>
          <cell r="AB273">
            <v>3.023575939849624</v>
          </cell>
          <cell r="AC273">
            <v>4021356</v>
          </cell>
          <cell r="AD273">
            <v>0</v>
          </cell>
          <cell r="AE273">
            <v>6548356</v>
          </cell>
          <cell r="AF273" t="str">
            <v>Patrick Daniel retired on September 30, 2012. His successor, Al Monaco, was appointed President on February 27, 2012 and President and CEO on October 1, 2012. The data recorded represents Mr. Daniel's compensation and has been annualized. Additionally, we did not include the STIP and LTIP values prior to 2012 in the target calculations.</v>
          </cell>
          <cell r="AH273">
            <v>0</v>
          </cell>
          <cell r="AI273">
            <v>0</v>
          </cell>
          <cell r="AJ273">
            <v>0</v>
          </cell>
        </row>
        <row r="274">
          <cell r="A274" t="str">
            <v>TSX:ENB_CFO_2012</v>
          </cell>
          <cell r="B274" t="str">
            <v>TSX:ENB</v>
          </cell>
          <cell r="C274" t="str">
            <v>Enbridge Inc.</v>
          </cell>
          <cell r="D274">
            <v>2012</v>
          </cell>
          <cell r="E274">
            <v>12</v>
          </cell>
          <cell r="F274" t="str">
            <v>CAD</v>
          </cell>
          <cell r="G274">
            <v>1</v>
          </cell>
          <cell r="H274" t="str">
            <v>Richard Bird</v>
          </cell>
          <cell r="I274" t="str">
            <v>EVP, CFO &amp; Corporate Development</v>
          </cell>
          <cell r="J274" t="str">
            <v>CFO</v>
          </cell>
          <cell r="K274">
            <v>35686.84044</v>
          </cell>
          <cell r="L274">
            <v>66603.84044</v>
          </cell>
          <cell r="M274">
            <v>725000</v>
          </cell>
          <cell r="N274">
            <v>725000</v>
          </cell>
          <cell r="O274" t="str">
            <v>n/d</v>
          </cell>
          <cell r="P274">
            <v>622830</v>
          </cell>
          <cell r="Q274">
            <v>622830</v>
          </cell>
          <cell r="R274">
            <v>0.85907586206896547</v>
          </cell>
          <cell r="S274">
            <v>0.65</v>
          </cell>
          <cell r="T274">
            <v>1.3</v>
          </cell>
          <cell r="U274">
            <v>471250</v>
          </cell>
          <cell r="V274">
            <v>1347830</v>
          </cell>
          <cell r="W274">
            <v>1196250</v>
          </cell>
          <cell r="X274">
            <v>1667499.9999999998</v>
          </cell>
          <cell r="Y274">
            <v>585718</v>
          </cell>
          <cell r="Z274">
            <v>3287810</v>
          </cell>
          <cell r="AA274">
            <v>3873528</v>
          </cell>
          <cell r="AB274">
            <v>5.3427972413793103</v>
          </cell>
          <cell r="AC274">
            <v>3873528</v>
          </cell>
          <cell r="AD274">
            <v>5221358</v>
          </cell>
          <cell r="AE274">
            <v>0</v>
          </cell>
          <cell r="AF274" t="str">
            <v>Richard Bird's target % for his bonus was increased from 50% to 65% on March 1, 2012 to reflect increases in responsibilities.</v>
          </cell>
          <cell r="AH274" t="str">
            <v>2X base salary</v>
          </cell>
          <cell r="AI274" t="str">
            <v>4 years</v>
          </cell>
          <cell r="AJ274">
            <v>0</v>
          </cell>
        </row>
        <row r="275">
          <cell r="A275" t="str">
            <v>TSX:ENB_CFO_2011</v>
          </cell>
          <cell r="B275" t="str">
            <v>TSX:ENB</v>
          </cell>
          <cell r="C275" t="str">
            <v>Enbridge Inc.</v>
          </cell>
          <cell r="D275">
            <v>2011</v>
          </cell>
          <cell r="E275">
            <v>12</v>
          </cell>
          <cell r="F275" t="str">
            <v>CAD</v>
          </cell>
          <cell r="G275">
            <v>1</v>
          </cell>
          <cell r="H275" t="str">
            <v>Richard Bird</v>
          </cell>
          <cell r="I275" t="str">
            <v>EVP, CFO &amp; Corporate Development</v>
          </cell>
          <cell r="J275" t="str">
            <v>CFO</v>
          </cell>
          <cell r="K275">
            <v>35686.84044</v>
          </cell>
          <cell r="L275">
            <v>66603.84044</v>
          </cell>
          <cell r="M275">
            <v>576800</v>
          </cell>
          <cell r="N275">
            <v>576800</v>
          </cell>
          <cell r="O275">
            <v>0</v>
          </cell>
          <cell r="P275">
            <v>592620</v>
          </cell>
          <cell r="Q275">
            <v>592620</v>
          </cell>
          <cell r="R275">
            <v>1.0274271844660194</v>
          </cell>
          <cell r="S275">
            <v>0</v>
          </cell>
          <cell r="T275">
            <v>0</v>
          </cell>
          <cell r="U275">
            <v>0</v>
          </cell>
          <cell r="V275">
            <v>0</v>
          </cell>
          <cell r="W275">
            <v>0</v>
          </cell>
          <cell r="X275">
            <v>0</v>
          </cell>
          <cell r="Y275">
            <v>390880</v>
          </cell>
          <cell r="Z275">
            <v>400000</v>
          </cell>
          <cell r="AA275">
            <v>790880</v>
          </cell>
          <cell r="AB275">
            <v>1.3711511789181692</v>
          </cell>
          <cell r="AC275">
            <v>790880</v>
          </cell>
          <cell r="AD275">
            <v>1960300</v>
          </cell>
          <cell r="AE275">
            <v>0</v>
          </cell>
          <cell r="AF275">
            <v>0</v>
          </cell>
          <cell r="AH275">
            <v>0</v>
          </cell>
          <cell r="AI275">
            <v>0</v>
          </cell>
          <cell r="AJ275">
            <v>0</v>
          </cell>
        </row>
        <row r="276">
          <cell r="A276" t="str">
            <v>TSX:ENB_CFO_2010</v>
          </cell>
          <cell r="B276" t="str">
            <v>TSX:ENB</v>
          </cell>
          <cell r="C276" t="str">
            <v>Enbridge Inc.</v>
          </cell>
          <cell r="D276">
            <v>2010</v>
          </cell>
          <cell r="E276">
            <v>12</v>
          </cell>
          <cell r="F276" t="str">
            <v>CAD</v>
          </cell>
          <cell r="G276">
            <v>1</v>
          </cell>
          <cell r="H276" t="str">
            <v>Richard Bird</v>
          </cell>
          <cell r="I276" t="str">
            <v>EVP, CFO &amp; Corporate Development</v>
          </cell>
          <cell r="J276" t="str">
            <v>CFO</v>
          </cell>
          <cell r="K276">
            <v>35686.84044</v>
          </cell>
          <cell r="L276">
            <v>66603.84044</v>
          </cell>
          <cell r="M276">
            <v>555000</v>
          </cell>
          <cell r="N276">
            <v>555000</v>
          </cell>
          <cell r="O276">
            <v>0</v>
          </cell>
          <cell r="P276">
            <v>362000</v>
          </cell>
          <cell r="Q276">
            <v>362000</v>
          </cell>
          <cell r="R276">
            <v>0.65225225225225225</v>
          </cell>
          <cell r="S276">
            <v>0</v>
          </cell>
          <cell r="T276">
            <v>0</v>
          </cell>
          <cell r="U276">
            <v>0</v>
          </cell>
          <cell r="V276">
            <v>0</v>
          </cell>
          <cell r="W276">
            <v>0</v>
          </cell>
          <cell r="X276">
            <v>0</v>
          </cell>
          <cell r="Y276">
            <v>1157135</v>
          </cell>
          <cell r="Z276">
            <v>372400</v>
          </cell>
          <cell r="AA276">
            <v>1529535</v>
          </cell>
          <cell r="AB276">
            <v>2.755918918918919</v>
          </cell>
          <cell r="AC276">
            <v>1529535</v>
          </cell>
          <cell r="AD276">
            <v>2446535</v>
          </cell>
          <cell r="AE276">
            <v>0</v>
          </cell>
          <cell r="AF276">
            <v>0</v>
          </cell>
          <cell r="AH276">
            <v>0</v>
          </cell>
          <cell r="AI276">
            <v>0</v>
          </cell>
          <cell r="AJ276">
            <v>0</v>
          </cell>
        </row>
        <row r="277">
          <cell r="A277" t="str">
            <v>TSX:ENB_CFO_Target</v>
          </cell>
          <cell r="B277" t="str">
            <v>TSX:ENB</v>
          </cell>
          <cell r="C277" t="str">
            <v>Enbridge Inc.</v>
          </cell>
          <cell r="D277" t="str">
            <v>Target</v>
          </cell>
          <cell r="E277">
            <v>12</v>
          </cell>
          <cell r="F277" t="str">
            <v>CAD</v>
          </cell>
          <cell r="G277">
            <v>1</v>
          </cell>
          <cell r="H277" t="str">
            <v>Richard Bird</v>
          </cell>
          <cell r="I277" t="str">
            <v>EVP, CFO &amp; Corporate Development</v>
          </cell>
          <cell r="J277" t="str">
            <v>CFO</v>
          </cell>
          <cell r="K277">
            <v>35686.84044</v>
          </cell>
          <cell r="L277">
            <v>66603.84044</v>
          </cell>
          <cell r="M277">
            <v>725000</v>
          </cell>
          <cell r="N277">
            <v>725000</v>
          </cell>
          <cell r="O277" t="str">
            <v>n/d</v>
          </cell>
          <cell r="P277">
            <v>622830</v>
          </cell>
          <cell r="Q277">
            <v>622830</v>
          </cell>
          <cell r="R277">
            <v>0.85907586206896547</v>
          </cell>
          <cell r="S277">
            <v>0.65</v>
          </cell>
          <cell r="T277">
            <v>1.3</v>
          </cell>
          <cell r="U277">
            <v>471250</v>
          </cell>
          <cell r="V277">
            <v>1347830</v>
          </cell>
          <cell r="W277">
            <v>1196250</v>
          </cell>
          <cell r="X277">
            <v>1667499.9999999998</v>
          </cell>
          <cell r="Y277">
            <v>711244.33333333337</v>
          </cell>
          <cell r="Z277">
            <v>1353403.3333333333</v>
          </cell>
          <cell r="AA277">
            <v>0</v>
          </cell>
          <cell r="AB277">
            <v>3.1566224464054664</v>
          </cell>
          <cell r="AC277">
            <v>2288551.273643963</v>
          </cell>
          <cell r="AD277">
            <v>0</v>
          </cell>
          <cell r="AE277">
            <v>3484801.273643963</v>
          </cell>
          <cell r="AF277" t="str">
            <v>Richard Bird's target % for his bonus was increased from 50% to 65% on March 1, 2012 to reflect increases in responsibilities.</v>
          </cell>
          <cell r="AH277">
            <v>0</v>
          </cell>
          <cell r="AI277">
            <v>0</v>
          </cell>
          <cell r="AJ277">
            <v>0</v>
          </cell>
        </row>
        <row r="278">
          <cell r="A278" t="str">
            <v>TSX:ENB_NEO 1_2012</v>
          </cell>
          <cell r="B278" t="str">
            <v>TSX:ENB</v>
          </cell>
          <cell r="C278" t="str">
            <v>Enbridge Inc.</v>
          </cell>
          <cell r="D278">
            <v>2012</v>
          </cell>
          <cell r="E278">
            <v>7</v>
          </cell>
          <cell r="F278" t="str">
            <v>CAD</v>
          </cell>
          <cell r="G278">
            <v>1</v>
          </cell>
          <cell r="H278" t="str">
            <v>Stephen Wuori</v>
          </cell>
          <cell r="I278" t="str">
            <v>President, Liquids Pipelines &amp; Major Projects</v>
          </cell>
          <cell r="J278" t="str">
            <v>NEO 1</v>
          </cell>
          <cell r="K278">
            <v>35686.84044</v>
          </cell>
          <cell r="L278">
            <v>66603.84044</v>
          </cell>
          <cell r="M278">
            <v>700000</v>
          </cell>
          <cell r="N278">
            <v>1200000</v>
          </cell>
          <cell r="O278" t="str">
            <v>n/d</v>
          </cell>
          <cell r="P278">
            <v>610310</v>
          </cell>
          <cell r="Q278">
            <v>1046245.7142857142</v>
          </cell>
          <cell r="R278">
            <v>0.87187142857142852</v>
          </cell>
          <cell r="S278">
            <v>0.65</v>
          </cell>
          <cell r="T278">
            <v>1.3</v>
          </cell>
          <cell r="U278">
            <v>780000</v>
          </cell>
          <cell r="V278">
            <v>2246245.7142857141</v>
          </cell>
          <cell r="W278">
            <v>1980000</v>
          </cell>
          <cell r="X278">
            <v>2760000</v>
          </cell>
          <cell r="Y278">
            <v>611184</v>
          </cell>
          <cell r="Z278">
            <v>3211300</v>
          </cell>
          <cell r="AA278">
            <v>3822484</v>
          </cell>
          <cell r="AB278">
            <v>3.1854033333333334</v>
          </cell>
          <cell r="AC278">
            <v>3822484</v>
          </cell>
          <cell r="AD278">
            <v>6068729.7142857146</v>
          </cell>
          <cell r="AE278">
            <v>0</v>
          </cell>
          <cell r="AF278" t="str">
            <v>Stephen Wuori's target % for his bonus was increased from 50% to 65% on March 1, 2012 to reflect increases in responsibilities</v>
          </cell>
          <cell r="AH278" t="str">
            <v>2X base salary</v>
          </cell>
          <cell r="AI278" t="str">
            <v>4 years</v>
          </cell>
          <cell r="AJ278">
            <v>0</v>
          </cell>
        </row>
        <row r="279">
          <cell r="A279" t="str">
            <v>TSX:ENB_NEO 1_2011</v>
          </cell>
          <cell r="B279" t="str">
            <v>TSX:ENB</v>
          </cell>
          <cell r="C279" t="str">
            <v>Enbridge Inc.</v>
          </cell>
          <cell r="D279">
            <v>2011</v>
          </cell>
          <cell r="E279">
            <v>12</v>
          </cell>
          <cell r="F279" t="str">
            <v>CAD</v>
          </cell>
          <cell r="G279">
            <v>1</v>
          </cell>
          <cell r="H279" t="str">
            <v>Stephen Wuori</v>
          </cell>
          <cell r="I279" t="str">
            <v>President, Liquids Pipelines &amp; Major Projects</v>
          </cell>
          <cell r="J279" t="str">
            <v>NEO 1</v>
          </cell>
          <cell r="K279">
            <v>35686.84044</v>
          </cell>
          <cell r="L279">
            <v>66603.84044</v>
          </cell>
          <cell r="M279">
            <v>605480</v>
          </cell>
          <cell r="N279">
            <v>605480</v>
          </cell>
          <cell r="O279">
            <v>0</v>
          </cell>
          <cell r="P279">
            <v>625340</v>
          </cell>
          <cell r="Q279">
            <v>625340</v>
          </cell>
          <cell r="R279">
            <v>1.0328004228050471</v>
          </cell>
          <cell r="S279">
            <v>0</v>
          </cell>
          <cell r="T279">
            <v>0</v>
          </cell>
          <cell r="U279">
            <v>0</v>
          </cell>
          <cell r="V279">
            <v>0</v>
          </cell>
          <cell r="W279">
            <v>0</v>
          </cell>
          <cell r="X279">
            <v>0</v>
          </cell>
          <cell r="Y279">
            <v>390880</v>
          </cell>
          <cell r="Z279">
            <v>400000</v>
          </cell>
          <cell r="AA279">
            <v>790880</v>
          </cell>
          <cell r="AB279">
            <v>1.3062033428024047</v>
          </cell>
          <cell r="AC279">
            <v>790880</v>
          </cell>
          <cell r="AD279">
            <v>2021700</v>
          </cell>
          <cell r="AE279">
            <v>0</v>
          </cell>
          <cell r="AF279">
            <v>0</v>
          </cell>
          <cell r="AH279">
            <v>0</v>
          </cell>
          <cell r="AI279">
            <v>0</v>
          </cell>
          <cell r="AJ279">
            <v>0</v>
          </cell>
        </row>
        <row r="280">
          <cell r="A280" t="str">
            <v>TSX:ENB_NEO 1_2010</v>
          </cell>
          <cell r="B280" t="str">
            <v>TSX:ENB</v>
          </cell>
          <cell r="C280" t="str">
            <v>Enbridge Inc.</v>
          </cell>
          <cell r="D280">
            <v>2010</v>
          </cell>
          <cell r="E280">
            <v>12</v>
          </cell>
          <cell r="F280" t="str">
            <v>CAD</v>
          </cell>
          <cell r="G280">
            <v>1</v>
          </cell>
          <cell r="H280" t="str">
            <v>Stephen Wuori</v>
          </cell>
          <cell r="I280" t="str">
            <v>President, Liquids Pipelines &amp; Major Projects</v>
          </cell>
          <cell r="J280" t="str">
            <v>NEO 1</v>
          </cell>
          <cell r="K280">
            <v>35686.84044</v>
          </cell>
          <cell r="L280">
            <v>66603.84044</v>
          </cell>
          <cell r="M280">
            <v>578223</v>
          </cell>
          <cell r="N280">
            <v>578223</v>
          </cell>
          <cell r="O280">
            <v>0</v>
          </cell>
          <cell r="P280">
            <v>343000</v>
          </cell>
          <cell r="Q280">
            <v>343000</v>
          </cell>
          <cell r="R280">
            <v>0.59319674243328269</v>
          </cell>
          <cell r="S280">
            <v>0</v>
          </cell>
          <cell r="T280">
            <v>0</v>
          </cell>
          <cell r="U280">
            <v>0</v>
          </cell>
          <cell r="V280">
            <v>0</v>
          </cell>
          <cell r="W280">
            <v>0</v>
          </cell>
          <cell r="X280">
            <v>0</v>
          </cell>
          <cell r="Y280">
            <v>1157135</v>
          </cell>
          <cell r="Z280">
            <v>372400</v>
          </cell>
          <cell r="AA280">
            <v>1529535</v>
          </cell>
          <cell r="AB280">
            <v>2.6452337592935597</v>
          </cell>
          <cell r="AC280">
            <v>1529535</v>
          </cell>
          <cell r="AD280">
            <v>2450758</v>
          </cell>
          <cell r="AE280">
            <v>0</v>
          </cell>
          <cell r="AF280">
            <v>0</v>
          </cell>
          <cell r="AH280">
            <v>0</v>
          </cell>
          <cell r="AI280">
            <v>0</v>
          </cell>
          <cell r="AJ280">
            <v>0</v>
          </cell>
        </row>
        <row r="281">
          <cell r="A281" t="str">
            <v>TSX:ENB_NEO 1_Target</v>
          </cell>
          <cell r="B281" t="str">
            <v>TSX:ENB</v>
          </cell>
          <cell r="C281" t="str">
            <v>Enbridge Inc.</v>
          </cell>
          <cell r="D281" t="str">
            <v>Target</v>
          </cell>
          <cell r="E281">
            <v>7</v>
          </cell>
          <cell r="F281" t="str">
            <v>CAD</v>
          </cell>
          <cell r="G281">
            <v>1</v>
          </cell>
          <cell r="H281" t="str">
            <v>Stephen Wuori</v>
          </cell>
          <cell r="I281" t="str">
            <v>President, Liquids Pipelines &amp; Major Projects</v>
          </cell>
          <cell r="J281" t="str">
            <v>NEO 1</v>
          </cell>
          <cell r="K281">
            <v>35686.84044</v>
          </cell>
          <cell r="L281">
            <v>66603.84044</v>
          </cell>
          <cell r="M281">
            <v>700000</v>
          </cell>
          <cell r="N281">
            <v>1200000</v>
          </cell>
          <cell r="O281" t="str">
            <v>n/d</v>
          </cell>
          <cell r="P281">
            <v>610310</v>
          </cell>
          <cell r="Q281">
            <v>1046245.7142857142</v>
          </cell>
          <cell r="R281">
            <v>0.87187142857142852</v>
          </cell>
          <cell r="S281">
            <v>0.65</v>
          </cell>
          <cell r="T281">
            <v>1.3</v>
          </cell>
          <cell r="U281">
            <v>780000</v>
          </cell>
          <cell r="V281">
            <v>2246245.7142857141</v>
          </cell>
          <cell r="W281">
            <v>1980000</v>
          </cell>
          <cell r="X281">
            <v>2760000</v>
          </cell>
          <cell r="Y281">
            <v>719733</v>
          </cell>
          <cell r="Z281">
            <v>1327900</v>
          </cell>
          <cell r="AA281">
            <v>0</v>
          </cell>
          <cell r="AB281">
            <v>2.3789468118097661</v>
          </cell>
          <cell r="AC281">
            <v>2854736.1741717192</v>
          </cell>
          <cell r="AD281">
            <v>0</v>
          </cell>
          <cell r="AE281">
            <v>4834736.1741717197</v>
          </cell>
          <cell r="AF281" t="str">
            <v>Stephen Wuori's target % for his bonus was increased from 50% to 65% on March 1, 2012 to reflect increases in responsibilities</v>
          </cell>
          <cell r="AH281">
            <v>0</v>
          </cell>
          <cell r="AI281">
            <v>0</v>
          </cell>
          <cell r="AJ281">
            <v>0</v>
          </cell>
        </row>
        <row r="282">
          <cell r="A282" t="str">
            <v>TSX:ENB_NEO 2_2012</v>
          </cell>
          <cell r="B282" t="str">
            <v>TSX:ENB</v>
          </cell>
          <cell r="C282" t="str">
            <v>Enbridge Inc.</v>
          </cell>
          <cell r="D282">
            <v>2012</v>
          </cell>
          <cell r="E282">
            <v>12</v>
          </cell>
          <cell r="F282" t="str">
            <v>CAD</v>
          </cell>
          <cell r="G282">
            <v>1</v>
          </cell>
          <cell r="H282" t="str">
            <v>David Robottom</v>
          </cell>
          <cell r="I282" t="str">
            <v>EVP and Chief Legal Officer</v>
          </cell>
          <cell r="J282" t="str">
            <v>NEO 2</v>
          </cell>
          <cell r="K282">
            <v>35686.84044</v>
          </cell>
          <cell r="L282">
            <v>66603.84044</v>
          </cell>
          <cell r="M282">
            <v>460830</v>
          </cell>
          <cell r="N282">
            <v>460830</v>
          </cell>
          <cell r="O282" t="str">
            <v>n/d</v>
          </cell>
          <cell r="P282">
            <v>309220</v>
          </cell>
          <cell r="Q282">
            <v>309220</v>
          </cell>
          <cell r="R282">
            <v>0.67100666189267189</v>
          </cell>
          <cell r="S282">
            <v>0.5</v>
          </cell>
          <cell r="T282">
            <v>1.3</v>
          </cell>
          <cell r="U282">
            <v>230415</v>
          </cell>
          <cell r="V282">
            <v>770050</v>
          </cell>
          <cell r="W282">
            <v>691245</v>
          </cell>
          <cell r="X282">
            <v>1059909</v>
          </cell>
          <cell r="Y282">
            <v>312868</v>
          </cell>
          <cell r="Z282">
            <v>1679525</v>
          </cell>
          <cell r="AA282">
            <v>1992393</v>
          </cell>
          <cell r="AB282">
            <v>4.3234880541631409</v>
          </cell>
          <cell r="AC282">
            <v>1992393</v>
          </cell>
          <cell r="AD282">
            <v>2762443</v>
          </cell>
          <cell r="AE282">
            <v>0</v>
          </cell>
          <cell r="AF282">
            <v>0</v>
          </cell>
          <cell r="AH282" t="str">
            <v>2X base salary</v>
          </cell>
          <cell r="AI282" t="str">
            <v>4 years</v>
          </cell>
          <cell r="AJ282">
            <v>0</v>
          </cell>
        </row>
        <row r="283">
          <cell r="A283" t="str">
            <v>TSX:ENB_NEO 2_2011</v>
          </cell>
          <cell r="B283" t="str">
            <v>TSX:ENB</v>
          </cell>
          <cell r="C283" t="str">
            <v>Enbridge Inc.</v>
          </cell>
          <cell r="D283">
            <v>2011</v>
          </cell>
          <cell r="E283">
            <v>12</v>
          </cell>
          <cell r="F283" t="str">
            <v>CAD</v>
          </cell>
          <cell r="G283">
            <v>1</v>
          </cell>
          <cell r="H283" t="str">
            <v>David Robottom</v>
          </cell>
          <cell r="I283" t="str">
            <v>EVP and Chief Legal Officer</v>
          </cell>
          <cell r="J283" t="str">
            <v>NEO 2</v>
          </cell>
          <cell r="K283">
            <v>35686.84044</v>
          </cell>
          <cell r="L283">
            <v>66603.84044</v>
          </cell>
          <cell r="M283">
            <v>443100</v>
          </cell>
          <cell r="N283">
            <v>443100</v>
          </cell>
          <cell r="O283">
            <v>0</v>
          </cell>
          <cell r="P283">
            <v>450380</v>
          </cell>
          <cell r="Q283">
            <v>450380</v>
          </cell>
          <cell r="R283">
            <v>1.0164296998420221</v>
          </cell>
          <cell r="S283">
            <v>0</v>
          </cell>
          <cell r="T283">
            <v>0</v>
          </cell>
          <cell r="U283">
            <v>0</v>
          </cell>
          <cell r="V283">
            <v>0</v>
          </cell>
          <cell r="W283">
            <v>0</v>
          </cell>
          <cell r="X283">
            <v>0</v>
          </cell>
          <cell r="Y283">
            <v>295952</v>
          </cell>
          <cell r="Z283">
            <v>303200</v>
          </cell>
          <cell r="AA283">
            <v>599152</v>
          </cell>
          <cell r="AB283">
            <v>1.3521823516136313</v>
          </cell>
          <cell r="AC283">
            <v>599152</v>
          </cell>
          <cell r="AD283">
            <v>1492632</v>
          </cell>
          <cell r="AE283">
            <v>0</v>
          </cell>
          <cell r="AF283">
            <v>0</v>
          </cell>
          <cell r="AH283">
            <v>0</v>
          </cell>
          <cell r="AI283">
            <v>0</v>
          </cell>
          <cell r="AJ283">
            <v>0</v>
          </cell>
        </row>
        <row r="284">
          <cell r="A284" t="str">
            <v>TSX:ENB_NEO 2_2010</v>
          </cell>
          <cell r="B284" t="str">
            <v>TSX:ENB</v>
          </cell>
          <cell r="C284" t="str">
            <v>Enbridge Inc.</v>
          </cell>
          <cell r="D284">
            <v>2010</v>
          </cell>
          <cell r="E284">
            <v>12</v>
          </cell>
          <cell r="F284" t="str">
            <v>CAD</v>
          </cell>
          <cell r="G284">
            <v>1</v>
          </cell>
          <cell r="H284" t="str">
            <v>David Robottom</v>
          </cell>
          <cell r="I284" t="str">
            <v>EVP and Chief Legal Officer</v>
          </cell>
          <cell r="J284" t="str">
            <v>NEO 2</v>
          </cell>
          <cell r="K284">
            <v>35686.84044</v>
          </cell>
          <cell r="L284">
            <v>66603.84044</v>
          </cell>
          <cell r="M284">
            <v>414500</v>
          </cell>
          <cell r="N284">
            <v>414500</v>
          </cell>
          <cell r="O284">
            <v>0</v>
          </cell>
          <cell r="P284">
            <v>276000</v>
          </cell>
          <cell r="Q284">
            <v>276000</v>
          </cell>
          <cell r="R284">
            <v>0.66586248492159228</v>
          </cell>
          <cell r="S284">
            <v>0</v>
          </cell>
          <cell r="T284">
            <v>0</v>
          </cell>
          <cell r="U284">
            <v>0</v>
          </cell>
          <cell r="V284">
            <v>0</v>
          </cell>
          <cell r="W284">
            <v>0</v>
          </cell>
          <cell r="X284">
            <v>0</v>
          </cell>
          <cell r="Y284">
            <v>793464</v>
          </cell>
          <cell r="Z284">
            <v>265335</v>
          </cell>
          <cell r="AA284">
            <v>1058799</v>
          </cell>
          <cell r="AB284">
            <v>2.5544004825090472</v>
          </cell>
          <cell r="AC284">
            <v>1058799</v>
          </cell>
          <cell r="AD284">
            <v>1749299</v>
          </cell>
          <cell r="AE284">
            <v>0</v>
          </cell>
          <cell r="AF284">
            <v>0</v>
          </cell>
          <cell r="AH284">
            <v>0</v>
          </cell>
          <cell r="AI284">
            <v>0</v>
          </cell>
          <cell r="AJ284">
            <v>0</v>
          </cell>
        </row>
        <row r="285">
          <cell r="A285" t="str">
            <v>TSX:ENB_NEO 2_Target</v>
          </cell>
          <cell r="B285" t="str">
            <v>TSX:ENB</v>
          </cell>
          <cell r="C285" t="str">
            <v>Enbridge Inc.</v>
          </cell>
          <cell r="D285" t="str">
            <v>Target</v>
          </cell>
          <cell r="E285">
            <v>12</v>
          </cell>
          <cell r="F285" t="str">
            <v>CAD</v>
          </cell>
          <cell r="G285">
            <v>1</v>
          </cell>
          <cell r="H285" t="str">
            <v>David Robottom</v>
          </cell>
          <cell r="I285" t="str">
            <v>EVP and Chief Legal Officer</v>
          </cell>
          <cell r="J285" t="str">
            <v>NEO 2</v>
          </cell>
          <cell r="K285">
            <v>35686.84044</v>
          </cell>
          <cell r="L285">
            <v>66603.84044</v>
          </cell>
          <cell r="M285">
            <v>460830</v>
          </cell>
          <cell r="N285">
            <v>460830</v>
          </cell>
          <cell r="O285" t="str">
            <v>n/d</v>
          </cell>
          <cell r="P285">
            <v>309220</v>
          </cell>
          <cell r="Q285">
            <v>309220</v>
          </cell>
          <cell r="R285">
            <v>0.67100666189267189</v>
          </cell>
          <cell r="S285">
            <v>0.5</v>
          </cell>
          <cell r="T285">
            <v>1.3</v>
          </cell>
          <cell r="U285">
            <v>230415</v>
          </cell>
          <cell r="V285">
            <v>770050</v>
          </cell>
          <cell r="W285">
            <v>691245</v>
          </cell>
          <cell r="X285">
            <v>1059909</v>
          </cell>
          <cell r="Y285">
            <v>467428</v>
          </cell>
          <cell r="Z285">
            <v>749353.33333333337</v>
          </cell>
          <cell r="AA285">
            <v>0</v>
          </cell>
          <cell r="AB285">
            <v>2.7433569627619399</v>
          </cell>
          <cell r="AC285">
            <v>1264221.1891495849</v>
          </cell>
          <cell r="AD285">
            <v>0</v>
          </cell>
          <cell r="AE285">
            <v>1955466.1891495849</v>
          </cell>
          <cell r="AF285">
            <v>0</v>
          </cell>
          <cell r="AH285">
            <v>0</v>
          </cell>
          <cell r="AI285">
            <v>0</v>
          </cell>
          <cell r="AJ285">
            <v>0</v>
          </cell>
        </row>
        <row r="286">
          <cell r="A286" t="str">
            <v>TSX:ENB_NEO 3_2012</v>
          </cell>
          <cell r="B286" t="str">
            <v>TSX:ENB</v>
          </cell>
          <cell r="C286" t="str">
            <v>Enbridge Inc.</v>
          </cell>
          <cell r="D286">
            <v>2012</v>
          </cell>
          <cell r="E286">
            <v>12</v>
          </cell>
          <cell r="F286" t="str">
            <v>CAD</v>
          </cell>
          <cell r="G286">
            <v>1</v>
          </cell>
          <cell r="H286" t="str">
            <v>Janet Holder</v>
          </cell>
          <cell r="I286" t="str">
            <v>EVP, Western Access</v>
          </cell>
          <cell r="J286" t="str">
            <v>NEO 3</v>
          </cell>
          <cell r="K286">
            <v>35686.84044</v>
          </cell>
          <cell r="L286">
            <v>66603.84044</v>
          </cell>
          <cell r="M286">
            <v>449400</v>
          </cell>
          <cell r="N286">
            <v>449400</v>
          </cell>
          <cell r="O286" t="str">
            <v>n/d</v>
          </cell>
          <cell r="P286">
            <v>306730</v>
          </cell>
          <cell r="Q286">
            <v>306730</v>
          </cell>
          <cell r="R286">
            <v>0.68253226524254562</v>
          </cell>
          <cell r="S286">
            <v>0.5</v>
          </cell>
          <cell r="T286">
            <v>1.3</v>
          </cell>
          <cell r="U286">
            <v>224700</v>
          </cell>
          <cell r="V286">
            <v>756130</v>
          </cell>
          <cell r="W286">
            <v>674100</v>
          </cell>
          <cell r="X286">
            <v>1033619.9999999999</v>
          </cell>
          <cell r="Y286">
            <v>294678</v>
          </cell>
          <cell r="Z286">
            <v>1629600</v>
          </cell>
          <cell r="AA286">
            <v>1924278</v>
          </cell>
          <cell r="AB286">
            <v>4.2818825100133511</v>
          </cell>
          <cell r="AC286">
            <v>1924278</v>
          </cell>
          <cell r="AD286">
            <v>2680408</v>
          </cell>
          <cell r="AE286">
            <v>0</v>
          </cell>
          <cell r="AF286">
            <v>0</v>
          </cell>
          <cell r="AH286" t="str">
            <v>2X base salary</v>
          </cell>
          <cell r="AI286" t="str">
            <v>4 years</v>
          </cell>
          <cell r="AJ286">
            <v>0</v>
          </cell>
        </row>
        <row r="287">
          <cell r="A287" t="str">
            <v>TSX:ENB_NEO 3_2011</v>
          </cell>
          <cell r="B287" t="str">
            <v>TSX:ENB</v>
          </cell>
          <cell r="C287" t="str">
            <v>Enbridge Inc.</v>
          </cell>
          <cell r="D287">
            <v>2011</v>
          </cell>
          <cell r="E287">
            <v>12</v>
          </cell>
          <cell r="F287" t="str">
            <v>CAD</v>
          </cell>
          <cell r="G287">
            <v>1</v>
          </cell>
          <cell r="H287" t="str">
            <v>Janet Holder</v>
          </cell>
          <cell r="I287" t="str">
            <v>EVP, Western Access</v>
          </cell>
          <cell r="J287" t="str">
            <v>NEO 3</v>
          </cell>
          <cell r="K287">
            <v>35686.84044</v>
          </cell>
          <cell r="L287">
            <v>66603.84044</v>
          </cell>
          <cell r="M287">
            <v>420000</v>
          </cell>
          <cell r="N287">
            <v>420000</v>
          </cell>
          <cell r="O287">
            <v>0</v>
          </cell>
          <cell r="P287">
            <v>349580</v>
          </cell>
          <cell r="Q287">
            <v>349580</v>
          </cell>
          <cell r="R287">
            <v>0.83233333333333337</v>
          </cell>
          <cell r="S287">
            <v>0</v>
          </cell>
          <cell r="T287">
            <v>0</v>
          </cell>
          <cell r="U287">
            <v>0</v>
          </cell>
          <cell r="V287">
            <v>0</v>
          </cell>
          <cell r="W287">
            <v>0</v>
          </cell>
          <cell r="X287">
            <v>0</v>
          </cell>
          <cell r="Y287">
            <v>335040</v>
          </cell>
          <cell r="Z287">
            <v>320000</v>
          </cell>
          <cell r="AA287">
            <v>655040</v>
          </cell>
          <cell r="AB287">
            <v>1.5596190476190477</v>
          </cell>
          <cell r="AC287">
            <v>655040</v>
          </cell>
          <cell r="AD287">
            <v>1424620</v>
          </cell>
          <cell r="AE287">
            <v>0</v>
          </cell>
          <cell r="AF287">
            <v>0</v>
          </cell>
          <cell r="AH287">
            <v>0</v>
          </cell>
          <cell r="AI287">
            <v>0</v>
          </cell>
          <cell r="AJ287">
            <v>0</v>
          </cell>
        </row>
        <row r="288">
          <cell r="A288" t="str">
            <v>TSX:ENB_NEO 3_2010</v>
          </cell>
          <cell r="B288" t="str">
            <v>TSX:ENB</v>
          </cell>
          <cell r="C288" t="str">
            <v>Enbridge Inc.</v>
          </cell>
          <cell r="D288">
            <v>2010</v>
          </cell>
          <cell r="E288">
            <v>12</v>
          </cell>
          <cell r="F288" t="str">
            <v>CAD</v>
          </cell>
          <cell r="G288">
            <v>1</v>
          </cell>
          <cell r="H288" t="str">
            <v>Janet Holder</v>
          </cell>
          <cell r="I288" t="str">
            <v>EVP, Western Access</v>
          </cell>
          <cell r="J288" t="str">
            <v>NEO 3</v>
          </cell>
          <cell r="K288">
            <v>35686.84044</v>
          </cell>
          <cell r="L288">
            <v>66603.84044</v>
          </cell>
          <cell r="M288">
            <v>340975</v>
          </cell>
          <cell r="N288">
            <v>340975</v>
          </cell>
          <cell r="O288">
            <v>0</v>
          </cell>
          <cell r="P288">
            <v>244000</v>
          </cell>
          <cell r="Q288">
            <v>244000</v>
          </cell>
          <cell r="R288">
            <v>0.71559498496957252</v>
          </cell>
          <cell r="S288">
            <v>0</v>
          </cell>
          <cell r="T288">
            <v>0</v>
          </cell>
          <cell r="U288">
            <v>0</v>
          </cell>
          <cell r="V288">
            <v>0</v>
          </cell>
          <cell r="W288">
            <v>0</v>
          </cell>
          <cell r="X288">
            <v>0</v>
          </cell>
          <cell r="Y288">
            <v>160582</v>
          </cell>
          <cell r="Z288">
            <v>636172</v>
          </cell>
          <cell r="AA288">
            <v>796754</v>
          </cell>
          <cell r="AB288">
            <v>2.3366933059608477</v>
          </cell>
          <cell r="AC288">
            <v>796754</v>
          </cell>
          <cell r="AD288">
            <v>1381729</v>
          </cell>
          <cell r="AE288">
            <v>0</v>
          </cell>
          <cell r="AF288">
            <v>0</v>
          </cell>
          <cell r="AH288">
            <v>0</v>
          </cell>
          <cell r="AI288">
            <v>0</v>
          </cell>
          <cell r="AJ288">
            <v>0</v>
          </cell>
        </row>
        <row r="289">
          <cell r="A289" t="str">
            <v>TSX:ENB_NEO 3_Target</v>
          </cell>
          <cell r="B289" t="str">
            <v>TSX:ENB</v>
          </cell>
          <cell r="C289" t="str">
            <v>Enbridge Inc.</v>
          </cell>
          <cell r="D289" t="str">
            <v>Target</v>
          </cell>
          <cell r="E289">
            <v>12</v>
          </cell>
          <cell r="F289" t="str">
            <v>CAD</v>
          </cell>
          <cell r="G289">
            <v>1</v>
          </cell>
          <cell r="H289" t="str">
            <v>Janet Holder</v>
          </cell>
          <cell r="I289" t="str">
            <v>EVP, Western Access</v>
          </cell>
          <cell r="J289" t="str">
            <v>NEO 3</v>
          </cell>
          <cell r="K289">
            <v>35686.84044</v>
          </cell>
          <cell r="L289">
            <v>66603.84044</v>
          </cell>
          <cell r="M289">
            <v>449400</v>
          </cell>
          <cell r="N289">
            <v>449400</v>
          </cell>
          <cell r="O289" t="str">
            <v>n/d</v>
          </cell>
          <cell r="P289">
            <v>306730</v>
          </cell>
          <cell r="Q289">
            <v>306730</v>
          </cell>
          <cell r="R289">
            <v>0.68253226524254562</v>
          </cell>
          <cell r="S289">
            <v>0.5</v>
          </cell>
          <cell r="T289">
            <v>1.3</v>
          </cell>
          <cell r="U289">
            <v>224700</v>
          </cell>
          <cell r="V289">
            <v>756130</v>
          </cell>
          <cell r="W289">
            <v>674100</v>
          </cell>
          <cell r="X289">
            <v>1033619.9999999999</v>
          </cell>
          <cell r="Y289">
            <v>263433.33333333331</v>
          </cell>
          <cell r="Z289">
            <v>861924</v>
          </cell>
          <cell r="AA289">
            <v>0</v>
          </cell>
          <cell r="AB289">
            <v>2.7260649545310822</v>
          </cell>
          <cell r="AC289">
            <v>1225093.5905662684</v>
          </cell>
          <cell r="AD289">
            <v>0</v>
          </cell>
          <cell r="AE289">
            <v>1899193.5905662684</v>
          </cell>
          <cell r="AF289">
            <v>0</v>
          </cell>
          <cell r="AH289">
            <v>0</v>
          </cell>
          <cell r="AI289">
            <v>0</v>
          </cell>
          <cell r="AJ289">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s"/>
      <sheetName val="_CIQHiddenCacheSheet"/>
      <sheetName val="Raw Data"/>
      <sheetName val="CIQ_LinkingNames"/>
      <sheetName val="Summary"/>
      <sheetName val="Director at Large"/>
      <sheetName val="Board Chair or Lead"/>
      <sheetName val="Profile 1"/>
      <sheetName val="Profile 2"/>
      <sheetName val="Profile 3"/>
      <sheetName val="DaL Chart"/>
      <sheetName val="BC Chart"/>
      <sheetName val="Summary Chart"/>
      <sheetName val="Com. Chair Fees"/>
      <sheetName val="Com. Member Fees"/>
      <sheetName val="SOG"/>
      <sheetName val="# Mtgs"/>
      <sheetName val="Footnotes"/>
      <sheetName val="Peer Group"/>
      <sheetName val="Input"/>
      <sheetName val="Master - Summary"/>
      <sheetName val="CEO"/>
      <sheetName val="CEO Unaged"/>
      <sheetName val="CFO"/>
      <sheetName val="COO"/>
      <sheetName val="NEO1"/>
      <sheetName val="NEO2"/>
      <sheetName val="NEO3"/>
      <sheetName val="Master - Charts"/>
      <sheetName val="NEO4"/>
      <sheetName val="NEO5"/>
      <sheetName val="CEO - Charts"/>
      <sheetName val="CFO - Charts"/>
      <sheetName val="COO - Charts"/>
      <sheetName val="NEO1 - Charts"/>
      <sheetName val="NEO2 - Charts"/>
      <sheetName val="NEO3 - Charts"/>
      <sheetName val="NEO4 - Charts"/>
      <sheetName val="NEO5 - Charts"/>
      <sheetName val="Change in TDC"/>
      <sheetName val="CEO YoY Comparison"/>
      <sheetName val="CFO YoY Comparison"/>
      <sheetName val="COO YoY Comparison"/>
      <sheetName val="NEO1 YoY Comparison"/>
      <sheetName val="NEO2 YoY Comparison"/>
      <sheetName val="NEO3 YoY Comparison"/>
      <sheetName val="NEO4 YoY Comparison"/>
      <sheetName val="NEO5 YoY Comparison"/>
      <sheetName val="Master - LTI Review"/>
      <sheetName val="Tab-Sort"/>
    </sheetNames>
    <sheetDataSet>
      <sheetData sheetId="0"/>
      <sheetData sheetId="1">
        <row r="2">
          <cell r="F2" t="str">
            <v>CAD</v>
          </cell>
        </row>
      </sheetData>
      <sheetData sheetId="2"/>
      <sheetData sheetId="3">
        <row r="3">
          <cell r="E3" t="str">
            <v>Look-Up</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D4"/>
        </row>
      </sheetData>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persons/person.xml><?xml version="1.0" encoding="utf-8"?>
<personList xmlns="http://schemas.microsoft.com/office/spreadsheetml/2018/threadedcomments" xmlns:x="http://schemas.openxmlformats.org/spreadsheetml/2006/main">
  <person displayName="Jenny Mun" id="{CBACAB1E-5FDB-49BC-B2D1-5B2C06870F94}" userId="S::jmun@hugessen.com::256137b7-0635-4cf2-bbcb-cbebdf1c6c5d" providerId="AD"/>
  <person displayName="Andena Xhiku" id="{BADCD4B0-F7DE-4818-8479-5FF8081476FD}" userId="S::axhiku@hugessen.com::65784403-4b29-4d68-aa5a-eb2cfba35a4d" providerId="AD"/>
  <person displayName="Austin Hanlan" id="{2566AA3E-2FD4-42DC-8C11-D3A5F85CCC8C}" userId="S::ahanlan@hugessen.com::0cfb5f09-e2b2-44f7-86b8-8a187dd52e71" providerId="AD"/>
  <person displayName="Solomon Coupal" id="{27435E18-F4BE-477D-903F-1313D68C3605}" userId="S::scoupal@hugessen.com::0acf52d6-2eba-4f96-a1f4-695bbbb4b068" providerId="AD"/>
  <person displayName="Tenyang Dorjee" id="{69A466B0-5366-4444-9E65-8AB4F2F94C83}" userId="S::tdorjee@hugessen.com::1d5d4c7c-e799-48a2-a1ab-f14101539104" providerId="AD"/>
  <person displayName="Ashton Seebaran" id="{89F94548-07FB-42E7-841A-D7D7103B0334}" userId="S::aseebaran@hugessen.com::cbb46a02-b661-4e06-8f10-5dd4a56441af" providerId="AD"/>
  <person displayName="Hosseyn Al-Moussawi-Wasserman" id="{82CDF0FC-5156-463F-8C34-5D4C4220B3FD}" userId="S::hal-moussawi-wasserman@hugessen.com::b6dc9190-24ff-4a98-900a-986e255a1030" providerId="AD"/>
</personList>
</file>

<file path=xl/theme/theme1.xml><?xml version="1.0" encoding="utf-8"?>
<a:theme xmlns:a="http://schemas.openxmlformats.org/drawingml/2006/main" name="Office Theme 2007 - 2010">
  <a:themeElements>
    <a:clrScheme name="Hugessen1">
      <a:dk1>
        <a:sysClr val="windowText" lastClr="000000"/>
      </a:dk1>
      <a:lt1>
        <a:sysClr val="window" lastClr="FFFFFF"/>
      </a:lt1>
      <a:dk2>
        <a:srgbClr val="5F6269"/>
      </a:dk2>
      <a:lt2>
        <a:srgbClr val="002957"/>
      </a:lt2>
      <a:accent1>
        <a:srgbClr val="F0531E"/>
      </a:accent1>
      <a:accent2>
        <a:srgbClr val="002957"/>
      </a:accent2>
      <a:accent3>
        <a:srgbClr val="C6D9F1"/>
      </a:accent3>
      <a:accent4>
        <a:srgbClr val="002957"/>
      </a:accent4>
      <a:accent5>
        <a:srgbClr val="E6B9B8"/>
      </a:accent5>
      <a:accent6>
        <a:srgbClr val="632523"/>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R53" dT="2025-06-25T02:19:20.36" personId="{2566AA3E-2FD4-42DC-8C11-D3A5F85CCC8C}" id="{17FD1D1E-A6E1-4641-8202-4D06E8BA3CA3}">
    <text>Disclosed in CAD</text>
  </threadedComment>
  <threadedComment ref="AA53" dT="2025-06-25T02:41:22.59" personId="{2566AA3E-2FD4-42DC-8C11-D3A5F85CCC8C}" id="{ECB9D6BF-C46D-48E7-8E02-814AC1DBDF50}">
    <text>55% PSUs, 45% RSUs</text>
  </threadedComment>
  <threadedComment ref="S64" dT="2025-06-25T02:46:45.13" personId="{2566AA3E-2FD4-42DC-8C11-D3A5F85CCC8C}" id="{523ABB12-9820-4EF3-B81A-049C8E08C1EB}">
    <text>Removed $75k CAD one-time award</text>
  </threadedComment>
  <threadedComment ref="AB68" dT="2025-06-25T03:51:17.89" personId="{2566AA3E-2FD4-42DC-8C11-D3A5F85CCC8C}" id="{5662FBD7-0627-4E08-993F-465D89F5B19E}">
    <text>New mix: 50/50 Options/PSUs</text>
  </threadedComment>
  <threadedComment ref="AI68" dT="2025-06-25T02:55:04.36" personId="{2566AA3E-2FD4-42DC-8C11-D3A5F85CCC8C}" id="{FFB3BECF-6DE1-4E3B-B423-88AB541AD594}">
    <text>2025 target</text>
  </threadedComment>
  <threadedComment ref="AN68" dT="2025-08-29T21:42:19.37" personId="{2566AA3E-2FD4-42DC-8C11-D3A5F85CCC8C}" id="{01509358-0E9C-42E5-8543-CD412BA33533}">
    <text>No pension plan</text>
  </threadedComment>
  <threadedComment ref="AA73" dT="2024-06-18T00:29:26.76" personId="{27435E18-F4BE-477D-903F-1313D68C3605}" id="{CBDD3867-7599-47CC-9E77-57F0480C43D6}">
    <text>Consistent with last year - exclude one-time award (hire)</text>
  </threadedComment>
  <threadedComment ref="AA76" dT="2024-06-18T00:29:26.76" personId="{27435E18-F4BE-477D-903F-1313D68C3605}" id="{3897AA5C-717E-4807-A91B-F8AFF8451B8C}">
    <text>Consistent with last year - exclude one-time award (hire)</text>
  </threadedComment>
  <threadedComment ref="AA83" dT="2025-06-25T04:13:33.94" personId="{2566AA3E-2FD4-42DC-8C11-D3A5F85CCC8C}" id="{6F85C89A-CAA0-4E23-BA15-AB7C0C7B2B8E}">
    <text>25% RSUs, 50% PSUs, 25% Options</text>
  </threadedComment>
  <threadedComment ref="AI83" dT="2025-06-25T04:07:56.41" personId="{2566AA3E-2FD4-42DC-8C11-D3A5F85CCC8C}" id="{A59DB50C-53A0-4744-A095-25EE42E95734}">
    <text>Taken from last year’s benchmarking - no mention of change in this report</text>
  </threadedComment>
  <threadedComment ref="AA85" dT="2024-06-18T00:54:51.02" personId="{27435E18-F4BE-477D-903F-1313D68C3605}" id="{7DE98285-41D6-4623-96F2-4175662720A2}">
    <text>Adj ltip mix to reflect last year's approach</text>
  </threadedComment>
  <threadedComment ref="AA97" dT="2024-06-18T00:54:51.02" personId="{27435E18-F4BE-477D-903F-1313D68C3605}" id="{ADE0473B-AD13-474B-A9AC-314DD14F03D7}">
    <text>Adj ltip mix to reflect last year's approach</text>
  </threadedComment>
  <threadedComment ref="AA99" dT="2025-06-25T14:48:19.09" personId="{27435E18-F4BE-477D-903F-1313D68C3605}" id="{CCAEDD98-564E-45B0-A648-D01709B389CA}">
    <text>2023 and 2022 adjusted for one-time awards and different LTIP mix – per last year’s data collection</text>
  </threadedComment>
  <threadedComment ref="AB99" dT="2025-06-25T14:48:19.09" personId="{27435E18-F4BE-477D-903F-1313D68C3605}" id="{80487819-98F8-4545-8A62-253348C668DA}">
    <text>2023 and 2022 adjusted for one-time awards and different LTIP mix – per last year’s data collection</text>
  </threadedComment>
  <threadedComment ref="AC99" dT="2025-06-25T14:48:19.09" personId="{27435E18-F4BE-477D-903F-1313D68C3605}" id="{DD0D8569-A0AF-4BE6-B212-D2C1A061BDCF}">
    <text>2023 and 2022 adjusted for one-time awards and different LTIP mix – per last year’s data collection</text>
  </threadedComment>
  <threadedComment ref="AD99" dT="2025-06-25T14:48:19.09" personId="{27435E18-F4BE-477D-903F-1313D68C3605}" id="{D37063B3-7F99-4301-B7BF-0D5B2E7F094C}">
    <text>2023 and 2022 adjusted for one-time awards and different LTIP mix – per last year’s data collection</text>
  </threadedComment>
  <threadedComment ref="AA100" dT="2025-06-25T14:48:19.09" personId="{27435E18-F4BE-477D-903F-1313D68C3605}" id="{1ABE3305-59EE-430C-94B4-CEE78B2F4854}">
    <text>2023 and 2022 adjusted for one-time awards and different LTIP mix – per last year’s data collection</text>
  </threadedComment>
  <threadedComment ref="AB100" dT="2025-06-25T14:48:19.09" personId="{27435E18-F4BE-477D-903F-1313D68C3605}" id="{C81B8905-FA38-4D2A-86EB-64AF82F53D39}">
    <text>2023 and 2022 adjusted for one-time awards and different LTIP mix – per last year’s data collection</text>
  </threadedComment>
  <threadedComment ref="AC100" dT="2025-06-25T14:48:19.09" personId="{27435E18-F4BE-477D-903F-1313D68C3605}" id="{E1F0B48A-586B-4604-9BE3-A8EDA21B728B}">
    <text>2023 and 2022 adjusted for one-time awards and different LTIP mix – per last year’s data collection</text>
  </threadedComment>
  <threadedComment ref="AD100" dT="2025-06-25T14:48:19.09" personId="{27435E18-F4BE-477D-903F-1313D68C3605}" id="{2F4AE565-3113-4D74-9936-3B2A0768C304}">
    <text>2023 and 2022 adjusted for one-time awards and different LTIP mix – per last year’s data collection</text>
  </threadedComment>
  <threadedComment ref="AA102" dT="2025-06-25T14:48:19.09" personId="{27435E18-F4BE-477D-903F-1313D68C3605}" id="{1EA5E0D0-94A5-4C09-90C4-EFABEA954DCB}">
    <text>2023 and 2022 adjusted for one-time awards and different LTIP mix – per last year’s data collection</text>
  </threadedComment>
  <threadedComment ref="AB102" dT="2025-06-25T14:48:19.09" personId="{27435E18-F4BE-477D-903F-1313D68C3605}" id="{66FD5F50-FC73-4D9A-A4E8-62B316435DCA}">
    <text>2023 and 2022 adjusted for one-time awards and different LTIP mix – per last year’s data collection</text>
  </threadedComment>
  <threadedComment ref="AC102" dT="2025-06-25T14:48:19.09" personId="{27435E18-F4BE-477D-903F-1313D68C3605}" id="{FAA9198A-14FB-4F02-A062-9A75A74636E5}">
    <text>2023 and 2022 adjusted for one-time awards and different LTIP mix – per last year’s data collection</text>
  </threadedComment>
  <threadedComment ref="AD102" dT="2025-06-25T14:48:19.09" personId="{27435E18-F4BE-477D-903F-1313D68C3605}" id="{68542A90-3B0E-4B22-BBCE-862D1CE0DE55}">
    <text>2023 and 2022 adjusted for one-time awards and different LTIP mix – per last year’s data collection</text>
  </threadedComment>
  <threadedComment ref="AA103" dT="2025-06-25T14:48:19.09" personId="{27435E18-F4BE-477D-903F-1313D68C3605}" id="{8CA805BF-3006-49B8-9C2A-CB55E0CE291F}">
    <text>2023 and 2022 adjusted for one-time awards and different LTIP mix – per last year’s data collection</text>
  </threadedComment>
  <threadedComment ref="AB103" dT="2025-06-25T14:48:19.09" personId="{27435E18-F4BE-477D-903F-1313D68C3605}" id="{5DCB6D16-8575-4786-A855-892BB109453E}">
    <text>2023 and 2022 adjusted for one-time awards and different LTIP mix – per last year’s data collection</text>
  </threadedComment>
  <threadedComment ref="AC103" dT="2025-06-25T14:48:19.09" personId="{27435E18-F4BE-477D-903F-1313D68C3605}" id="{8B9459B3-B544-42A5-80E4-8F1BB39B0DEA}">
    <text>2023 and 2022 adjusted for one-time awards and different LTIP mix – per last year’s data collection</text>
  </threadedComment>
  <threadedComment ref="AD103" dT="2025-06-25T14:48:19.09" personId="{27435E18-F4BE-477D-903F-1313D68C3605}" id="{6FE14CB1-35C1-4F0D-AD35-89C0AC6A3375}">
    <text>2023 and 2022 adjusted for one-time awards and different LTIP mix – per last year’s data collection</text>
  </threadedComment>
  <threadedComment ref="AA105" dT="2025-06-25T14:48:19.09" personId="{27435E18-F4BE-477D-903F-1313D68C3605}" id="{F71D5FE3-BD93-42E1-A0B5-5FD11B42E4E8}">
    <text>2023 and 2022 adjusted for one-time awards and different LTIP mix – per last year’s data collection</text>
  </threadedComment>
  <threadedComment ref="AB105" dT="2025-06-25T14:48:19.09" personId="{27435E18-F4BE-477D-903F-1313D68C3605}" id="{72ED62B6-EDC0-4786-AE34-BAA849BE6182}">
    <text>2023 and 2022 adjusted for one-time awards and different LTIP mix – per last year’s data collection</text>
  </threadedComment>
  <threadedComment ref="AC105" dT="2025-06-25T14:48:19.09" personId="{27435E18-F4BE-477D-903F-1313D68C3605}" id="{090DF4C2-CE72-4C14-8752-124164DD9BDB}">
    <text>2023 and 2022 adjusted for one-time awards and different LTIP mix – per last year’s data collection</text>
  </threadedComment>
  <threadedComment ref="AD105" dT="2025-06-25T14:48:19.09" personId="{27435E18-F4BE-477D-903F-1313D68C3605}" id="{B4E9BDE4-2DFA-42B5-A785-E91FFCB03336}">
    <text>2023 and 2022 adjusted for one-time awards and different LTIP mix – per last year’s data collection</text>
  </threadedComment>
  <threadedComment ref="AA106" dT="2025-06-25T14:48:19.09" personId="{27435E18-F4BE-477D-903F-1313D68C3605}" id="{17628767-951A-4483-AAEE-B0BD0FF68249}">
    <text>2023 and 2022 adjusted for one-time awards and different LTIP mix – per last year’s data collection</text>
  </threadedComment>
  <threadedComment ref="AB106" dT="2025-06-25T14:48:19.09" personId="{27435E18-F4BE-477D-903F-1313D68C3605}" id="{DEA75540-D869-4343-8F0C-DC945C8EBED9}">
    <text>2023 and 2022 adjusted for one-time awards and different LTIP mix – per last year’s data collection</text>
  </threadedComment>
  <threadedComment ref="AC106" dT="2025-06-25T14:48:19.09" personId="{27435E18-F4BE-477D-903F-1313D68C3605}" id="{6ADDF070-456F-473C-A359-B3DD346A28BD}">
    <text>2023 and 2022 adjusted for one-time awards and different LTIP mix – per last year’s data collection</text>
  </threadedComment>
  <threadedComment ref="AD106" dT="2025-06-25T14:48:19.09" personId="{27435E18-F4BE-477D-903F-1313D68C3605}" id="{9DF6C94D-70D3-48EC-8867-22950C30BE93}">
    <text>2023 and 2022 adjusted for one-time awards and different LTIP mix – per last year’s data collection</text>
  </threadedComment>
  <threadedComment ref="AA108" dT="2025-06-25T14:48:19.09" personId="{27435E18-F4BE-477D-903F-1313D68C3605}" id="{2A054FF0-C28C-4B08-8A0F-2985F67D4F32}">
    <text>2023 and 2022 adjusted for one-time awards and different LTIP mix – per last year’s data collection</text>
  </threadedComment>
  <threadedComment ref="AB108" dT="2025-06-25T14:48:19.09" personId="{27435E18-F4BE-477D-903F-1313D68C3605}" id="{DF37C0F9-677D-4480-A171-4A53D8BF769B}">
    <text>2023 and 2022 adjusted for one-time awards and different LTIP mix – per last year’s data collection</text>
  </threadedComment>
  <threadedComment ref="AC108" dT="2025-06-25T14:48:19.09" personId="{27435E18-F4BE-477D-903F-1313D68C3605}" id="{7BA38929-B00D-497C-925B-54FEE5804F66}">
    <text>2023 and 2022 adjusted for one-time awards and different LTIP mix – per last year’s data collection</text>
  </threadedComment>
  <threadedComment ref="AD108" dT="2025-06-25T14:48:19.09" personId="{27435E18-F4BE-477D-903F-1313D68C3605}" id="{80A5DBCD-0B9C-4A62-A5A3-68ED454AC983}">
    <text>2023 and 2022 adjusted for one-time awards and different LTIP mix – per last year’s data collection</text>
  </threadedComment>
  <threadedComment ref="AA109" dT="2025-06-25T14:48:19.09" personId="{27435E18-F4BE-477D-903F-1313D68C3605}" id="{09B3AED3-1082-4B44-B9AF-13CDCC50B437}">
    <text>2023 and 2022 adjusted for one-time awards and different LTIP mix – per last year’s data collection</text>
  </threadedComment>
  <threadedComment ref="AB109" dT="2025-06-25T14:48:19.09" personId="{27435E18-F4BE-477D-903F-1313D68C3605}" id="{585D4ACE-D596-44BB-B989-715C12A21E9B}">
    <text>2023 and 2022 adjusted for one-time awards and different LTIP mix – per last year’s data collection</text>
  </threadedComment>
  <threadedComment ref="AC109" dT="2025-06-25T14:48:19.09" personId="{27435E18-F4BE-477D-903F-1313D68C3605}" id="{7988433E-FCFE-48F8-9A8F-8DBB05A6D793}">
    <text>2023 and 2022 adjusted for one-time awards and different LTIP mix – per last year’s data collection</text>
  </threadedComment>
  <threadedComment ref="AD109" dT="2025-06-25T14:48:19.09" personId="{27435E18-F4BE-477D-903F-1313D68C3605}" id="{FD856A67-60CF-4A06-9C1B-5FAC2128B3E9}">
    <text>2023 and 2022 adjusted for one-time awards and different LTIP mix – per last year’s data collection</text>
  </threadedComment>
  <threadedComment ref="AA111" dT="2025-06-25T14:48:19.09" personId="{27435E18-F4BE-477D-903F-1313D68C3605}" id="{049A6CB1-D144-46D5-BDF7-881BDAA7CBA1}">
    <text>2023 and 2022 adjusted for one-time awards and different LTIP mix – per last year’s data collection</text>
  </threadedComment>
  <threadedComment ref="AB111" dT="2025-06-25T14:48:19.09" personId="{27435E18-F4BE-477D-903F-1313D68C3605}" id="{9B65457D-2516-40C9-809D-2152D5C9060E}">
    <text>2023 and 2022 adjusted for one-time awards and different LTIP mix – per last year’s data collection</text>
  </threadedComment>
  <threadedComment ref="AC111" dT="2025-06-25T14:48:19.09" personId="{27435E18-F4BE-477D-903F-1313D68C3605}" id="{6F6517C1-B916-4D97-87BD-039B3FCCCE37}">
    <text>2023 and 2022 adjusted for one-time awards and different LTIP mix – per last year’s data collection</text>
  </threadedComment>
  <threadedComment ref="AD111" dT="2025-06-25T14:48:19.09" personId="{27435E18-F4BE-477D-903F-1313D68C3605}" id="{87CBE170-8024-4B8A-B179-0807EA796EED}">
    <text>2023 and 2022 adjusted for one-time awards and different LTIP mix – per last year’s data collection</text>
  </threadedComment>
  <threadedComment ref="AA112" dT="2025-06-25T14:48:19.09" personId="{27435E18-F4BE-477D-903F-1313D68C3605}" id="{F91C0019-924E-4397-819C-5289E708E88F}">
    <text>2023 and 2022 adjusted for one-time awards and different LTIP mix – per last year’s data collection</text>
  </threadedComment>
  <threadedComment ref="AB112" dT="2025-06-25T14:48:19.09" personId="{27435E18-F4BE-477D-903F-1313D68C3605}" id="{B831CBBA-C188-4078-A0BD-30793447C2DA}">
    <text>2023 and 2022 adjusted for one-time awards and different LTIP mix – per last year’s data collection</text>
  </threadedComment>
  <threadedComment ref="AC112" dT="2025-06-25T14:48:19.09" personId="{27435E18-F4BE-477D-903F-1313D68C3605}" id="{5629068B-2EBD-4D77-AA6F-368FBF929B84}">
    <text>2023 and 2022 adjusted for one-time awards and different LTIP mix – per last year’s data collection</text>
  </threadedComment>
  <threadedComment ref="AD112" dT="2025-06-25T14:48:19.09" personId="{27435E18-F4BE-477D-903F-1313D68C3605}" id="{65AE8081-7F9E-4327-BEC5-4D031118E93D}">
    <text>2023 and 2022 adjusted for one-time awards and different LTIP mix – per last year’s data collection</text>
  </threadedComment>
  <threadedComment ref="AN113" dT="2025-08-29T21:55:33.07" personId="{2566AA3E-2FD4-42DC-8C11-D3A5F85CCC8C}" id="{F1BF6D92-77E8-422E-84E3-28E24D375039}">
    <text>No pension</text>
  </threadedComment>
  <threadedComment ref="AA114" dT="2024-06-13T16:31:00.67" personId="{89F94548-07FB-42E7-841A-D7D7103B0334}" id="{B757492B-79FF-4277-98EE-F1E5AD6D950D}">
    <text>50% PSU, 25%  RSU, 25% options</text>
  </threadedComment>
  <threadedComment ref="AA114" dT="2024-06-13T16:37:42.30" personId="{89F94548-07FB-42E7-841A-D7D7103B0334}" id="{B70DD679-83D7-43E6-ADE3-E70551343BE2}" parentId="{B757492B-79FF-4277-98EE-F1E5AD6D950D}">
    <text>Used 1/3 and 2/3 of total share based awards to calculate RSUs and PSUs respectively</text>
  </threadedComment>
  <threadedComment ref="AA118" dT="2024-06-18T01:31:22.85" personId="{27435E18-F4BE-477D-903F-1313D68C3605}" id="{3F937A43-5EBD-44E1-A863-FFE5CE6F83CA}">
    <text xml:space="preserve">See incumbent note
</text>
  </threadedComment>
  <threadedComment ref="AA118" dT="2025-06-25T14:55:26.35" personId="{27435E18-F4BE-477D-903F-1313D68C3605}" id="{16345003-4CE3-4948-8470-8756317C82E9}" parentId="{3F937A43-5EBD-44E1-A863-FFE5CE6F83CA}">
    <text>Aligned with last year approach</text>
  </threadedComment>
  <threadedComment ref="T123" dT="2025-06-25T14:53:40.75" personId="{27435E18-F4BE-477D-903F-1313D68C3605}" id="{73A7C8C1-2563-421A-B985-B0B9691278B0}">
    <text>Mr. Whittaker was eligible to full  year bonus payout.</text>
  </threadedComment>
  <threadedComment ref="AB128" dT="2025-06-25T01:33:07.84" personId="{2566AA3E-2FD4-42DC-8C11-D3A5F85CCC8C}" id="{57E51622-AABD-4156-A0E6-DF4D7EB71064}">
    <text>Removed amortized award</text>
  </threadedComment>
  <threadedComment ref="AB129" dT="2024-05-24T07:24:53.31" personId="{69A466B0-5366-4444-9E65-8AB4F2F94C83}" id="{114446C3-E236-467B-8B75-512879D80DE4}">
    <text>Flagging one-time award inclusion as there is no indication it was a "make-whole".</text>
  </threadedComment>
  <threadedComment ref="AB129" dT="2024-05-27T21:05:09.27" personId="{82CDF0FC-5156-463F-8C34-5D4C4220B3FD}" id="{D05EDA94-62DB-4B88-A146-4239F9FC2F87}" parentId="{114446C3-E236-467B-8B75-512879D80DE4}">
    <text>Given the misalignment between the EIP Award table and the value of share-based awards in the summary comp table, I aligned the PSU value so that it adds up to the value in the summary comp table</text>
  </threadedComment>
  <threadedComment ref="AB129" dT="2024-05-29T18:33:06.90" personId="{BADCD4B0-F7DE-4818-8479-5FF8081476FD}" id="{09C1499A-BCCF-4F5C-B195-17F5004CE79D}" parentId="{114446C3-E236-467B-8B75-512879D80DE4}">
    <text>Amortized the 1MM PSU award and used the table on pg. 59 for RSU / PSU regular course awards</text>
  </threadedComment>
  <threadedComment ref="AA143" dT="2025-06-25T06:22:31.12" personId="{2566AA3E-2FD4-42DC-8C11-D3A5F85CCC8C}" id="{7ADFCC26-4D8C-4EE6-A5AE-E3F7A62666C8}">
    <text>50/50 PSUs/RSUs for all executives in 2024 aside from the CEO, which was granted 60/40 PSUs/RSUs</text>
  </threadedComment>
  <threadedComment ref="AI143" dT="2025-06-25T06:31:27.10" personId="{2566AA3E-2FD4-42DC-8C11-D3A5F85CCC8C}" id="{BE8C0C4C-6BD7-4415-B3E8-049F08F159CF}">
    <text>Calculated from visual on pg 64; only CEO disclosed separately</text>
  </threadedComment>
  <threadedComment ref="AN143" dT="2025-08-29T21:57:49.97" personId="{2566AA3E-2FD4-42DC-8C11-D3A5F85CCC8C}" id="{7C17BBD9-A187-4822-9DF7-DE75B3B4C8F6}">
    <text>No pension</text>
  </threadedComment>
  <threadedComment ref="AR155" dT="2025-09-04T12:37:46.53" personId="{27435E18-F4BE-477D-903F-1313D68C3605}" id="{A11467B2-5383-45AA-B4FF-D437500ACC50}">
    <text>Other compensation minus dividends accumulated = negative number, have dashed out for simplicity</text>
  </threadedComment>
  <threadedComment ref="AA157" dT="2025-06-25T06:29:03.68" personId="{2566AA3E-2FD4-42DC-8C11-D3A5F85CCC8C}" id="{3D6FAF2B-DE11-4D26-B3A4-73E7A8AA0FC6}">
    <text>Subtracted $200k RSU promotion award</text>
  </threadedComment>
  <threadedComment ref="AN163" dT="2025-09-04T13:29:18.09" personId="{27435E18-F4BE-477D-903F-1313D68C3605}" id="{B5741C17-DED8-4C4D-B487-8295C4F104E6}">
    <text>$0 instead of “-” because the plan existed before, they just didn’t get any compensatory value in 2022</text>
  </threadedComment>
  <threadedComment ref="AN173" dT="2025-08-29T22:00:42.64" personId="{2566AA3E-2FD4-42DC-8C11-D3A5F85CCC8C}" id="{F9C342B5-5F88-4885-B168-834E7BF3FA8A}">
    <text>No pension</text>
  </threadedComment>
  <threadedComment ref="W185" dT="2025-06-25T07:00:21.77" personId="{2566AA3E-2FD4-42DC-8C11-D3A5F85CCC8C}" id="{867C0D64-6A8C-4CD3-A788-8026B98C6B02}">
    <text>From last year's benchmarking</text>
  </threadedComment>
  <threadedComment ref="H191" dT="2025-05-19T14:00:48.42" personId="{CBACAB1E-5FDB-49BC-B2D1-5B2C06870F94}" id="{675AABAC-EEAB-4F66-B73C-E40F4EE51C54}">
    <text>Changed back to 12 months as he did receive a full year of pay (with previous role) and annualization for Jan 2 start is immaterial</text>
  </threadedComment>
  <threadedComment ref="AA204" dT="2025-05-14T20:18:55.53" personId="{CBACAB1E-5FDB-49BC-B2D1-5B2C06870F94}" id="{8BDB56EC-14F5-4F82-84C7-512D06CCEBE2}">
    <text>Represents previous 60/40 PSU/RSU split</text>
  </threadedComment>
  <threadedComment ref="H206" dT="2025-05-14T20:39:17.74" personId="{CBACAB1E-5FDB-49BC-B2D1-5B2C06870F94}" id="{EF5D9D08-81A7-4344-B90E-07FC783363F8}">
    <text>Removed annualization</text>
  </threadedComment>
  <threadedComment ref="AA210" dT="2025-05-14T20:44:27.55" personId="{CBACAB1E-5FDB-49BC-B2D1-5B2C06870F94}" id="{D1181EE9-F32B-44BD-8B9D-F9D966F7EEEF}">
    <text>Includes sign on bonus</text>
  </threadedComment>
  <threadedComment ref="AA210" dT="2025-06-25T01:37:07.86" personId="{2566AA3E-2FD4-42DC-8C11-D3A5F85CCC8C}" id="{1B3DCA79-9CE9-4990-9A37-DF0B145FCE81}" parentId="{D1181EE9-F32B-44BD-8B9D-F9D966F7EEEF}">
    <text>Removed</text>
  </threadedComment>
  <threadedComment ref="AA218" dT="2025-06-25T07:33:16.22" personId="{2566AA3E-2FD4-42DC-8C11-D3A5F85CCC8C}" id="{2E65090D-FF3C-41A1-9CA3-2B3DE8B7F400}">
    <text>66/34 PSU/RS for CEO; 70/30 PSU/RSU for other NEOs</text>
  </threadedComment>
  <threadedComment ref="AN218" dT="2025-08-29T22:03:07.14" personId="{2566AA3E-2FD4-42DC-8C11-D3A5F85CCC8C}" id="{8DBDF42B-D016-402C-BD86-75BF89ED2A43}">
    <text>No pension</text>
  </threadedComment>
  <threadedComment ref="AN218" dT="2025-09-04T12:53:36.58" personId="{27435E18-F4BE-477D-903F-1313D68C3605}" id="{9F258FBE-AEAC-4008-B059-2F0E2A60DE6B}" parentId="{8DBDF42B-D016-402C-BD86-75BF89ED2A43}">
    <text>The proxy says no pension program in place but it appears company makes some contributions to certain retirement plans still</text>
  </threadedComment>
  <threadedComment ref="AI233" dT="2025-06-25T07:52:22.61" personId="{2566AA3E-2FD4-42DC-8C11-D3A5F85CCC8C}" id="{0B787761-2214-49D4-8B63-8765FCE355B6}">
    <text>Calculated based on pg 44 visual</text>
  </threadedComment>
  <threadedComment ref="AN233" dT="2025-08-29T22:05:12.79" personId="{2566AA3E-2FD4-42DC-8C11-D3A5F85CCC8C}" id="{5FA2897B-3724-4BF6-AAFA-FB8796400A0C}">
    <text>No pension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N33" dT="2025-09-09T22:32:10.67" personId="{2566AA3E-2FD4-42DC-8C11-D3A5F85CCC8C}" id="{272D3065-042A-4727-A35B-FCFA125297B0}">
    <text>Waiting for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AU8" dT="2025-11-14T20:44:28.78" personId="{27435E18-F4BE-477D-903F-1313D68C3605}" id="{BFB19A27-0EBD-4931-9853-092CB127BEBD}">
    <text>BLANK OUT GIVEN TRANSITION?</text>
  </threadedComment>
  <threadedComment ref="AS9" dT="2025-11-14T20:59:43.63" personId="{27435E18-F4BE-477D-903F-1313D68C3605}" id="{1D00F0A5-EE82-4768-AC36-153CFB3A32CE}">
    <text>His compensation was converted from CAD to USD for disclosure</text>
  </threadedComment>
  <threadedComment ref="AU10" dT="2025-11-14T21:13:18.28" personId="{27435E18-F4BE-477D-903F-1313D68C3605}" id="{9BD7D91F-CFA6-4E01-ACCE-878405834D6C}">
    <text>Info no longer available on Capstone website given new role. 
Pulled from a chilean mining website:
https://www.reporteminero.cl/noticia/noticias/2023/09/james-whittaker-capstone-copper-chile</text>
    <extLst>
      <x:ext xmlns:xltc2="http://schemas.microsoft.com/office/spreadsheetml/2020/threadedcomments2" uri="{F7C98A9C-CBB3-438F-8F68-D28B6AF4A901}">
        <xltc2:checksum>600044333</xltc2:checksum>
        <xltc2:hyperlink startIndex="102" length="91" url="https://www.reporteminero.cl/noticia/noticias/2023/09/james-whittaker-capstone-copper-chile"/>
      </x:ext>
    </extLst>
  </threadedComment>
  <threadedComment ref="AU12" dT="2025-11-14T21:33:37.78" personId="{27435E18-F4BE-477D-903F-1313D68C3605}" id="{FF60C9AD-0171-45A2-8322-6E08A19F8DF7}">
    <text>Written by himself, per linkedin</text>
  </threadedComment>
  <threadedComment ref="AU25" dT="2025-11-14T21:56:51.07" personId="{27435E18-F4BE-477D-903F-1313D68C3605}" id="{832390B7-4FFC-4A04-878C-24F8FD3D8212}">
    <text xml:space="preserve">Written by himself, per his linkedin
</tex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bin"/><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8173-E1AB-43C0-9839-59305714867C}">
  <sheetPr>
    <tabColor theme="1"/>
  </sheetPr>
  <dimension ref="A1:H144"/>
  <sheetViews>
    <sheetView workbookViewId="0"/>
  </sheetViews>
  <sheetFormatPr defaultRowHeight="14.5"/>
  <cols>
    <col min="1" max="1" width="14.1796875" customWidth="1"/>
    <col min="2" max="2" width="11.453125" bestFit="1" customWidth="1"/>
    <col min="4" max="4" width="11.453125" bestFit="1" customWidth="1"/>
  </cols>
  <sheetData>
    <row r="1" spans="1:8">
      <c r="A1" s="321" t="s">
        <v>129</v>
      </c>
    </row>
    <row r="3" spans="1:8">
      <c r="A3" t="s">
        <v>127</v>
      </c>
      <c r="B3" s="320">
        <v>44992</v>
      </c>
      <c r="D3" s="317" t="s">
        <v>121</v>
      </c>
      <c r="E3" s="318" t="s">
        <v>123</v>
      </c>
      <c r="F3" s="319"/>
      <c r="G3" s="319"/>
      <c r="H3" s="319"/>
    </row>
    <row r="4" spans="1:8">
      <c r="A4" t="s">
        <v>128</v>
      </c>
      <c r="B4" s="320">
        <v>44992</v>
      </c>
      <c r="D4" s="319"/>
      <c r="E4" s="319" t="s">
        <v>124</v>
      </c>
      <c r="F4" s="319"/>
      <c r="G4" s="319"/>
      <c r="H4" s="319"/>
    </row>
    <row r="5" spans="1:8">
      <c r="D5" s="319"/>
      <c r="E5" s="319" t="s">
        <v>122</v>
      </c>
      <c r="F5" s="319"/>
      <c r="G5" s="319"/>
      <c r="H5" s="319"/>
    </row>
    <row r="6" spans="1:8">
      <c r="D6" s="319"/>
      <c r="E6" s="319" t="s">
        <v>125</v>
      </c>
      <c r="F6" s="319"/>
      <c r="G6" s="319"/>
      <c r="H6" s="319"/>
    </row>
    <row r="9" spans="1:8">
      <c r="B9" s="323" t="s">
        <v>130</v>
      </c>
    </row>
    <row r="10" spans="1:8">
      <c r="B10" s="322" t="s">
        <v>131</v>
      </c>
    </row>
    <row r="11" spans="1:8">
      <c r="B11" s="322"/>
    </row>
    <row r="12" spans="1:8">
      <c r="B12" s="323" t="s">
        <v>132</v>
      </c>
    </row>
    <row r="13" spans="1:8">
      <c r="B13" s="324" t="s">
        <v>133</v>
      </c>
    </row>
    <row r="14" spans="1:8">
      <c r="B14" s="325" t="s">
        <v>134</v>
      </c>
    </row>
    <row r="15" spans="1:8">
      <c r="B15" s="326" t="s">
        <v>135</v>
      </c>
    </row>
    <row r="16" spans="1:8">
      <c r="B16" s="325" t="s">
        <v>136</v>
      </c>
    </row>
    <row r="17" spans="2:2">
      <c r="B17" s="326" t="s">
        <v>137</v>
      </c>
    </row>
    <row r="18" spans="2:2">
      <c r="B18" s="326"/>
    </row>
    <row r="19" spans="2:2">
      <c r="B19" s="324" t="s">
        <v>17</v>
      </c>
    </row>
    <row r="20" spans="2:2">
      <c r="B20" s="325" t="s">
        <v>138</v>
      </c>
    </row>
    <row r="21" spans="2:2">
      <c r="B21" s="325" t="s">
        <v>139</v>
      </c>
    </row>
    <row r="22" spans="2:2">
      <c r="B22" s="325" t="s">
        <v>140</v>
      </c>
    </row>
    <row r="23" spans="2:2">
      <c r="B23" s="326" t="s">
        <v>141</v>
      </c>
    </row>
    <row r="24" spans="2:2">
      <c r="B24" s="325" t="s">
        <v>142</v>
      </c>
    </row>
    <row r="25" spans="2:2">
      <c r="B25" s="325"/>
    </row>
    <row r="26" spans="2:2">
      <c r="B26" s="324" t="s">
        <v>16</v>
      </c>
    </row>
    <row r="27" spans="2:2">
      <c r="B27" s="325" t="s">
        <v>143</v>
      </c>
    </row>
    <row r="28" spans="2:2">
      <c r="B28" s="325" t="s">
        <v>144</v>
      </c>
    </row>
    <row r="29" spans="2:2">
      <c r="B29" s="325" t="s">
        <v>145</v>
      </c>
    </row>
    <row r="30" spans="2:2">
      <c r="B30" s="325" t="s">
        <v>146</v>
      </c>
    </row>
    <row r="31" spans="2:2">
      <c r="B31" s="326" t="s">
        <v>147</v>
      </c>
    </row>
    <row r="32" spans="2:2">
      <c r="B32" s="326" t="s">
        <v>148</v>
      </c>
    </row>
    <row r="33" spans="2:2">
      <c r="B33" s="325" t="s">
        <v>149</v>
      </c>
    </row>
    <row r="34" spans="2:2">
      <c r="B34" s="326" t="s">
        <v>150</v>
      </c>
    </row>
    <row r="35" spans="2:2">
      <c r="B35" s="326"/>
    </row>
    <row r="36" spans="2:2">
      <c r="B36" s="324" t="s">
        <v>14</v>
      </c>
    </row>
    <row r="37" spans="2:2">
      <c r="B37" s="325" t="s">
        <v>151</v>
      </c>
    </row>
    <row r="38" spans="2:2">
      <c r="B38" s="325" t="s">
        <v>152</v>
      </c>
    </row>
    <row r="39" spans="2:2">
      <c r="B39" s="325" t="s">
        <v>153</v>
      </c>
    </row>
    <row r="40" spans="2:2">
      <c r="B40" s="325" t="s">
        <v>154</v>
      </c>
    </row>
    <row r="41" spans="2:2">
      <c r="B41" s="326" t="s">
        <v>155</v>
      </c>
    </row>
    <row r="42" spans="2:2">
      <c r="B42" s="325" t="s">
        <v>156</v>
      </c>
    </row>
    <row r="43" spans="2:2">
      <c r="B43" s="326" t="s">
        <v>157</v>
      </c>
    </row>
    <row r="44" spans="2:2">
      <c r="B44" s="326"/>
    </row>
    <row r="45" spans="2:2">
      <c r="B45" s="324" t="s">
        <v>158</v>
      </c>
    </row>
    <row r="46" spans="2:2">
      <c r="B46" s="325" t="s">
        <v>159</v>
      </c>
    </row>
    <row r="47" spans="2:2">
      <c r="B47" s="325" t="s">
        <v>160</v>
      </c>
    </row>
    <row r="48" spans="2:2">
      <c r="B48" s="325" t="s">
        <v>161</v>
      </c>
    </row>
    <row r="49" spans="2:2">
      <c r="B49" s="325" t="s">
        <v>162</v>
      </c>
    </row>
    <row r="50" spans="2:2">
      <c r="B50" s="325" t="s">
        <v>163</v>
      </c>
    </row>
    <row r="51" spans="2:2">
      <c r="B51" s="325"/>
    </row>
    <row r="52" spans="2:2">
      <c r="B52" s="324" t="s">
        <v>164</v>
      </c>
    </row>
    <row r="53" spans="2:2">
      <c r="B53" s="325" t="s">
        <v>165</v>
      </c>
    </row>
    <row r="54" spans="2:2">
      <c r="B54" s="325"/>
    </row>
    <row r="55" spans="2:2">
      <c r="B55" s="324" t="s">
        <v>166</v>
      </c>
    </row>
    <row r="56" spans="2:2">
      <c r="B56" s="325" t="s">
        <v>167</v>
      </c>
    </row>
    <row r="57" spans="2:2">
      <c r="B57" s="325" t="s">
        <v>168</v>
      </c>
    </row>
    <row r="58" spans="2:2">
      <c r="B58" s="326" t="s">
        <v>169</v>
      </c>
    </row>
    <row r="59" spans="2:2">
      <c r="B59" s="326" t="s">
        <v>170</v>
      </c>
    </row>
    <row r="60" spans="2:2">
      <c r="B60" s="326" t="s">
        <v>171</v>
      </c>
    </row>
    <row r="61" spans="2:2">
      <c r="B61" s="326" t="s">
        <v>172</v>
      </c>
    </row>
    <row r="62" spans="2:2">
      <c r="B62" s="325" t="s">
        <v>173</v>
      </c>
    </row>
    <row r="63" spans="2:2">
      <c r="B63" s="325"/>
    </row>
    <row r="64" spans="2:2">
      <c r="B64" s="324" t="s">
        <v>174</v>
      </c>
    </row>
    <row r="65" spans="2:2">
      <c r="B65" s="325" t="s">
        <v>175</v>
      </c>
    </row>
    <row r="66" spans="2:2">
      <c r="B66" s="325" t="s">
        <v>240</v>
      </c>
    </row>
    <row r="67" spans="2:2">
      <c r="B67" s="325"/>
    </row>
    <row r="68" spans="2:2">
      <c r="B68" s="324" t="s">
        <v>176</v>
      </c>
    </row>
    <row r="69" spans="2:2">
      <c r="B69" s="322" t="s">
        <v>177</v>
      </c>
    </row>
    <row r="70" spans="2:2">
      <c r="B70" s="325" t="s">
        <v>178</v>
      </c>
    </row>
    <row r="71" spans="2:2">
      <c r="B71" s="326" t="s">
        <v>179</v>
      </c>
    </row>
    <row r="72" spans="2:2">
      <c r="B72" s="325" t="s">
        <v>180</v>
      </c>
    </row>
    <row r="73" spans="2:2">
      <c r="B73" s="326" t="s">
        <v>181</v>
      </c>
    </row>
    <row r="74" spans="2:2">
      <c r="B74" s="326" t="s">
        <v>182</v>
      </c>
    </row>
    <row r="75" spans="2:2">
      <c r="B75" s="326" t="s">
        <v>183</v>
      </c>
    </row>
    <row r="76" spans="2:2">
      <c r="B76" s="325" t="s">
        <v>184</v>
      </c>
    </row>
    <row r="77" spans="2:2">
      <c r="B77" s="326" t="s">
        <v>185</v>
      </c>
    </row>
    <row r="78" spans="2:2">
      <c r="B78" s="326" t="s">
        <v>186</v>
      </c>
    </row>
    <row r="79" spans="2:2">
      <c r="B79" s="326" t="s">
        <v>187</v>
      </c>
    </row>
    <row r="80" spans="2:2">
      <c r="B80" s="326" t="s">
        <v>188</v>
      </c>
    </row>
    <row r="81" spans="2:2">
      <c r="B81" s="325" t="s">
        <v>189</v>
      </c>
    </row>
    <row r="82" spans="2:2">
      <c r="B82" s="325"/>
    </row>
    <row r="83" spans="2:2">
      <c r="B83" s="324" t="s">
        <v>190</v>
      </c>
    </row>
    <row r="84" spans="2:2">
      <c r="B84" s="325" t="s">
        <v>257</v>
      </c>
    </row>
    <row r="85" spans="2:2">
      <c r="B85" s="325" t="s">
        <v>191</v>
      </c>
    </row>
    <row r="86" spans="2:2">
      <c r="B86" s="325" t="s">
        <v>192</v>
      </c>
    </row>
    <row r="87" spans="2:2">
      <c r="B87" s="325" t="s">
        <v>193</v>
      </c>
    </row>
    <row r="88" spans="2:2">
      <c r="B88" s="325" t="s">
        <v>194</v>
      </c>
    </row>
    <row r="89" spans="2:2">
      <c r="B89" s="326" t="s">
        <v>195</v>
      </c>
    </row>
    <row r="90" spans="2:2">
      <c r="B90" s="326"/>
    </row>
    <row r="91" spans="2:2">
      <c r="B91" s="324" t="s">
        <v>196</v>
      </c>
    </row>
    <row r="92" spans="2:2">
      <c r="B92" s="325" t="s">
        <v>197</v>
      </c>
    </row>
    <row r="93" spans="2:2">
      <c r="B93" s="325" t="s">
        <v>198</v>
      </c>
    </row>
    <row r="94" spans="2:2">
      <c r="B94" s="326" t="s">
        <v>199</v>
      </c>
    </row>
    <row r="95" spans="2:2">
      <c r="B95" s="325" t="s">
        <v>200</v>
      </c>
    </row>
    <row r="96" spans="2:2">
      <c r="B96" s="326" t="s">
        <v>201</v>
      </c>
    </row>
    <row r="97" spans="2:2">
      <c r="B97" s="326" t="s">
        <v>202</v>
      </c>
    </row>
    <row r="98" spans="2:2">
      <c r="B98" s="326" t="s">
        <v>203</v>
      </c>
    </row>
    <row r="99" spans="2:2">
      <c r="B99" s="327" t="s">
        <v>204</v>
      </c>
    </row>
    <row r="100" spans="2:2">
      <c r="B100" s="325" t="s">
        <v>205</v>
      </c>
    </row>
    <row r="101" spans="2:2">
      <c r="B101" s="326" t="s">
        <v>206</v>
      </c>
    </row>
    <row r="102" spans="2:2">
      <c r="B102" s="326" t="s">
        <v>207</v>
      </c>
    </row>
    <row r="103" spans="2:2">
      <c r="B103" s="326"/>
    </row>
    <row r="104" spans="2:2">
      <c r="B104" s="324" t="s">
        <v>208</v>
      </c>
    </row>
    <row r="105" spans="2:2">
      <c r="B105" s="325" t="s">
        <v>209</v>
      </c>
    </row>
    <row r="106" spans="2:2">
      <c r="B106" s="325" t="s">
        <v>256</v>
      </c>
    </row>
    <row r="107" spans="2:2">
      <c r="B107" s="326" t="s">
        <v>210</v>
      </c>
    </row>
    <row r="108" spans="2:2">
      <c r="B108" s="326"/>
    </row>
    <row r="109" spans="2:2">
      <c r="B109" s="324" t="s">
        <v>211</v>
      </c>
    </row>
    <row r="110" spans="2:2">
      <c r="B110" s="325" t="s">
        <v>212</v>
      </c>
    </row>
    <row r="111" spans="2:2">
      <c r="B111" s="325" t="s">
        <v>213</v>
      </c>
    </row>
    <row r="112" spans="2:2">
      <c r="B112" s="325" t="s">
        <v>214</v>
      </c>
    </row>
    <row r="113" spans="2:2">
      <c r="B113" s="325" t="s">
        <v>215</v>
      </c>
    </row>
    <row r="114" spans="2:2">
      <c r="B114" s="325"/>
    </row>
    <row r="115" spans="2:2">
      <c r="B115" s="324" t="s">
        <v>216</v>
      </c>
    </row>
    <row r="116" spans="2:2">
      <c r="B116" s="325" t="s">
        <v>217</v>
      </c>
    </row>
    <row r="117" spans="2:2">
      <c r="B117" s="326" t="s">
        <v>218</v>
      </c>
    </row>
    <row r="118" spans="2:2">
      <c r="B118" s="326" t="s">
        <v>219</v>
      </c>
    </row>
    <row r="119" spans="2:2">
      <c r="B119" s="326" t="s">
        <v>241</v>
      </c>
    </row>
    <row r="120" spans="2:2">
      <c r="B120" s="325" t="s">
        <v>220</v>
      </c>
    </row>
    <row r="121" spans="2:2">
      <c r="B121" s="326" t="s">
        <v>221</v>
      </c>
    </row>
    <row r="122" spans="2:2">
      <c r="B122" s="325" t="s">
        <v>222</v>
      </c>
    </row>
    <row r="123" spans="2:2">
      <c r="B123" s="326" t="s">
        <v>223</v>
      </c>
    </row>
    <row r="124" spans="2:2">
      <c r="B124" s="325" t="s">
        <v>224</v>
      </c>
    </row>
    <row r="125" spans="2:2">
      <c r="B125" s="325" t="s">
        <v>225</v>
      </c>
    </row>
    <row r="126" spans="2:2">
      <c r="B126" s="326" t="s">
        <v>242</v>
      </c>
    </row>
    <row r="127" spans="2:2">
      <c r="B127" s="325" t="s">
        <v>239</v>
      </c>
    </row>
    <row r="128" spans="2:2">
      <c r="B128" s="325"/>
    </row>
    <row r="129" spans="2:2">
      <c r="B129" s="324" t="s">
        <v>226</v>
      </c>
    </row>
    <row r="130" spans="2:2">
      <c r="B130" s="325" t="s">
        <v>227</v>
      </c>
    </row>
    <row r="131" spans="2:2">
      <c r="B131" s="326" t="s">
        <v>228</v>
      </c>
    </row>
    <row r="132" spans="2:2">
      <c r="B132" s="325" t="s">
        <v>229</v>
      </c>
    </row>
    <row r="133" spans="2:2">
      <c r="B133" s="322"/>
    </row>
    <row r="134" spans="2:2">
      <c r="B134" s="325"/>
    </row>
    <row r="135" spans="2:2">
      <c r="B135" s="326"/>
    </row>
    <row r="136" spans="2:2">
      <c r="B136" s="325"/>
    </row>
    <row r="137" spans="2:2">
      <c r="B137" s="325"/>
    </row>
    <row r="138" spans="2:2">
      <c r="B138" s="325"/>
    </row>
    <row r="140" spans="2:2">
      <c r="B140" s="324"/>
    </row>
    <row r="141" spans="2:2">
      <c r="B141" s="325"/>
    </row>
    <row r="142" spans="2:2">
      <c r="B142" s="326"/>
    </row>
    <row r="143" spans="2:2">
      <c r="B143" s="325"/>
    </row>
    <row r="144" spans="2:2">
      <c r="B144" s="3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335F-E856-4893-9C8A-6775708EAABF}">
  <sheetPr filterMode="1"/>
  <dimension ref="B3:J113"/>
  <sheetViews>
    <sheetView workbookViewId="0"/>
  </sheetViews>
  <sheetFormatPr defaultRowHeight="14.5"/>
  <cols>
    <col min="1" max="2" width="2.7265625" customWidth="1"/>
    <col min="3" max="3" width="23.453125" customWidth="1"/>
    <col min="7" max="7" width="21.7265625" bestFit="1" customWidth="1"/>
    <col min="8" max="9" width="17.1796875" customWidth="1"/>
  </cols>
  <sheetData>
    <row r="3" spans="2:9">
      <c r="B3" t="s">
        <v>476</v>
      </c>
      <c r="C3" t="s">
        <v>477</v>
      </c>
      <c r="D3" t="s">
        <v>478</v>
      </c>
      <c r="E3" t="s">
        <v>22</v>
      </c>
      <c r="F3" t="s">
        <v>18</v>
      </c>
      <c r="G3" t="s">
        <v>19</v>
      </c>
      <c r="H3" t="s">
        <v>479</v>
      </c>
      <c r="I3" t="s">
        <v>68</v>
      </c>
    </row>
    <row r="4" spans="2:9" hidden="1">
      <c r="C4" t="s">
        <v>676</v>
      </c>
      <c r="D4" t="s">
        <v>79</v>
      </c>
      <c r="E4" t="s">
        <v>677</v>
      </c>
      <c r="F4" t="s">
        <v>272</v>
      </c>
      <c r="G4" t="s">
        <v>678</v>
      </c>
      <c r="H4" t="s">
        <v>78</v>
      </c>
      <c r="I4">
        <v>4779.9705000000004</v>
      </c>
    </row>
    <row r="5" spans="2:9" hidden="1">
      <c r="C5" t="s">
        <v>679</v>
      </c>
      <c r="D5" t="s">
        <v>106</v>
      </c>
      <c r="E5" t="s">
        <v>677</v>
      </c>
      <c r="F5" t="s">
        <v>106</v>
      </c>
      <c r="G5" t="s">
        <v>279</v>
      </c>
      <c r="H5" t="s">
        <v>78</v>
      </c>
      <c r="I5">
        <v>1930.6559999999999</v>
      </c>
    </row>
    <row r="6" spans="2:9" hidden="1">
      <c r="C6" t="s">
        <v>680</v>
      </c>
      <c r="D6" t="s">
        <v>277</v>
      </c>
      <c r="E6" t="s">
        <v>677</v>
      </c>
      <c r="F6" t="s">
        <v>277</v>
      </c>
      <c r="G6" t="s">
        <v>278</v>
      </c>
      <c r="H6" t="s">
        <v>78</v>
      </c>
      <c r="I6">
        <v>2232</v>
      </c>
    </row>
    <row r="7" spans="2:9">
      <c r="C7" t="s">
        <v>681</v>
      </c>
      <c r="D7" t="s">
        <v>468</v>
      </c>
      <c r="E7" t="s">
        <v>677</v>
      </c>
      <c r="F7" t="s">
        <v>683</v>
      </c>
      <c r="G7" t="s">
        <v>682</v>
      </c>
      <c r="H7" t="s">
        <v>78</v>
      </c>
      <c r="I7">
        <v>1582.9059999999999</v>
      </c>
    </row>
    <row r="8" spans="2:9" hidden="1">
      <c r="C8" t="s">
        <v>684</v>
      </c>
      <c r="D8" t="s">
        <v>108</v>
      </c>
      <c r="E8" t="s">
        <v>677</v>
      </c>
      <c r="F8" t="s">
        <v>683</v>
      </c>
      <c r="G8" t="s">
        <v>682</v>
      </c>
      <c r="H8" t="s">
        <v>78</v>
      </c>
      <c r="I8">
        <v>1582.9059999999999</v>
      </c>
    </row>
    <row r="9" spans="2:9" hidden="1">
      <c r="C9" t="s">
        <v>685</v>
      </c>
      <c r="D9" t="s">
        <v>469</v>
      </c>
      <c r="E9" t="s">
        <v>677</v>
      </c>
      <c r="F9" t="s">
        <v>687</v>
      </c>
      <c r="G9" t="s">
        <v>686</v>
      </c>
      <c r="H9" t="s">
        <v>78</v>
      </c>
      <c r="I9">
        <v>1101.0999999999999</v>
      </c>
    </row>
    <row r="10" spans="2:9" hidden="1">
      <c r="C10" t="s">
        <v>688</v>
      </c>
      <c r="D10" t="s">
        <v>109</v>
      </c>
      <c r="E10" t="s">
        <v>677</v>
      </c>
      <c r="F10" t="s">
        <v>689</v>
      </c>
      <c r="G10" t="s">
        <v>285</v>
      </c>
      <c r="H10" t="s">
        <v>78</v>
      </c>
      <c r="I10">
        <v>1509</v>
      </c>
    </row>
    <row r="11" spans="2:9" hidden="1">
      <c r="C11" t="s">
        <v>685</v>
      </c>
      <c r="D11" t="s">
        <v>449</v>
      </c>
      <c r="E11" t="s">
        <v>677</v>
      </c>
      <c r="F11" t="s">
        <v>687</v>
      </c>
      <c r="G11" t="s">
        <v>686</v>
      </c>
      <c r="H11" t="s">
        <v>78</v>
      </c>
      <c r="I11">
        <v>1101.0999999999999</v>
      </c>
    </row>
    <row r="12" spans="2:9" hidden="1">
      <c r="C12" t="s">
        <v>480</v>
      </c>
      <c r="D12" t="s">
        <v>79</v>
      </c>
      <c r="E12" t="s">
        <v>493</v>
      </c>
      <c r="F12" t="s">
        <v>506</v>
      </c>
      <c r="G12" t="s">
        <v>347</v>
      </c>
      <c r="H12">
        <v>9041.3336491799982</v>
      </c>
      <c r="I12">
        <v>8608.1221931975215</v>
      </c>
    </row>
    <row r="13" spans="2:9" hidden="1">
      <c r="C13" t="s">
        <v>481</v>
      </c>
      <c r="D13" t="s">
        <v>79</v>
      </c>
      <c r="E13" t="s">
        <v>494</v>
      </c>
      <c r="F13" t="s">
        <v>506</v>
      </c>
      <c r="G13" t="s">
        <v>385</v>
      </c>
      <c r="H13">
        <v>7497.2</v>
      </c>
      <c r="I13">
        <v>7395</v>
      </c>
    </row>
    <row r="14" spans="2:9" hidden="1">
      <c r="D14" t="s">
        <v>79</v>
      </c>
    </row>
    <row r="15" spans="2:9" hidden="1">
      <c r="C15" t="s">
        <v>78</v>
      </c>
      <c r="D15" t="s">
        <v>79</v>
      </c>
      <c r="E15" t="s">
        <v>78</v>
      </c>
      <c r="F15" t="s">
        <v>78</v>
      </c>
      <c r="G15" t="s">
        <v>78</v>
      </c>
      <c r="H15" t="s">
        <v>78</v>
      </c>
      <c r="I15" t="s">
        <v>78</v>
      </c>
    </row>
    <row r="16" spans="2:9" hidden="1">
      <c r="C16" t="s">
        <v>482</v>
      </c>
      <c r="D16" t="s">
        <v>79</v>
      </c>
      <c r="E16" t="s">
        <v>495</v>
      </c>
      <c r="F16" t="s">
        <v>506</v>
      </c>
      <c r="G16" t="s">
        <v>511</v>
      </c>
      <c r="H16">
        <v>5354.3255912599998</v>
      </c>
      <c r="I16">
        <v>5099.3583485999998</v>
      </c>
    </row>
    <row r="17" spans="3:9" hidden="1">
      <c r="C17" t="s">
        <v>483</v>
      </c>
      <c r="D17" t="s">
        <v>79</v>
      </c>
      <c r="E17" t="s">
        <v>496</v>
      </c>
      <c r="F17" t="s">
        <v>507</v>
      </c>
      <c r="G17" t="s">
        <v>512</v>
      </c>
      <c r="H17">
        <v>5600</v>
      </c>
      <c r="I17">
        <v>7275</v>
      </c>
    </row>
    <row r="18" spans="3:9" hidden="1">
      <c r="C18" t="s">
        <v>484</v>
      </c>
      <c r="D18" t="s">
        <v>79</v>
      </c>
      <c r="E18" t="s">
        <v>497</v>
      </c>
      <c r="F18" t="s">
        <v>508</v>
      </c>
      <c r="G18" t="s">
        <v>394</v>
      </c>
      <c r="H18">
        <v>4059.8739999999998</v>
      </c>
      <c r="I18">
        <v>4186</v>
      </c>
    </row>
    <row r="19" spans="3:9" hidden="1">
      <c r="C19" t="s">
        <v>485</v>
      </c>
      <c r="D19" t="s">
        <v>79</v>
      </c>
      <c r="E19" t="s">
        <v>498</v>
      </c>
      <c r="F19" t="s">
        <v>79</v>
      </c>
      <c r="G19" t="s">
        <v>513</v>
      </c>
      <c r="H19">
        <v>4635.6105202399995</v>
      </c>
      <c r="I19">
        <v>5486.7938510416661</v>
      </c>
    </row>
    <row r="20" spans="3:9" hidden="1">
      <c r="C20" t="s">
        <v>486</v>
      </c>
      <c r="D20" t="s">
        <v>79</v>
      </c>
      <c r="E20" t="s">
        <v>499</v>
      </c>
      <c r="F20" t="s">
        <v>322</v>
      </c>
      <c r="G20" t="s">
        <v>514</v>
      </c>
      <c r="H20">
        <v>7097.50886524</v>
      </c>
      <c r="I20">
        <v>7471.3908250000004</v>
      </c>
    </row>
    <row r="21" spans="3:9" hidden="1">
      <c r="C21" t="s">
        <v>487</v>
      </c>
      <c r="D21" t="s">
        <v>79</v>
      </c>
      <c r="E21" t="s">
        <v>500</v>
      </c>
      <c r="F21" t="s">
        <v>506</v>
      </c>
      <c r="G21" t="s">
        <v>515</v>
      </c>
      <c r="H21">
        <v>4870.6540000000005</v>
      </c>
      <c r="I21">
        <v>4614.4799999999996</v>
      </c>
    </row>
    <row r="22" spans="3:9" hidden="1">
      <c r="C22" t="s">
        <v>488</v>
      </c>
      <c r="D22" t="s">
        <v>79</v>
      </c>
      <c r="E22" t="s">
        <v>501</v>
      </c>
      <c r="F22" t="s">
        <v>506</v>
      </c>
      <c r="G22" t="s">
        <v>286</v>
      </c>
      <c r="H22">
        <v>3647.4524817518245</v>
      </c>
      <c r="I22">
        <v>4156.25</v>
      </c>
    </row>
    <row r="23" spans="3:9" hidden="1">
      <c r="C23" t="s">
        <v>489</v>
      </c>
      <c r="D23" t="s">
        <v>79</v>
      </c>
      <c r="E23" t="s">
        <v>502</v>
      </c>
      <c r="F23" t="s">
        <v>509</v>
      </c>
      <c r="G23" t="s">
        <v>516</v>
      </c>
      <c r="H23">
        <v>4467.6643158599991</v>
      </c>
      <c r="I23">
        <v>4310.2275192759998</v>
      </c>
    </row>
    <row r="24" spans="3:9" hidden="1">
      <c r="C24" t="s">
        <v>490</v>
      </c>
      <c r="D24" t="s">
        <v>79</v>
      </c>
      <c r="E24" t="s">
        <v>503</v>
      </c>
      <c r="F24" t="s">
        <v>506</v>
      </c>
      <c r="G24" t="s">
        <v>517</v>
      </c>
      <c r="H24">
        <v>3605.0003834772247</v>
      </c>
      <c r="I24">
        <v>3325</v>
      </c>
    </row>
    <row r="25" spans="3:9" hidden="1">
      <c r="C25" t="s">
        <v>491</v>
      </c>
      <c r="D25" t="s">
        <v>79</v>
      </c>
      <c r="E25" t="s">
        <v>504</v>
      </c>
      <c r="F25" t="s">
        <v>509</v>
      </c>
      <c r="G25" t="s">
        <v>518</v>
      </c>
      <c r="H25">
        <v>2868.8441311475412</v>
      </c>
      <c r="I25">
        <v>3487.5</v>
      </c>
    </row>
    <row r="26" spans="3:9" hidden="1">
      <c r="C26" t="s">
        <v>492</v>
      </c>
      <c r="D26" t="s">
        <v>79</v>
      </c>
      <c r="E26" t="s">
        <v>505</v>
      </c>
      <c r="F26" t="s">
        <v>510</v>
      </c>
      <c r="G26" t="s">
        <v>519</v>
      </c>
      <c r="H26">
        <v>4183.8007227199996</v>
      </c>
      <c r="I26">
        <v>4017.2353488372091</v>
      </c>
    </row>
    <row r="27" spans="3:9" hidden="1">
      <c r="C27" t="s">
        <v>520</v>
      </c>
      <c r="D27" t="s">
        <v>106</v>
      </c>
      <c r="E27" t="s">
        <v>493</v>
      </c>
      <c r="F27" t="s">
        <v>535</v>
      </c>
      <c r="G27" t="s">
        <v>348</v>
      </c>
      <c r="H27">
        <v>2504.0633727599998</v>
      </c>
      <c r="I27">
        <v>2405.7995411421284</v>
      </c>
    </row>
    <row r="28" spans="3:9" hidden="1">
      <c r="C28" t="s">
        <v>521</v>
      </c>
      <c r="D28" t="s">
        <v>106</v>
      </c>
      <c r="E28" t="s">
        <v>494</v>
      </c>
      <c r="F28" t="s">
        <v>106</v>
      </c>
      <c r="G28" t="s">
        <v>387</v>
      </c>
      <c r="H28">
        <v>1792.39</v>
      </c>
      <c r="I28">
        <v>1795.5</v>
      </c>
    </row>
    <row r="29" spans="3:9" hidden="1">
      <c r="C29" t="s">
        <v>522</v>
      </c>
      <c r="D29" t="s">
        <v>106</v>
      </c>
      <c r="E29" t="s">
        <v>534</v>
      </c>
      <c r="F29" t="s">
        <v>106</v>
      </c>
      <c r="G29" t="s">
        <v>360</v>
      </c>
      <c r="H29">
        <v>2440.1167694000001</v>
      </c>
      <c r="I29">
        <v>2478.811495908838</v>
      </c>
    </row>
    <row r="30" spans="3:9" hidden="1">
      <c r="C30" t="s">
        <v>523</v>
      </c>
      <c r="D30" t="s">
        <v>106</v>
      </c>
      <c r="E30" t="s">
        <v>495</v>
      </c>
      <c r="F30" t="s">
        <v>106</v>
      </c>
      <c r="G30" t="s">
        <v>378</v>
      </c>
      <c r="H30">
        <v>1408.50680076</v>
      </c>
      <c r="I30">
        <v>1367.626804988</v>
      </c>
    </row>
    <row r="31" spans="3:9" hidden="1">
      <c r="C31" t="s">
        <v>524</v>
      </c>
      <c r="D31" t="s">
        <v>106</v>
      </c>
      <c r="E31" t="s">
        <v>496</v>
      </c>
      <c r="F31" t="s">
        <v>536</v>
      </c>
      <c r="G31" t="s">
        <v>408</v>
      </c>
      <c r="H31">
        <v>2887.5</v>
      </c>
      <c r="I31">
        <v>2887.5</v>
      </c>
    </row>
    <row r="32" spans="3:9" hidden="1">
      <c r="C32" t="s">
        <v>525</v>
      </c>
      <c r="D32" t="s">
        <v>106</v>
      </c>
      <c r="E32" t="s">
        <v>497</v>
      </c>
      <c r="F32" t="s">
        <v>536</v>
      </c>
      <c r="G32" t="s">
        <v>396</v>
      </c>
      <c r="H32">
        <v>1717.808</v>
      </c>
      <c r="I32">
        <v>1759.5</v>
      </c>
    </row>
    <row r="33" spans="3:9" hidden="1">
      <c r="C33" t="s">
        <v>526</v>
      </c>
      <c r="D33" t="s">
        <v>106</v>
      </c>
      <c r="E33" t="s">
        <v>498</v>
      </c>
      <c r="F33" t="s">
        <v>536</v>
      </c>
      <c r="G33" t="s">
        <v>300</v>
      </c>
      <c r="H33">
        <v>1557.47577366</v>
      </c>
      <c r="I33">
        <v>1875.0197956848485</v>
      </c>
    </row>
    <row r="34" spans="3:9" hidden="1">
      <c r="C34" t="s">
        <v>527</v>
      </c>
      <c r="D34" t="s">
        <v>106</v>
      </c>
      <c r="E34" t="s">
        <v>499</v>
      </c>
      <c r="F34" t="s">
        <v>535</v>
      </c>
      <c r="G34" t="s">
        <v>538</v>
      </c>
      <c r="H34">
        <v>2279.0991033800001</v>
      </c>
      <c r="I34">
        <v>2412.3027499999998</v>
      </c>
    </row>
    <row r="35" spans="3:9" hidden="1">
      <c r="C35" t="s">
        <v>528</v>
      </c>
      <c r="D35" t="s">
        <v>106</v>
      </c>
      <c r="E35" t="s">
        <v>500</v>
      </c>
      <c r="F35" t="s">
        <v>537</v>
      </c>
      <c r="G35" t="s">
        <v>539</v>
      </c>
      <c r="H35">
        <v>1913.6220000000001</v>
      </c>
      <c r="I35">
        <v>1820.94</v>
      </c>
    </row>
    <row r="36" spans="3:9" hidden="1">
      <c r="C36" t="s">
        <v>529</v>
      </c>
      <c r="D36" t="s">
        <v>106</v>
      </c>
      <c r="E36" t="s">
        <v>501</v>
      </c>
      <c r="F36" t="s">
        <v>106</v>
      </c>
      <c r="G36" t="s">
        <v>540</v>
      </c>
      <c r="H36">
        <v>1625.6780000000001</v>
      </c>
      <c r="I36">
        <v>1592.5</v>
      </c>
    </row>
    <row r="37" spans="3:9" hidden="1">
      <c r="C37" t="s">
        <v>530</v>
      </c>
      <c r="D37" t="s">
        <v>106</v>
      </c>
      <c r="E37" t="s">
        <v>502</v>
      </c>
      <c r="F37" t="s">
        <v>535</v>
      </c>
      <c r="G37" t="s">
        <v>541</v>
      </c>
      <c r="H37">
        <v>2637.7159398917647</v>
      </c>
      <c r="I37">
        <v>1957.6599981120003</v>
      </c>
    </row>
    <row r="38" spans="3:9" hidden="1">
      <c r="C38" t="s">
        <v>531</v>
      </c>
      <c r="D38" t="s">
        <v>106</v>
      </c>
      <c r="E38" t="s">
        <v>503</v>
      </c>
      <c r="F38" t="s">
        <v>535</v>
      </c>
      <c r="G38" t="s">
        <v>542</v>
      </c>
      <c r="H38">
        <v>1842.8320000000001</v>
      </c>
      <c r="I38">
        <v>1768</v>
      </c>
    </row>
    <row r="39" spans="3:9" hidden="1">
      <c r="C39" t="s">
        <v>532</v>
      </c>
      <c r="D39" t="s">
        <v>106</v>
      </c>
      <c r="E39" t="s">
        <v>504</v>
      </c>
      <c r="F39" t="s">
        <v>535</v>
      </c>
      <c r="G39" t="s">
        <v>543</v>
      </c>
      <c r="H39">
        <v>1850.809</v>
      </c>
      <c r="I39">
        <v>1853.28</v>
      </c>
    </row>
    <row r="40" spans="3:9" hidden="1">
      <c r="C40" t="s">
        <v>533</v>
      </c>
      <c r="D40" t="s">
        <v>106</v>
      </c>
      <c r="E40" t="s">
        <v>505</v>
      </c>
      <c r="F40" t="s">
        <v>106</v>
      </c>
      <c r="G40" t="s">
        <v>445</v>
      </c>
      <c r="H40">
        <v>1951.0758623600002</v>
      </c>
      <c r="I40">
        <v>1718.0663749136897</v>
      </c>
    </row>
    <row r="41" spans="3:9" hidden="1">
      <c r="C41" t="s">
        <v>544</v>
      </c>
      <c r="D41" t="s">
        <v>277</v>
      </c>
      <c r="E41" t="s">
        <v>493</v>
      </c>
      <c r="F41" t="s">
        <v>557</v>
      </c>
      <c r="G41" t="s">
        <v>350</v>
      </c>
      <c r="H41">
        <v>2606.57982932</v>
      </c>
      <c r="I41">
        <v>2479.994840788167</v>
      </c>
    </row>
    <row r="42" spans="3:9" hidden="1">
      <c r="C42" t="s">
        <v>545</v>
      </c>
      <c r="D42" t="s">
        <v>277</v>
      </c>
      <c r="E42" t="s">
        <v>494</v>
      </c>
      <c r="F42" t="s">
        <v>277</v>
      </c>
      <c r="G42" t="s">
        <v>386</v>
      </c>
      <c r="H42">
        <v>3027.2249999999999</v>
      </c>
      <c r="I42">
        <v>2974.5</v>
      </c>
    </row>
    <row r="43" spans="3:9" hidden="1">
      <c r="C43" t="s">
        <v>546</v>
      </c>
      <c r="D43" t="s">
        <v>277</v>
      </c>
      <c r="E43" t="s">
        <v>534</v>
      </c>
      <c r="F43" t="s">
        <v>558</v>
      </c>
      <c r="G43" t="s">
        <v>361</v>
      </c>
      <c r="H43">
        <v>2896.4232342</v>
      </c>
      <c r="I43">
        <v>2657.1905274715928</v>
      </c>
    </row>
    <row r="44" spans="3:9" hidden="1">
      <c r="C44" t="s">
        <v>547</v>
      </c>
      <c r="D44" t="s">
        <v>277</v>
      </c>
      <c r="E44" t="s">
        <v>495</v>
      </c>
      <c r="F44" t="s">
        <v>558</v>
      </c>
      <c r="G44" t="s">
        <v>379</v>
      </c>
      <c r="H44">
        <v>1850.89411</v>
      </c>
      <c r="I44">
        <v>1753.531276792</v>
      </c>
    </row>
    <row r="45" spans="3:9" hidden="1">
      <c r="C45" t="s">
        <v>548</v>
      </c>
      <c r="D45" t="s">
        <v>277</v>
      </c>
      <c r="E45" t="s">
        <v>496</v>
      </c>
      <c r="F45" t="s">
        <v>559</v>
      </c>
      <c r="G45" t="s">
        <v>409</v>
      </c>
      <c r="H45">
        <v>2887.5</v>
      </c>
      <c r="I45">
        <v>2887.5</v>
      </c>
    </row>
    <row r="46" spans="3:9" hidden="1">
      <c r="C46" t="s">
        <v>549</v>
      </c>
      <c r="D46" t="s">
        <v>277</v>
      </c>
      <c r="E46" t="s">
        <v>497</v>
      </c>
      <c r="F46" t="s">
        <v>560</v>
      </c>
      <c r="G46" t="s">
        <v>395</v>
      </c>
      <c r="H46">
        <v>2267.46</v>
      </c>
      <c r="I46">
        <v>2340</v>
      </c>
    </row>
    <row r="47" spans="3:9" hidden="1">
      <c r="D47" t="s">
        <v>277</v>
      </c>
    </row>
    <row r="48" spans="3:9" hidden="1">
      <c r="C48" t="s">
        <v>78</v>
      </c>
      <c r="D48" t="s">
        <v>277</v>
      </c>
      <c r="E48" t="s">
        <v>78</v>
      </c>
      <c r="F48" t="s">
        <v>78</v>
      </c>
      <c r="G48" t="s">
        <v>78</v>
      </c>
      <c r="H48" t="s">
        <v>78</v>
      </c>
      <c r="I48" t="s">
        <v>78</v>
      </c>
    </row>
    <row r="49" spans="3:9" hidden="1">
      <c r="C49" t="s">
        <v>550</v>
      </c>
      <c r="D49" t="s">
        <v>277</v>
      </c>
      <c r="E49" t="s">
        <v>499</v>
      </c>
      <c r="F49" t="s">
        <v>561</v>
      </c>
      <c r="G49" t="s">
        <v>328</v>
      </c>
      <c r="H49">
        <v>2223.3280133399999</v>
      </c>
      <c r="I49">
        <v>2302.6526250000002</v>
      </c>
    </row>
    <row r="50" spans="3:9" hidden="1">
      <c r="C50" t="s">
        <v>551</v>
      </c>
      <c r="D50" t="s">
        <v>277</v>
      </c>
      <c r="E50" t="s">
        <v>500</v>
      </c>
      <c r="F50" t="s">
        <v>562</v>
      </c>
      <c r="G50" t="s">
        <v>564</v>
      </c>
      <c r="H50">
        <v>2072.3809999999999</v>
      </c>
      <c r="I50">
        <v>2005.41</v>
      </c>
    </row>
    <row r="51" spans="3:9" hidden="1">
      <c r="C51" t="s">
        <v>552</v>
      </c>
      <c r="D51" t="s">
        <v>277</v>
      </c>
      <c r="E51" t="s">
        <v>501</v>
      </c>
      <c r="F51" t="s">
        <v>277</v>
      </c>
      <c r="G51" t="s">
        <v>289</v>
      </c>
      <c r="H51">
        <v>1828.5909999999999</v>
      </c>
      <c r="I51">
        <v>1820</v>
      </c>
    </row>
    <row r="52" spans="3:9" hidden="1">
      <c r="C52" t="s">
        <v>553</v>
      </c>
      <c r="D52" t="s">
        <v>277</v>
      </c>
      <c r="E52" t="s">
        <v>502</v>
      </c>
      <c r="F52" t="s">
        <v>563</v>
      </c>
      <c r="G52" t="s">
        <v>430</v>
      </c>
      <c r="H52">
        <v>2167.4192702200003</v>
      </c>
      <c r="I52">
        <v>2014.7115317039998</v>
      </c>
    </row>
    <row r="53" spans="3:9" hidden="1">
      <c r="C53" t="s">
        <v>554</v>
      </c>
      <c r="D53" t="s">
        <v>277</v>
      </c>
      <c r="E53" t="s">
        <v>503</v>
      </c>
      <c r="F53" t="s">
        <v>557</v>
      </c>
      <c r="G53" t="s">
        <v>422</v>
      </c>
      <c r="H53">
        <v>2061.8701363636364</v>
      </c>
      <c r="I53">
        <v>2156.25</v>
      </c>
    </row>
    <row r="54" spans="3:9" hidden="1">
      <c r="C54" t="s">
        <v>555</v>
      </c>
      <c r="D54" t="s">
        <v>277</v>
      </c>
      <c r="E54" t="s">
        <v>504</v>
      </c>
      <c r="F54" t="s">
        <v>557</v>
      </c>
      <c r="G54" t="s">
        <v>565</v>
      </c>
      <c r="H54">
        <v>1882.4280000000001</v>
      </c>
      <c r="I54">
        <v>1854</v>
      </c>
    </row>
    <row r="55" spans="3:9" hidden="1">
      <c r="C55" t="s">
        <v>556</v>
      </c>
      <c r="D55" t="s">
        <v>277</v>
      </c>
      <c r="E55" t="s">
        <v>505</v>
      </c>
      <c r="F55" t="s">
        <v>399</v>
      </c>
      <c r="G55" t="s">
        <v>442</v>
      </c>
      <c r="H55">
        <v>2133.2462183400003</v>
      </c>
      <c r="I55">
        <v>2133.2462183400003</v>
      </c>
    </row>
    <row r="56" spans="3:9">
      <c r="C56" t="s">
        <v>566</v>
      </c>
      <c r="D56" t="s">
        <v>468</v>
      </c>
      <c r="E56" t="s">
        <v>494</v>
      </c>
      <c r="F56" t="s">
        <v>586</v>
      </c>
      <c r="G56" t="s">
        <v>388</v>
      </c>
      <c r="H56">
        <v>2497.875</v>
      </c>
      <c r="I56">
        <v>2383.1</v>
      </c>
    </row>
    <row r="57" spans="3:9">
      <c r="C57" t="s">
        <v>567</v>
      </c>
      <c r="D57" t="s">
        <v>468</v>
      </c>
      <c r="E57" t="s">
        <v>534</v>
      </c>
      <c r="F57" t="s">
        <v>586</v>
      </c>
      <c r="G57" t="s">
        <v>363</v>
      </c>
      <c r="H57">
        <v>1940.0917381925253</v>
      </c>
      <c r="I57">
        <v>1851.4828120641209</v>
      </c>
    </row>
    <row r="58" spans="3:9">
      <c r="C58" t="s">
        <v>568</v>
      </c>
      <c r="D58" t="s">
        <v>468</v>
      </c>
      <c r="E58" t="s">
        <v>495</v>
      </c>
      <c r="F58" t="s">
        <v>587</v>
      </c>
      <c r="G58" t="s">
        <v>578</v>
      </c>
      <c r="H58">
        <v>1262.2692968199999</v>
      </c>
      <c r="I58">
        <v>1216.8289054169811</v>
      </c>
    </row>
    <row r="59" spans="3:9">
      <c r="C59" t="s">
        <v>569</v>
      </c>
      <c r="D59" t="s">
        <v>468</v>
      </c>
      <c r="E59" t="s">
        <v>496</v>
      </c>
      <c r="F59" t="s">
        <v>588</v>
      </c>
      <c r="G59" t="s">
        <v>579</v>
      </c>
      <c r="H59">
        <v>2295</v>
      </c>
      <c r="I59">
        <v>2677.5830258302585</v>
      </c>
    </row>
    <row r="60" spans="3:9">
      <c r="C60" t="s">
        <v>570</v>
      </c>
      <c r="D60" t="s">
        <v>468</v>
      </c>
      <c r="E60" t="s">
        <v>497</v>
      </c>
      <c r="F60" t="s">
        <v>589</v>
      </c>
      <c r="G60" t="s">
        <v>398</v>
      </c>
      <c r="H60">
        <v>1365.885</v>
      </c>
      <c r="I60">
        <v>1411.15</v>
      </c>
    </row>
    <row r="61" spans="3:9">
      <c r="C61" t="s">
        <v>571</v>
      </c>
      <c r="D61" t="s">
        <v>468</v>
      </c>
      <c r="E61" t="s">
        <v>498</v>
      </c>
      <c r="F61" t="s">
        <v>590</v>
      </c>
      <c r="G61" t="s">
        <v>580</v>
      </c>
      <c r="H61">
        <v>1230.68871128</v>
      </c>
      <c r="I61">
        <v>1488.8336145624999</v>
      </c>
    </row>
    <row r="62" spans="3:9">
      <c r="C62" t="s">
        <v>572</v>
      </c>
      <c r="D62" t="s">
        <v>468</v>
      </c>
      <c r="E62" t="s">
        <v>499</v>
      </c>
      <c r="F62" t="s">
        <v>591</v>
      </c>
      <c r="G62" t="s">
        <v>581</v>
      </c>
      <c r="H62">
        <v>2270.4552996800003</v>
      </c>
      <c r="I62">
        <v>2368.4426999999996</v>
      </c>
    </row>
    <row r="63" spans="3:9">
      <c r="C63" t="s">
        <v>573</v>
      </c>
      <c r="D63" t="s">
        <v>468</v>
      </c>
      <c r="E63" t="s">
        <v>500</v>
      </c>
      <c r="F63" t="s">
        <v>592</v>
      </c>
      <c r="G63" t="s">
        <v>582</v>
      </c>
      <c r="H63">
        <v>1560.5719999999999</v>
      </c>
      <c r="I63">
        <v>1485</v>
      </c>
    </row>
    <row r="64" spans="3:9">
      <c r="C64" t="s">
        <v>574</v>
      </c>
      <c r="D64" t="s">
        <v>468</v>
      </c>
      <c r="E64" t="s">
        <v>501</v>
      </c>
      <c r="F64" t="s">
        <v>593</v>
      </c>
      <c r="G64" t="s">
        <v>295</v>
      </c>
      <c r="H64">
        <v>1301.413</v>
      </c>
      <c r="I64">
        <v>1288.56</v>
      </c>
    </row>
    <row r="65" spans="3:10">
      <c r="D65" t="s">
        <v>468</v>
      </c>
    </row>
    <row r="66" spans="3:10">
      <c r="C66" t="s">
        <v>78</v>
      </c>
      <c r="D66" t="s">
        <v>468</v>
      </c>
      <c r="E66" t="s">
        <v>78</v>
      </c>
      <c r="F66" t="s">
        <v>78</v>
      </c>
      <c r="G66" t="s">
        <v>78</v>
      </c>
      <c r="H66" t="s">
        <v>78</v>
      </c>
      <c r="I66" t="s">
        <v>78</v>
      </c>
    </row>
    <row r="67" spans="3:10">
      <c r="C67" t="s">
        <v>575</v>
      </c>
      <c r="D67" t="s">
        <v>468</v>
      </c>
      <c r="E67" t="s">
        <v>503</v>
      </c>
      <c r="F67" t="s">
        <v>594</v>
      </c>
      <c r="G67" t="s">
        <v>583</v>
      </c>
      <c r="H67">
        <v>1166.2260000000001</v>
      </c>
      <c r="I67">
        <v>1111.5</v>
      </c>
    </row>
    <row r="68" spans="3:10">
      <c r="C68" t="s">
        <v>576</v>
      </c>
      <c r="D68" t="s">
        <v>468</v>
      </c>
      <c r="E68" t="s">
        <v>504</v>
      </c>
      <c r="F68" t="s">
        <v>595</v>
      </c>
      <c r="G68" t="s">
        <v>584</v>
      </c>
      <c r="H68">
        <v>1448.8530000000001</v>
      </c>
      <c r="I68">
        <v>1446.25</v>
      </c>
    </row>
    <row r="69" spans="3:10">
      <c r="C69" t="s">
        <v>577</v>
      </c>
      <c r="D69" t="s">
        <v>468</v>
      </c>
      <c r="E69" t="s">
        <v>505</v>
      </c>
      <c r="F69" t="s">
        <v>596</v>
      </c>
      <c r="G69" t="s">
        <v>585</v>
      </c>
      <c r="H69">
        <v>1649.8666315999999</v>
      </c>
      <c r="I69">
        <v>1468.265309161</v>
      </c>
    </row>
    <row r="70" spans="3:10" hidden="1">
      <c r="C70" t="s">
        <v>598</v>
      </c>
      <c r="D70" t="s">
        <v>108</v>
      </c>
      <c r="E70" t="s">
        <v>493</v>
      </c>
      <c r="F70" t="s">
        <v>557</v>
      </c>
      <c r="G70" t="s">
        <v>350</v>
      </c>
      <c r="H70">
        <v>2606.57982932</v>
      </c>
      <c r="I70">
        <v>2479.994840788167</v>
      </c>
      <c r="J70" t="s">
        <v>597</v>
      </c>
    </row>
    <row r="71" spans="3:10" hidden="1">
      <c r="C71" t="s">
        <v>599</v>
      </c>
      <c r="D71" t="s">
        <v>108</v>
      </c>
      <c r="E71" t="s">
        <v>494</v>
      </c>
      <c r="F71" t="s">
        <v>586</v>
      </c>
      <c r="G71" t="s">
        <v>388</v>
      </c>
      <c r="H71">
        <v>2497.875</v>
      </c>
      <c r="I71">
        <v>2383.1</v>
      </c>
    </row>
    <row r="72" spans="3:10" hidden="1">
      <c r="C72" t="s">
        <v>600</v>
      </c>
      <c r="D72" t="s">
        <v>108</v>
      </c>
      <c r="E72" t="s">
        <v>534</v>
      </c>
      <c r="F72" t="s">
        <v>614</v>
      </c>
      <c r="G72" t="s">
        <v>362</v>
      </c>
      <c r="H72">
        <v>2456.0345937000002</v>
      </c>
      <c r="I72">
        <v>2417.4689965964399</v>
      </c>
    </row>
    <row r="73" spans="3:10" hidden="1">
      <c r="C73" t="s">
        <v>601</v>
      </c>
      <c r="D73" t="s">
        <v>108</v>
      </c>
      <c r="E73" t="s">
        <v>495</v>
      </c>
      <c r="F73" t="s">
        <v>587</v>
      </c>
      <c r="G73" t="s">
        <v>578</v>
      </c>
      <c r="H73">
        <v>1262.2692968199999</v>
      </c>
      <c r="I73">
        <v>1216.8289054169811</v>
      </c>
    </row>
    <row r="74" spans="3:10" hidden="1">
      <c r="C74" t="s">
        <v>602</v>
      </c>
      <c r="D74" t="s">
        <v>108</v>
      </c>
      <c r="E74" t="s">
        <v>496</v>
      </c>
      <c r="F74" t="s">
        <v>559</v>
      </c>
      <c r="G74" t="s">
        <v>409</v>
      </c>
      <c r="H74">
        <v>2887.5</v>
      </c>
      <c r="I74">
        <v>2887.5</v>
      </c>
    </row>
    <row r="75" spans="3:10" hidden="1">
      <c r="C75" t="s">
        <v>603</v>
      </c>
      <c r="D75" t="s">
        <v>108</v>
      </c>
      <c r="E75" t="s">
        <v>497</v>
      </c>
      <c r="F75" t="s">
        <v>589</v>
      </c>
      <c r="G75" t="s">
        <v>398</v>
      </c>
      <c r="H75">
        <v>1365.885</v>
      </c>
      <c r="I75">
        <v>1411.15</v>
      </c>
    </row>
    <row r="76" spans="3:10" hidden="1">
      <c r="C76" t="s">
        <v>604</v>
      </c>
      <c r="D76" t="s">
        <v>108</v>
      </c>
      <c r="E76" t="s">
        <v>498</v>
      </c>
      <c r="F76" t="s">
        <v>615</v>
      </c>
      <c r="G76" t="s">
        <v>306</v>
      </c>
      <c r="H76">
        <v>1314.3561426599999</v>
      </c>
      <c r="I76">
        <v>1528.2528344999998</v>
      </c>
    </row>
    <row r="77" spans="3:10" hidden="1">
      <c r="C77" t="s">
        <v>605</v>
      </c>
      <c r="D77" t="s">
        <v>108</v>
      </c>
      <c r="E77" t="s">
        <v>499</v>
      </c>
      <c r="F77" t="s">
        <v>591</v>
      </c>
      <c r="G77" t="s">
        <v>581</v>
      </c>
      <c r="H77">
        <v>2270.4552996800003</v>
      </c>
      <c r="I77">
        <v>2368.4426999999996</v>
      </c>
    </row>
    <row r="78" spans="3:10" hidden="1">
      <c r="C78" t="s">
        <v>606</v>
      </c>
      <c r="D78" t="s">
        <v>108</v>
      </c>
      <c r="E78" t="s">
        <v>500</v>
      </c>
      <c r="F78" t="s">
        <v>592</v>
      </c>
      <c r="G78" t="s">
        <v>582</v>
      </c>
      <c r="H78">
        <v>1560.5719999999999</v>
      </c>
      <c r="I78">
        <v>1485</v>
      </c>
    </row>
    <row r="79" spans="3:10" hidden="1">
      <c r="C79" t="s">
        <v>607</v>
      </c>
      <c r="D79" t="s">
        <v>108</v>
      </c>
      <c r="E79" t="s">
        <v>501</v>
      </c>
      <c r="F79" t="s">
        <v>593</v>
      </c>
      <c r="G79" t="s">
        <v>295</v>
      </c>
      <c r="H79">
        <v>1301.413</v>
      </c>
      <c r="I79">
        <v>1288.56</v>
      </c>
    </row>
    <row r="80" spans="3:10" hidden="1">
      <c r="C80" t="s">
        <v>608</v>
      </c>
      <c r="D80" t="s">
        <v>108</v>
      </c>
      <c r="E80" t="s">
        <v>502</v>
      </c>
      <c r="F80" t="s">
        <v>616</v>
      </c>
      <c r="G80" t="s">
        <v>612</v>
      </c>
      <c r="H80">
        <v>1698.7226786799999</v>
      </c>
      <c r="I80">
        <v>1951.5433430160001</v>
      </c>
    </row>
    <row r="81" spans="3:9" hidden="1">
      <c r="C81" t="s">
        <v>609</v>
      </c>
      <c r="D81" t="s">
        <v>108</v>
      </c>
      <c r="E81" t="s">
        <v>503</v>
      </c>
      <c r="F81" t="s">
        <v>617</v>
      </c>
      <c r="G81" t="s">
        <v>420</v>
      </c>
      <c r="H81">
        <v>1470.5920000000001</v>
      </c>
      <c r="I81">
        <v>1530</v>
      </c>
    </row>
    <row r="82" spans="3:9" hidden="1">
      <c r="C82" t="s">
        <v>610</v>
      </c>
      <c r="D82" t="s">
        <v>108</v>
      </c>
      <c r="E82" t="s">
        <v>504</v>
      </c>
      <c r="F82" t="s">
        <v>595</v>
      </c>
      <c r="G82" t="s">
        <v>584</v>
      </c>
      <c r="H82">
        <v>1448.8530000000001</v>
      </c>
      <c r="I82">
        <v>1446.25</v>
      </c>
    </row>
    <row r="83" spans="3:9" hidden="1">
      <c r="C83" t="s">
        <v>611</v>
      </c>
      <c r="D83" t="s">
        <v>108</v>
      </c>
      <c r="E83" t="s">
        <v>505</v>
      </c>
      <c r="F83" t="s">
        <v>618</v>
      </c>
      <c r="G83" t="s">
        <v>613</v>
      </c>
      <c r="H83">
        <v>1951.1001540800003</v>
      </c>
      <c r="I83">
        <v>1695.0709615429266</v>
      </c>
    </row>
    <row r="84" spans="3:9" hidden="1">
      <c r="C84" t="s">
        <v>619</v>
      </c>
      <c r="D84" t="s">
        <v>469</v>
      </c>
      <c r="E84" t="s">
        <v>493</v>
      </c>
      <c r="F84" t="s">
        <v>635</v>
      </c>
      <c r="G84" t="s">
        <v>351</v>
      </c>
      <c r="H84">
        <v>1425.83894298</v>
      </c>
      <c r="I84">
        <v>1282.47393493</v>
      </c>
    </row>
    <row r="85" spans="3:9" hidden="1">
      <c r="C85" t="s">
        <v>620</v>
      </c>
      <c r="D85" t="s">
        <v>469</v>
      </c>
      <c r="E85" t="s">
        <v>78</v>
      </c>
      <c r="F85" t="s">
        <v>78</v>
      </c>
      <c r="G85" t="s">
        <v>78</v>
      </c>
      <c r="H85" t="s">
        <v>78</v>
      </c>
      <c r="I85" t="s">
        <v>78</v>
      </c>
    </row>
    <row r="86" spans="3:9" hidden="1">
      <c r="C86" t="s">
        <v>621</v>
      </c>
      <c r="D86" t="s">
        <v>469</v>
      </c>
      <c r="E86" t="s">
        <v>78</v>
      </c>
      <c r="F86" t="s">
        <v>78</v>
      </c>
      <c r="G86" t="s">
        <v>78</v>
      </c>
      <c r="H86" t="s">
        <v>78</v>
      </c>
      <c r="I86" t="s">
        <v>78</v>
      </c>
    </row>
    <row r="87" spans="3:9" hidden="1">
      <c r="C87" t="s">
        <v>622</v>
      </c>
      <c r="D87" t="s">
        <v>469</v>
      </c>
      <c r="E87" t="s">
        <v>495</v>
      </c>
      <c r="F87" t="s">
        <v>354</v>
      </c>
      <c r="G87" t="s">
        <v>633</v>
      </c>
      <c r="H87">
        <v>1269.5649100599999</v>
      </c>
      <c r="I87">
        <v>1185.213037643487</v>
      </c>
    </row>
    <row r="88" spans="3:9" hidden="1">
      <c r="C88" t="s">
        <v>623</v>
      </c>
      <c r="D88" t="s">
        <v>469</v>
      </c>
      <c r="E88" t="s">
        <v>496</v>
      </c>
      <c r="F88" t="s">
        <v>415</v>
      </c>
      <c r="G88" t="s">
        <v>634</v>
      </c>
      <c r="H88">
        <v>2440</v>
      </c>
      <c r="I88">
        <v>2904.1369240752756</v>
      </c>
    </row>
    <row r="89" spans="3:9" hidden="1">
      <c r="C89" t="s">
        <v>624</v>
      </c>
      <c r="D89" t="s">
        <v>469</v>
      </c>
      <c r="E89" t="s">
        <v>78</v>
      </c>
      <c r="F89" t="s">
        <v>78</v>
      </c>
      <c r="G89" t="s">
        <v>78</v>
      </c>
      <c r="H89" t="s">
        <v>78</v>
      </c>
      <c r="I89" t="s">
        <v>78</v>
      </c>
    </row>
    <row r="90" spans="3:9" hidden="1">
      <c r="C90" t="s">
        <v>625</v>
      </c>
      <c r="D90" t="s">
        <v>469</v>
      </c>
      <c r="E90" t="s">
        <v>78</v>
      </c>
      <c r="F90" t="s">
        <v>78</v>
      </c>
      <c r="G90" t="s">
        <v>78</v>
      </c>
      <c r="H90" t="s">
        <v>78</v>
      </c>
      <c r="I90" t="s">
        <v>78</v>
      </c>
    </row>
    <row r="91" spans="3:9" hidden="1">
      <c r="C91" t="s">
        <v>626</v>
      </c>
      <c r="D91" t="s">
        <v>469</v>
      </c>
      <c r="E91" t="s">
        <v>78</v>
      </c>
      <c r="F91" t="s">
        <v>78</v>
      </c>
      <c r="G91" t="s">
        <v>78</v>
      </c>
      <c r="H91" t="s">
        <v>78</v>
      </c>
      <c r="I91" t="s">
        <v>78</v>
      </c>
    </row>
    <row r="92" spans="3:9" hidden="1">
      <c r="C92" t="s">
        <v>627</v>
      </c>
      <c r="D92" t="s">
        <v>469</v>
      </c>
      <c r="E92" t="s">
        <v>78</v>
      </c>
      <c r="F92" t="s">
        <v>78</v>
      </c>
      <c r="G92" t="s">
        <v>78</v>
      </c>
      <c r="H92" t="s">
        <v>78</v>
      </c>
      <c r="I92" t="s">
        <v>78</v>
      </c>
    </row>
    <row r="93" spans="3:9" hidden="1">
      <c r="C93" t="s">
        <v>628</v>
      </c>
      <c r="D93" t="s">
        <v>469</v>
      </c>
      <c r="E93" t="s">
        <v>78</v>
      </c>
      <c r="F93" t="s">
        <v>78</v>
      </c>
      <c r="G93" t="s">
        <v>78</v>
      </c>
      <c r="H93" t="s">
        <v>78</v>
      </c>
      <c r="I93" t="s">
        <v>78</v>
      </c>
    </row>
    <row r="94" spans="3:9" hidden="1">
      <c r="C94" t="s">
        <v>629</v>
      </c>
      <c r="D94" t="s">
        <v>469</v>
      </c>
      <c r="E94" t="s">
        <v>78</v>
      </c>
      <c r="F94" t="s">
        <v>78</v>
      </c>
      <c r="G94" t="s">
        <v>78</v>
      </c>
      <c r="H94" t="s">
        <v>78</v>
      </c>
      <c r="I94" t="s">
        <v>78</v>
      </c>
    </row>
    <row r="95" spans="3:9" hidden="1">
      <c r="C95" t="s">
        <v>630</v>
      </c>
      <c r="D95" t="s">
        <v>469</v>
      </c>
      <c r="E95" t="s">
        <v>78</v>
      </c>
      <c r="F95" t="s">
        <v>78</v>
      </c>
      <c r="G95" t="s">
        <v>78</v>
      </c>
      <c r="H95" t="s">
        <v>78</v>
      </c>
      <c r="I95" t="s">
        <v>78</v>
      </c>
    </row>
    <row r="96" spans="3:9" hidden="1">
      <c r="C96" t="s">
        <v>631</v>
      </c>
      <c r="D96" t="s">
        <v>469</v>
      </c>
      <c r="E96" t="s">
        <v>78</v>
      </c>
      <c r="F96" t="s">
        <v>78</v>
      </c>
      <c r="G96" t="s">
        <v>78</v>
      </c>
      <c r="H96" t="s">
        <v>78</v>
      </c>
      <c r="I96" t="s">
        <v>78</v>
      </c>
    </row>
    <row r="97" spans="3:10" hidden="1">
      <c r="C97" t="s">
        <v>632</v>
      </c>
      <c r="D97" t="s">
        <v>469</v>
      </c>
      <c r="E97" t="s">
        <v>505</v>
      </c>
      <c r="F97" t="s">
        <v>618</v>
      </c>
      <c r="G97" t="s">
        <v>613</v>
      </c>
      <c r="H97">
        <v>1951.1001540800003</v>
      </c>
      <c r="I97">
        <v>1695.0709615429266</v>
      </c>
    </row>
    <row r="98" spans="3:10" hidden="1">
      <c r="C98" t="s">
        <v>637</v>
      </c>
      <c r="D98" t="s">
        <v>109</v>
      </c>
      <c r="E98" t="s">
        <v>493</v>
      </c>
      <c r="F98" t="s">
        <v>635</v>
      </c>
      <c r="G98" t="s">
        <v>351</v>
      </c>
      <c r="H98">
        <v>1425.83894298</v>
      </c>
      <c r="I98">
        <v>1282.47393493</v>
      </c>
      <c r="J98" t="s">
        <v>636</v>
      </c>
    </row>
    <row r="99" spans="3:10" hidden="1">
      <c r="C99" t="s">
        <v>638</v>
      </c>
      <c r="D99" t="s">
        <v>109</v>
      </c>
      <c r="E99" t="s">
        <v>494</v>
      </c>
      <c r="F99" t="s">
        <v>390</v>
      </c>
      <c r="G99" t="s">
        <v>389</v>
      </c>
      <c r="H99">
        <v>2225.7289999999998</v>
      </c>
      <c r="I99">
        <v>2157.1574999999998</v>
      </c>
    </row>
    <row r="100" spans="3:10" hidden="1">
      <c r="C100" t="s">
        <v>639</v>
      </c>
      <c r="D100" t="s">
        <v>109</v>
      </c>
      <c r="E100" t="s">
        <v>534</v>
      </c>
      <c r="F100" t="s">
        <v>586</v>
      </c>
      <c r="G100" t="s">
        <v>363</v>
      </c>
      <c r="H100">
        <v>1940.0917381925253</v>
      </c>
      <c r="I100">
        <v>1851.4828120641209</v>
      </c>
    </row>
    <row r="101" spans="3:10" hidden="1">
      <c r="D101" t="s">
        <v>109</v>
      </c>
    </row>
    <row r="102" spans="3:10" hidden="1">
      <c r="C102" t="s">
        <v>78</v>
      </c>
      <c r="D102" t="s">
        <v>109</v>
      </c>
      <c r="E102" t="s">
        <v>78</v>
      </c>
      <c r="F102" t="s">
        <v>78</v>
      </c>
      <c r="G102" t="s">
        <v>78</v>
      </c>
      <c r="H102" t="s">
        <v>78</v>
      </c>
      <c r="I102" t="s">
        <v>78</v>
      </c>
    </row>
    <row r="103" spans="3:10" hidden="1">
      <c r="C103" t="s">
        <v>640</v>
      </c>
      <c r="D103" t="s">
        <v>109</v>
      </c>
      <c r="E103" t="s">
        <v>496</v>
      </c>
      <c r="F103" t="s">
        <v>588</v>
      </c>
      <c r="G103" t="s">
        <v>579</v>
      </c>
      <c r="H103">
        <v>2295</v>
      </c>
      <c r="I103">
        <v>2677.5830258302585</v>
      </c>
    </row>
    <row r="104" spans="3:10" hidden="1">
      <c r="C104" t="s">
        <v>641</v>
      </c>
      <c r="D104" t="s">
        <v>109</v>
      </c>
      <c r="E104" t="s">
        <v>497</v>
      </c>
      <c r="F104" t="s">
        <v>652</v>
      </c>
      <c r="G104" t="s">
        <v>649</v>
      </c>
      <c r="H104">
        <v>1289.8610000000001</v>
      </c>
      <c r="I104">
        <v>1313.8125</v>
      </c>
    </row>
    <row r="105" spans="3:10" hidden="1">
      <c r="C105" t="s">
        <v>642</v>
      </c>
      <c r="D105" t="s">
        <v>109</v>
      </c>
      <c r="E105" t="s">
        <v>498</v>
      </c>
      <c r="F105" t="s">
        <v>590</v>
      </c>
      <c r="G105" t="s">
        <v>580</v>
      </c>
      <c r="H105">
        <v>1230.68871128</v>
      </c>
      <c r="I105">
        <v>1488.8336145624999</v>
      </c>
    </row>
    <row r="106" spans="3:10" hidden="1">
      <c r="C106" t="s">
        <v>643</v>
      </c>
      <c r="D106" t="s">
        <v>109</v>
      </c>
      <c r="E106" t="s">
        <v>499</v>
      </c>
      <c r="F106" t="s">
        <v>561</v>
      </c>
      <c r="G106" t="s">
        <v>328</v>
      </c>
      <c r="H106">
        <v>2223.3280133399999</v>
      </c>
      <c r="I106">
        <v>2302.6526250000002</v>
      </c>
    </row>
    <row r="107" spans="3:10" hidden="1">
      <c r="C107" t="s">
        <v>644</v>
      </c>
      <c r="D107" t="s">
        <v>109</v>
      </c>
      <c r="E107" t="s">
        <v>500</v>
      </c>
      <c r="F107" t="s">
        <v>653</v>
      </c>
      <c r="G107" t="s">
        <v>650</v>
      </c>
      <c r="H107">
        <v>1345.5730000000001</v>
      </c>
      <c r="I107">
        <v>1341.912</v>
      </c>
    </row>
    <row r="108" spans="3:10" hidden="1">
      <c r="C108" t="s">
        <v>645</v>
      </c>
      <c r="D108" t="s">
        <v>109</v>
      </c>
      <c r="E108" t="s">
        <v>501</v>
      </c>
      <c r="F108" t="s">
        <v>654</v>
      </c>
      <c r="G108" t="s">
        <v>292</v>
      </c>
      <c r="H108">
        <v>1135.9690000000001</v>
      </c>
      <c r="I108">
        <v>1121.2389499999999</v>
      </c>
    </row>
    <row r="109" spans="3:10" hidden="1">
      <c r="D109" t="s">
        <v>109</v>
      </c>
    </row>
    <row r="110" spans="3:10" hidden="1">
      <c r="C110" t="s">
        <v>78</v>
      </c>
      <c r="D110" t="s">
        <v>109</v>
      </c>
      <c r="E110" t="s">
        <v>78</v>
      </c>
      <c r="F110" t="s">
        <v>78</v>
      </c>
      <c r="G110" t="s">
        <v>78</v>
      </c>
      <c r="H110" t="s">
        <v>78</v>
      </c>
      <c r="I110" t="s">
        <v>78</v>
      </c>
    </row>
    <row r="111" spans="3:10" hidden="1">
      <c r="C111" t="s">
        <v>646</v>
      </c>
      <c r="D111" t="s">
        <v>109</v>
      </c>
      <c r="E111" t="s">
        <v>503</v>
      </c>
      <c r="F111" t="s">
        <v>594</v>
      </c>
      <c r="G111" t="s">
        <v>583</v>
      </c>
      <c r="H111">
        <v>1166.2260000000001</v>
      </c>
      <c r="I111">
        <v>1111.5</v>
      </c>
    </row>
    <row r="112" spans="3:10" hidden="1">
      <c r="C112" t="s">
        <v>647</v>
      </c>
      <c r="D112" t="s">
        <v>109</v>
      </c>
      <c r="E112" t="s">
        <v>504</v>
      </c>
      <c r="F112" t="s">
        <v>655</v>
      </c>
      <c r="G112" t="s">
        <v>651</v>
      </c>
      <c r="H112">
        <v>1408.4010000000001</v>
      </c>
      <c r="I112">
        <v>1397.5</v>
      </c>
    </row>
    <row r="113" spans="3:9" hidden="1">
      <c r="C113" t="s">
        <v>648</v>
      </c>
      <c r="D113" t="s">
        <v>109</v>
      </c>
      <c r="E113" t="s">
        <v>505</v>
      </c>
      <c r="F113" t="s">
        <v>596</v>
      </c>
      <c r="G113" t="s">
        <v>585</v>
      </c>
      <c r="H113">
        <v>1649.8666315999999</v>
      </c>
      <c r="I113">
        <v>1468.265309161</v>
      </c>
    </row>
  </sheetData>
  <autoFilter ref="C3:I113" xr:uid="{8091335F-E856-4893-9C8A-6775708EAABF}">
    <filterColumn colId="1">
      <filters>
        <filter val="Lega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3C23-87FE-4BA7-8F05-FC46CA74F6E4}">
  <dimension ref="C1:J10"/>
  <sheetViews>
    <sheetView zoomScale="85" zoomScaleNormal="85" workbookViewId="0">
      <selection activeCell="F24" sqref="F24"/>
    </sheetView>
  </sheetViews>
  <sheetFormatPr defaultRowHeight="14.5" outlineLevelRow="1"/>
  <cols>
    <col min="1" max="2" width="2.7265625" customWidth="1"/>
    <col min="3" max="3" width="12.7265625" customWidth="1"/>
    <col min="4" max="4" width="15.54296875" bestFit="1" customWidth="1"/>
    <col min="5" max="7" width="12.7265625" customWidth="1"/>
    <col min="8" max="8" width="14" bestFit="1" customWidth="1"/>
    <col min="9" max="10" width="12.7265625" customWidth="1"/>
  </cols>
  <sheetData>
    <row r="1" spans="3:10">
      <c r="C1" t="s">
        <v>277</v>
      </c>
      <c r="D1" t="s">
        <v>835</v>
      </c>
      <c r="E1" t="s">
        <v>836</v>
      </c>
      <c r="F1" t="s">
        <v>837</v>
      </c>
      <c r="H1" t="s">
        <v>838</v>
      </c>
      <c r="I1" t="s">
        <v>839</v>
      </c>
    </row>
    <row r="2" spans="3:10">
      <c r="C2" t="s">
        <v>468</v>
      </c>
      <c r="D2" t="s">
        <v>832</v>
      </c>
      <c r="E2" t="s">
        <v>833</v>
      </c>
      <c r="F2" t="s">
        <v>834</v>
      </c>
      <c r="H2" t="s">
        <v>840</v>
      </c>
      <c r="I2" t="s">
        <v>841</v>
      </c>
    </row>
    <row r="3" spans="3:10">
      <c r="D3" t="s">
        <v>708</v>
      </c>
      <c r="E3" t="s">
        <v>830</v>
      </c>
      <c r="F3" t="s">
        <v>831</v>
      </c>
      <c r="H3" t="s">
        <v>842</v>
      </c>
      <c r="I3" t="s">
        <v>843</v>
      </c>
    </row>
    <row r="4" spans="3:10" ht="30" customHeight="1">
      <c r="C4" s="1020" t="s">
        <v>827</v>
      </c>
      <c r="D4" s="1027" t="s">
        <v>19</v>
      </c>
      <c r="E4" s="1028" t="s">
        <v>31</v>
      </c>
      <c r="F4" s="1025" t="s">
        <v>828</v>
      </c>
      <c r="G4" s="1026" t="s">
        <v>829</v>
      </c>
      <c r="H4" s="1036" t="s">
        <v>164</v>
      </c>
      <c r="I4" s="1037" t="s">
        <v>828</v>
      </c>
      <c r="J4" s="1035" t="s">
        <v>829</v>
      </c>
    </row>
    <row r="5" spans="3:10">
      <c r="C5" s="554" t="s">
        <v>79</v>
      </c>
      <c r="D5" s="157" t="str" cm="1">
        <f t="array" aca="1" ref="D5" ca="1">INDIRECT("'"&amp;$C5&amp;"'!"&amp;D$3)</f>
        <v>Peter Kukielski</v>
      </c>
      <c r="E5" s="1029" cm="1">
        <f t="array" aca="1" ref="E5" ca="1">INDIRECT("'"&amp;$C5&amp;"'!"&amp;E$3)</f>
        <v>122.042</v>
      </c>
      <c r="F5" s="1021" cm="1">
        <f t="array" aca="1" ref="F5" ca="1">INDIRECT("'"&amp;$C5&amp;"'!"&amp;F$3)</f>
        <v>263.96897222500002</v>
      </c>
      <c r="G5" s="1022">
        <f ca="1">E5/F5-1</f>
        <v>-0.53766535903327795</v>
      </c>
      <c r="H5" s="1031" cm="1">
        <f t="array" aca="1" ref="H5" ca="1">INDIRECT("'"&amp;$C5&amp;"'!"&amp;H$3)</f>
        <v>255.03399999999999</v>
      </c>
      <c r="I5" s="1032" cm="1">
        <f t="array" aca="1" ref="I5" ca="1">INDIRECT("'"&amp;$C5&amp;"'!"&amp;I$3)</f>
        <v>54.95</v>
      </c>
      <c r="J5" s="1022">
        <f ca="1">H5/I5-1</f>
        <v>3.6412010919017286</v>
      </c>
    </row>
    <row r="6" spans="3:10">
      <c r="C6" s="554" t="s">
        <v>106</v>
      </c>
      <c r="D6" s="157" t="str" cm="1">
        <f t="array" aca="1" ref="D6" ca="1">INDIRECT("'"&amp;$C6&amp;"'!"&amp;D$3)</f>
        <v>Eugene Lei</v>
      </c>
      <c r="E6" s="1029" cm="1">
        <f t="array" aca="1" ref="E6" ca="1">INDIRECT("'"&amp;$C6&amp;"'!"&amp;E$3)</f>
        <v>132.22200000000001</v>
      </c>
      <c r="F6" s="1021" cm="1">
        <f t="array" aca="1" ref="F6" ca="1">INDIRECT("'"&amp;$C6&amp;"'!"&amp;F$3)</f>
        <v>93.573999999999998</v>
      </c>
      <c r="G6" s="1022">
        <f t="shared" ref="G6:G10" ca="1" si="0">E6/F6-1</f>
        <v>0.41302071088122783</v>
      </c>
      <c r="H6" s="1031" cm="1">
        <f t="array" aca="1" ref="H6" ca="1">INDIRECT("'"&amp;$C6&amp;"'!"&amp;H$3)</f>
        <v>103.501</v>
      </c>
      <c r="I6" s="1032" cm="1">
        <f t="array" aca="1" ref="I6" ca="1">INDIRECT("'"&amp;$C6&amp;"'!"&amp;I$3)</f>
        <v>32.156519730000007</v>
      </c>
      <c r="J6" s="1022">
        <f t="shared" ref="J6:J10" ca="1" si="1">H6/I6-1</f>
        <v>2.2186629917988325</v>
      </c>
    </row>
    <row r="7" spans="3:10">
      <c r="C7" s="554" t="s">
        <v>277</v>
      </c>
      <c r="D7" s="157" t="str" cm="1">
        <f t="array" aca="1" ref="D7" ca="1">INDIRECT("'"&amp;$C7&amp;"'!"&amp;D$1)</f>
        <v>Andre Lauzon</v>
      </c>
      <c r="E7" s="1029" cm="1">
        <f t="array" aca="1" ref="E7" ca="1">INDIRECT("'"&amp;$C7&amp;"'!"&amp;E$1)</f>
        <v>74.400000000000006</v>
      </c>
      <c r="F7" s="1021" cm="1">
        <f t="array" aca="1" ref="F7" ca="1">INDIRECT("'"&amp;$C7&amp;"'!"&amp;F$1)</f>
        <v>114.57599999999999</v>
      </c>
      <c r="G7" s="1022">
        <f t="shared" ca="1" si="0"/>
        <v>-0.35064935064935054</v>
      </c>
      <c r="H7" s="1031" cm="1">
        <f t="array" aca="1" ref="H7" ca="1">INDIRECT("'"&amp;$C7&amp;"'!"&amp;H$1)</f>
        <v>85.126999999999995</v>
      </c>
      <c r="I7" s="1032" cm="1">
        <f t="array" aca="1" ref="I7" ca="1">INDIRECT("'"&amp;$C7&amp;"'!"&amp;I$1)</f>
        <v>39.064916869999998</v>
      </c>
      <c r="J7" s="1022">
        <f t="shared" ca="1" si="1"/>
        <v>1.1791163739906354</v>
      </c>
    </row>
    <row r="8" spans="3:10">
      <c r="C8" s="554" t="s">
        <v>468</v>
      </c>
      <c r="D8" s="157" t="str" cm="1">
        <f t="array" aca="1" ref="D8" ca="1">INDIRECT("'"&amp;$C8&amp;"'!"&amp;D$2)</f>
        <v>Patrick Donnelly</v>
      </c>
      <c r="E8" s="1029" cm="1">
        <f t="array" aca="1" ref="E8" ca="1">INDIRECT("'"&amp;$C8&amp;"'!"&amp;E$2)</f>
        <v>122.673</v>
      </c>
      <c r="F8" s="1021" cm="1">
        <f t="array" aca="1" ref="F8" ca="1">INDIRECT("'"&amp;$C8&amp;"'!"&amp;F$2)</f>
        <v>86.894999999999996</v>
      </c>
      <c r="G8" s="1022">
        <f t="shared" ca="1" si="0"/>
        <v>0.41173830485068197</v>
      </c>
      <c r="H8" s="1031" cm="1">
        <f t="array" aca="1" ref="H8" ca="1">INDIRECT("'"&amp;$C8&amp;"'!"&amp;H$2)</f>
        <v>84.863</v>
      </c>
      <c r="I8" s="1032" cm="1">
        <f t="array" aca="1" ref="I8" ca="1">INDIRECT("'"&amp;$C8&amp;"'!"&amp;I$2)</f>
        <v>54.715499999999999</v>
      </c>
      <c r="J8" s="1022">
        <f t="shared" ca="1" si="1"/>
        <v>0.55098646635779636</v>
      </c>
    </row>
    <row r="9" spans="3:10" outlineLevel="1">
      <c r="C9" s="554" t="s">
        <v>449</v>
      </c>
      <c r="D9" s="157" t="str" cm="1">
        <f t="array" aca="1" ref="D9" ca="1">INDIRECT("'"&amp;$C9&amp;"'!"&amp;D$3)</f>
        <v>Patrick Donnelly</v>
      </c>
      <c r="E9" s="1029" cm="1">
        <f t="array" aca="1" ref="E9" ca="1">INDIRECT("'"&amp;$C9&amp;"'!"&amp;E$3)</f>
        <v>122.673</v>
      </c>
      <c r="F9" s="1021" cm="1">
        <f t="array" aca="1" ref="F9" ca="1">INDIRECT("'"&amp;$C9&amp;"'!"&amp;F$3)</f>
        <v>87.84</v>
      </c>
      <c r="G9" s="1022">
        <f t="shared" ca="1" si="0"/>
        <v>0.3965505464480874</v>
      </c>
      <c r="H9" s="1031" cm="1">
        <f t="array" aca="1" ref="H9" ca="1">INDIRECT("'"&amp;$C9&amp;"'!"&amp;H$3)</f>
        <v>84.863</v>
      </c>
      <c r="I9" s="1032" cm="1">
        <f t="array" aca="1" ref="I9" ca="1">INDIRECT("'"&amp;$C9&amp;"'!"&amp;I$3)</f>
        <v>29.806678180000002</v>
      </c>
      <c r="J9" s="1022">
        <f t="shared" ca="1" si="1"/>
        <v>1.8471136396856953</v>
      </c>
    </row>
    <row r="10" spans="3:10">
      <c r="C10" s="560" t="s">
        <v>450</v>
      </c>
      <c r="D10" s="524" t="str" cm="1">
        <f t="array" aca="1" ref="D10" ca="1">INDIRECT("'"&amp;$C10&amp;"'!"&amp;D$3)</f>
        <v>Javier Del Rio</v>
      </c>
      <c r="E10" s="1030" cm="1">
        <f t="array" aca="1" ref="E10" ca="1">INDIRECT("'"&amp;$C10&amp;"'!"&amp;E$3)</f>
        <v>18.43563735</v>
      </c>
      <c r="F10" s="1023" cm="1">
        <f t="array" aca="1" ref="F10" ca="1">INDIRECT("'"&amp;$C10&amp;"'!"&amp;F$3)</f>
        <v>85.164500000000004</v>
      </c>
      <c r="G10" s="1024">
        <f t="shared" ca="1" si="0"/>
        <v>-0.78352908371445851</v>
      </c>
      <c r="H10" s="1033" cm="1">
        <f t="array" aca="1" ref="H10" ca="1">INDIRECT("'"&amp;$C10&amp;"'!"&amp;H$3)</f>
        <v>101.602</v>
      </c>
      <c r="I10" s="1034" cm="1">
        <f t="array" aca="1" ref="I10" ca="1">INDIRECT("'"&amp;$C10&amp;"'!"&amp;I$3)</f>
        <v>38.710768334999997</v>
      </c>
      <c r="J10" s="1024">
        <f t="shared" ca="1" si="1"/>
        <v>1.6246443656386291</v>
      </c>
    </row>
  </sheetData>
  <conditionalFormatting sqref="C5:J10">
    <cfRule type="expression" dxfId="208" priority="1">
      <formula>MOD(ROW(),2)</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A1DD-CFA7-4F02-99F8-A9816D8BCF34}">
  <dimension ref="B6:N14"/>
  <sheetViews>
    <sheetView topLeftCell="A5" workbookViewId="0">
      <selection activeCell="B6" sqref="B6:K13"/>
    </sheetView>
  </sheetViews>
  <sheetFormatPr defaultRowHeight="14.5"/>
  <cols>
    <col min="2" max="2" width="18.453125" bestFit="1" customWidth="1"/>
    <col min="3" max="3" width="25.81640625" customWidth="1"/>
    <col min="4" max="10" width="13.54296875" customWidth="1"/>
    <col min="11" max="11" width="17.54296875" customWidth="1"/>
  </cols>
  <sheetData>
    <row r="6" spans="2:14" ht="46.5" customHeight="1">
      <c r="B6" s="1038" t="s">
        <v>850</v>
      </c>
      <c r="C6" s="1039" t="s">
        <v>827</v>
      </c>
      <c r="D6" s="1039" t="s">
        <v>17</v>
      </c>
      <c r="E6" s="1039" t="s">
        <v>851</v>
      </c>
      <c r="F6" s="1039" t="s">
        <v>852</v>
      </c>
      <c r="G6" s="1039" t="s">
        <v>853</v>
      </c>
      <c r="H6" s="1039" t="s">
        <v>854</v>
      </c>
      <c r="I6" s="1039" t="s">
        <v>855</v>
      </c>
      <c r="J6" s="1039" t="s">
        <v>856</v>
      </c>
      <c r="K6" s="1040" t="s">
        <v>717</v>
      </c>
      <c r="M6" s="338" t="s">
        <v>865</v>
      </c>
      <c r="N6" s="338" t="s">
        <v>866</v>
      </c>
    </row>
    <row r="7" spans="2:14" ht="26.5" customHeight="1">
      <c r="B7" s="1041" t="s">
        <v>273</v>
      </c>
      <c r="C7" s="1042" t="s">
        <v>272</v>
      </c>
      <c r="D7" s="1043">
        <f>'Raw Data'!P32/1000</f>
        <v>1047.5250000000001</v>
      </c>
      <c r="E7" s="1044">
        <f>'Raw Data'!W32</f>
        <v>1.2</v>
      </c>
      <c r="F7" s="1045">
        <f>E7*D7</f>
        <v>1257.03</v>
      </c>
      <c r="G7" s="1043">
        <f>SUM(F7,D7)</f>
        <v>2304.5550000000003</v>
      </c>
      <c r="H7" s="1044">
        <f>'Raw Data'!AI32</f>
        <v>2.65</v>
      </c>
      <c r="I7" s="1045">
        <f>H7*D7</f>
        <v>2775.9412500000003</v>
      </c>
      <c r="J7" s="1043">
        <f>I7+G7</f>
        <v>5080.4962500000001</v>
      </c>
      <c r="K7" s="1046" t="str">
        <f>TEXT(M7,"$0,000")&amp;TEXT(N7," (+0%)")</f>
        <v>$4,780 (+6%)</v>
      </c>
      <c r="M7">
        <v>4780</v>
      </c>
      <c r="N7" s="340">
        <f>J7/M7-1</f>
        <v>6.2865324267782352E-2</v>
      </c>
    </row>
    <row r="8" spans="2:14" ht="26.5" customHeight="1">
      <c r="B8" s="1047" t="s">
        <v>279</v>
      </c>
      <c r="C8" s="1048" t="s">
        <v>106</v>
      </c>
      <c r="D8" s="1049">
        <f>'Raw Data'!P38/1000</f>
        <v>573.68100000000004</v>
      </c>
      <c r="E8" s="1050">
        <f>'Raw Data'!W38</f>
        <v>0.9</v>
      </c>
      <c r="F8" s="1051">
        <f>E8*D8</f>
        <v>516.31290000000001</v>
      </c>
      <c r="G8" s="1049">
        <f>SUM(F8,D8)</f>
        <v>1089.9938999999999</v>
      </c>
      <c r="H8" s="1050">
        <f>'Raw Data'!AI38</f>
        <v>1.7</v>
      </c>
      <c r="I8" s="1051">
        <f>H8*D8</f>
        <v>975.2577</v>
      </c>
      <c r="J8" s="1049">
        <f t="shared" ref="J8:J13" si="0">I8+G8</f>
        <v>2065.2516000000001</v>
      </c>
      <c r="K8" s="1052" t="str">
        <f t="shared" ref="K8:K11" si="1">TEXT(M8,"$0,000")&amp;TEXT(N8," (+0%)")</f>
        <v>$1,931 (+7%)</v>
      </c>
      <c r="M8">
        <v>1931</v>
      </c>
      <c r="N8" s="340">
        <f t="shared" ref="N8:N13" si="2">J8/M8-1</f>
        <v>6.952439150699119E-2</v>
      </c>
    </row>
    <row r="9" spans="2:14" ht="26.5" customHeight="1">
      <c r="B9" s="1047" t="s">
        <v>278</v>
      </c>
      <c r="C9" s="1048" t="s">
        <v>277</v>
      </c>
      <c r="D9" s="1049">
        <f>'Raw Data'!P35/1000</f>
        <v>651</v>
      </c>
      <c r="E9" s="1050">
        <f>'Raw Data'!W35</f>
        <v>0.9</v>
      </c>
      <c r="F9" s="1051">
        <f t="shared" ref="F9:F13" si="3">E9*D9</f>
        <v>585.9</v>
      </c>
      <c r="G9" s="1049">
        <f t="shared" ref="G9:G13" si="4">SUM(F9,D9)</f>
        <v>1236.9000000000001</v>
      </c>
      <c r="H9" s="1050">
        <f>'Raw Data'!AI35</f>
        <v>1.7</v>
      </c>
      <c r="I9" s="1051">
        <f t="shared" ref="I9:I13" si="5">H9*D9</f>
        <v>1106.7</v>
      </c>
      <c r="J9" s="1049">
        <f t="shared" si="0"/>
        <v>2343.6000000000004</v>
      </c>
      <c r="K9" s="1052" t="str">
        <f t="shared" si="1"/>
        <v>$2,232 (+5%)</v>
      </c>
      <c r="M9">
        <v>2232</v>
      </c>
      <c r="N9" s="340">
        <f t="shared" si="2"/>
        <v>5.0000000000000266E-2</v>
      </c>
    </row>
    <row r="10" spans="2:14" ht="26.5" customHeight="1">
      <c r="B10" s="1047" t="s">
        <v>282</v>
      </c>
      <c r="C10" s="1048" t="s">
        <v>858</v>
      </c>
      <c r="D10" s="1049">
        <f>'Raw Data'!P41/1000</f>
        <v>501.65899999999999</v>
      </c>
      <c r="E10" s="1050">
        <f>'Raw Data'!W41</f>
        <v>0.75</v>
      </c>
      <c r="F10" s="1051">
        <f>E10*D10</f>
        <v>376.24424999999997</v>
      </c>
      <c r="G10" s="1049">
        <f>SUM(F10,D10)</f>
        <v>877.90324999999996</v>
      </c>
      <c r="H10" s="1050">
        <f>'Raw Data'!AI41</f>
        <v>1.5</v>
      </c>
      <c r="I10" s="1051">
        <f>H10*D10</f>
        <v>752.48849999999993</v>
      </c>
      <c r="J10" s="1049">
        <f t="shared" si="0"/>
        <v>1630.3917499999998</v>
      </c>
      <c r="K10" s="1052" t="str">
        <f t="shared" si="1"/>
        <v>$1,583 (+3%)</v>
      </c>
      <c r="M10">
        <v>1583</v>
      </c>
      <c r="N10" s="340">
        <f t="shared" si="2"/>
        <v>2.9937934301958125E-2</v>
      </c>
    </row>
    <row r="11" spans="2:14" ht="26.5" customHeight="1">
      <c r="B11" s="1047" t="s">
        <v>860</v>
      </c>
      <c r="C11" s="1048" t="s">
        <v>857</v>
      </c>
      <c r="D11" s="1049">
        <f>'Raw Data'!P44/1000</f>
        <v>606.75786177999998</v>
      </c>
      <c r="E11" s="1050">
        <f>'Raw Data'!W44</f>
        <v>0.6</v>
      </c>
      <c r="F11" s="1051">
        <f t="shared" si="3"/>
        <v>364.054717068</v>
      </c>
      <c r="G11" s="1049">
        <f t="shared" si="4"/>
        <v>970.81257884799993</v>
      </c>
      <c r="H11" s="1050">
        <f>'Raw Data'!AI44</f>
        <v>1.2</v>
      </c>
      <c r="I11" s="1051">
        <f t="shared" si="5"/>
        <v>728.109434136</v>
      </c>
      <c r="J11" s="1049">
        <f t="shared" si="0"/>
        <v>1698.922012984</v>
      </c>
      <c r="K11" s="1052" t="str">
        <f t="shared" si="1"/>
        <v>$1,532 (+11%)</v>
      </c>
      <c r="M11">
        <v>1532</v>
      </c>
      <c r="N11" s="340">
        <f t="shared" si="2"/>
        <v>0.10895692753524799</v>
      </c>
    </row>
    <row r="12" spans="2:14" ht="26.5" customHeight="1">
      <c r="B12" s="1047" t="s">
        <v>471</v>
      </c>
      <c r="C12" s="1048" t="s">
        <v>472</v>
      </c>
      <c r="D12" s="1049">
        <f>'Raw Data'!P47/1000</f>
        <v>465.85</v>
      </c>
      <c r="E12" s="1050">
        <f>'Raw Data'!W47</f>
        <v>0.6</v>
      </c>
      <c r="F12" s="1051">
        <f>E12*D12</f>
        <v>279.51</v>
      </c>
      <c r="G12" s="1049">
        <f>SUM(F12,D12)</f>
        <v>745.36</v>
      </c>
      <c r="H12" s="1050">
        <f>'Raw Data'!AI47</f>
        <v>1.2</v>
      </c>
      <c r="I12" s="1051">
        <f>H12*D12</f>
        <v>559.02</v>
      </c>
      <c r="J12" s="1049">
        <f>I12+G12</f>
        <v>1304.3800000000001</v>
      </c>
      <c r="K12" s="1052" t="str">
        <f>TEXT(M12,"$0,000")&amp;TEXT(N12," (+0%)")</f>
        <v>$1,101 (+18%)</v>
      </c>
      <c r="M12">
        <v>1101</v>
      </c>
      <c r="N12" s="340">
        <f>J12/M12-1</f>
        <v>0.1847229791099001</v>
      </c>
    </row>
    <row r="13" spans="2:14" ht="26.5" customHeight="1">
      <c r="B13" s="1053" t="s">
        <v>473</v>
      </c>
      <c r="C13" s="1054" t="s">
        <v>474</v>
      </c>
      <c r="D13" s="1055">
        <f>'Raw Data'!P50/1000</f>
        <v>453.5</v>
      </c>
      <c r="E13" s="1056">
        <f>'Raw Data'!W50</f>
        <v>0.6</v>
      </c>
      <c r="F13" s="1057">
        <f t="shared" si="3"/>
        <v>272.09999999999997</v>
      </c>
      <c r="G13" s="1055">
        <f t="shared" si="4"/>
        <v>725.59999999999991</v>
      </c>
      <c r="H13" s="1056">
        <f>'Raw Data'!AI50</f>
        <v>1.2</v>
      </c>
      <c r="I13" s="1057">
        <f t="shared" si="5"/>
        <v>544.19999999999993</v>
      </c>
      <c r="J13" s="1055">
        <f t="shared" si="0"/>
        <v>1269.7999999999997</v>
      </c>
      <c r="K13" s="1058" t="str">
        <f>TEXT(M13,"$000")&amp;TEXT(N13," (+0%)")</f>
        <v>$954 (+33%)</v>
      </c>
      <c r="M13">
        <v>954</v>
      </c>
      <c r="N13" s="340">
        <f t="shared" si="2"/>
        <v>0.33102725366876284</v>
      </c>
    </row>
    <row r="14" spans="2:14" ht="26.5" customHeight="1"/>
  </sheetData>
  <conditionalFormatting sqref="B7:K13">
    <cfRule type="expression" dxfId="207" priority="1">
      <formula>MOD(ROW(),2)</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1:AZ412"/>
  <sheetViews>
    <sheetView topLeftCell="A21" workbookViewId="0">
      <pane xSplit="14" ySplit="11" topLeftCell="O32" activePane="bottomRight" state="frozen"/>
      <selection activeCell="A21" sqref="A21"/>
      <selection pane="topRight" activeCell="O21" sqref="O21"/>
      <selection pane="bottomLeft" activeCell="A32" sqref="A32"/>
      <selection pane="bottomRight" activeCell="L47" sqref="L47"/>
    </sheetView>
  </sheetViews>
  <sheetFormatPr defaultColWidth="9.1796875" defaultRowHeight="12.5" outlineLevelRow="1" outlineLevelCol="1"/>
  <cols>
    <col min="1" max="2" width="9.1796875" style="1"/>
    <col min="3" max="4" width="15.7265625" style="1" customWidth="1"/>
    <col min="5" max="5" width="11.81640625" style="1" customWidth="1"/>
    <col min="6" max="10" width="11.81640625" style="1" customWidth="1" outlineLevel="1"/>
    <col min="11" max="11" width="11.81640625" style="471" customWidth="1" outlineLevel="1"/>
    <col min="12" max="12" width="11.81640625" style="1" customWidth="1" outlineLevel="1"/>
    <col min="13" max="13" width="20.26953125" style="1" customWidth="1"/>
    <col min="14" max="37" width="15.7265625" style="1" customWidth="1"/>
    <col min="38" max="39" width="25.7265625" style="1" customWidth="1"/>
    <col min="40" max="48" width="15.7265625" style="1" customWidth="1" outlineLevel="1"/>
    <col min="49" max="51" width="15.7265625" style="1" customWidth="1"/>
    <col min="52" max="16384" width="9.1796875" style="1"/>
  </cols>
  <sheetData>
    <row r="1" spans="3:48" hidden="1" outlineLevel="1">
      <c r="K1" s="1"/>
    </row>
    <row r="2" spans="3:48" hidden="1" outlineLevel="1">
      <c r="C2" s="410" t="s">
        <v>255</v>
      </c>
      <c r="K2" s="1"/>
    </row>
    <row r="3" spans="3:48" ht="13" hidden="1" outlineLevel="1" thickBot="1">
      <c r="K3" s="1"/>
      <c r="AN3" s="367" t="s">
        <v>249</v>
      </c>
      <c r="AO3" s="367"/>
      <c r="AP3" s="367"/>
      <c r="AQ3" s="367"/>
      <c r="AR3" s="367"/>
      <c r="AS3" s="367"/>
      <c r="AT3" s="367"/>
      <c r="AU3" s="367"/>
      <c r="AV3" s="367"/>
    </row>
    <row r="4" spans="3:48" hidden="1" outlineLevel="1">
      <c r="C4" s="7" t="s">
        <v>4</v>
      </c>
      <c r="D4" s="8"/>
      <c r="E4" s="421"/>
      <c r="F4" s="2" t="s">
        <v>0</v>
      </c>
      <c r="G4" s="3">
        <v>45852</v>
      </c>
      <c r="I4" s="421"/>
      <c r="K4" s="1"/>
      <c r="AN4" s="367"/>
      <c r="AO4" s="367"/>
      <c r="AP4" s="367"/>
      <c r="AQ4" s="367"/>
      <c r="AR4" s="367"/>
      <c r="AS4" s="367"/>
      <c r="AT4" s="367"/>
      <c r="AU4" s="367"/>
      <c r="AV4" s="367"/>
    </row>
    <row r="5" spans="3:48" hidden="1" outlineLevel="1">
      <c r="C5" s="9">
        <v>1</v>
      </c>
      <c r="D5" s="300" t="s">
        <v>93</v>
      </c>
      <c r="E5" s="88"/>
      <c r="F5" s="4" t="s">
        <v>1</v>
      </c>
      <c r="G5" s="5" t="s">
        <v>2</v>
      </c>
      <c r="K5" s="1"/>
      <c r="AN5" s="367"/>
      <c r="AO5" s="367"/>
      <c r="AP5" s="367"/>
      <c r="AQ5" s="367"/>
      <c r="AR5" s="367"/>
      <c r="AS5" s="367"/>
      <c r="AT5" s="367"/>
      <c r="AU5" s="367"/>
      <c r="AV5" s="367"/>
    </row>
    <row r="6" spans="3:48" ht="13" hidden="1" outlineLevel="1" thickBot="1">
      <c r="C6" s="9">
        <v>2</v>
      </c>
      <c r="D6" s="300" t="s">
        <v>259</v>
      </c>
      <c r="E6" s="88"/>
      <c r="F6" s="6" t="s">
        <v>3</v>
      </c>
      <c r="G6" s="302" t="s">
        <v>271</v>
      </c>
      <c r="H6" s="88"/>
      <c r="K6" s="1"/>
      <c r="AN6" s="367"/>
      <c r="AO6" s="367"/>
      <c r="AP6" s="367"/>
      <c r="AQ6" s="367"/>
      <c r="AR6" s="367"/>
      <c r="AS6" s="367"/>
      <c r="AT6" s="367"/>
      <c r="AU6" s="367"/>
      <c r="AV6" s="367"/>
    </row>
    <row r="7" spans="3:48" ht="13" hidden="1" outlineLevel="1" thickBot="1">
      <c r="C7" s="9">
        <v>3</v>
      </c>
      <c r="D7" s="300" t="s">
        <v>260</v>
      </c>
      <c r="E7" s="50"/>
      <c r="K7" s="1"/>
      <c r="AN7" s="367"/>
      <c r="AO7" s="367"/>
      <c r="AP7" s="367"/>
      <c r="AQ7" s="367"/>
      <c r="AR7" s="367"/>
      <c r="AS7" s="367"/>
      <c r="AT7" s="367"/>
      <c r="AU7" s="367"/>
      <c r="AV7" s="367"/>
    </row>
    <row r="8" spans="3:48" ht="13" hidden="1" outlineLevel="1" thickBot="1">
      <c r="C8" s="9">
        <v>4</v>
      </c>
      <c r="D8" s="300" t="s">
        <v>258</v>
      </c>
      <c r="E8" s="88"/>
      <c r="F8" s="83" t="s">
        <v>76</v>
      </c>
      <c r="G8" s="84"/>
      <c r="K8" s="1"/>
      <c r="AN8" s="367"/>
      <c r="AO8" s="367"/>
      <c r="AP8" s="367"/>
      <c r="AQ8" s="367"/>
      <c r="AR8" s="367"/>
      <c r="AS8" s="367"/>
      <c r="AT8" s="367"/>
      <c r="AU8" s="367"/>
      <c r="AV8" s="367"/>
    </row>
    <row r="9" spans="3:48" hidden="1" outlineLevel="1">
      <c r="C9" s="9">
        <v>5</v>
      </c>
      <c r="D9" s="300" t="s">
        <v>262</v>
      </c>
      <c r="E9" s="88"/>
      <c r="F9" s="349">
        <v>2024</v>
      </c>
      <c r="G9" s="85">
        <f>_xll.ciqfunctions.udf.CIQAVG("$CADUSD", "IQ_LASTSALEPRICE", "1/1/"&amp;$F9, "31/12/"&amp;$F9)</f>
        <v>1.3701700000000001</v>
      </c>
      <c r="K9" s="1"/>
      <c r="AN9" s="367"/>
      <c r="AO9" s="367"/>
      <c r="AP9" s="367"/>
      <c r="AQ9" s="367"/>
      <c r="AR9" s="367"/>
      <c r="AS9" s="367"/>
      <c r="AT9" s="367"/>
      <c r="AU9" s="367"/>
      <c r="AV9" s="367"/>
    </row>
    <row r="10" spans="3:48" hidden="1" outlineLevel="1">
      <c r="C10" s="9">
        <v>6</v>
      </c>
      <c r="D10" s="300" t="s">
        <v>266</v>
      </c>
      <c r="E10" s="88"/>
      <c r="F10" s="349">
        <f>F9-1</f>
        <v>2023</v>
      </c>
      <c r="G10" s="85">
        <f>_xll.ciqfunctions.udf.CIQAVG("$CADUSD", "IQ_LASTSALEPRICE", "1/1/"&amp;$F10, "31/12/"&amp;$F10)</f>
        <v>1.34954</v>
      </c>
      <c r="K10" s="1"/>
      <c r="AN10" s="367"/>
      <c r="AO10" s="367"/>
      <c r="AP10" s="367"/>
      <c r="AQ10" s="367"/>
      <c r="AR10" s="367"/>
      <c r="AS10" s="367"/>
      <c r="AT10" s="367"/>
      <c r="AU10" s="367"/>
      <c r="AV10" s="367"/>
    </row>
    <row r="11" spans="3:48" ht="13" hidden="1" outlineLevel="1" thickBot="1">
      <c r="C11" s="9">
        <v>7</v>
      </c>
      <c r="D11" s="300" t="s">
        <v>261</v>
      </c>
      <c r="E11" s="88"/>
      <c r="F11" s="350">
        <f>F10-1</f>
        <v>2022</v>
      </c>
      <c r="G11" s="86">
        <f>_xll.ciqfunctions.udf.CIQAVG("$CADUSD", "IQ_LASTSALEPRICE", "1/1/"&amp;$F11, "31/12/"&amp;$F11)</f>
        <v>1.30175</v>
      </c>
      <c r="K11" s="1"/>
      <c r="AN11" s="367"/>
      <c r="AO11" s="367"/>
      <c r="AP11" s="367"/>
      <c r="AQ11" s="367"/>
      <c r="AR11" s="367"/>
      <c r="AS11" s="367"/>
      <c r="AT11" s="367"/>
      <c r="AU11" s="367"/>
      <c r="AV11" s="367"/>
    </row>
    <row r="12" spans="3:48" ht="13" hidden="1" outlineLevel="1" thickBot="1">
      <c r="C12" s="9">
        <v>8</v>
      </c>
      <c r="D12" s="300" t="s">
        <v>263</v>
      </c>
      <c r="E12" s="88"/>
      <c r="K12" s="1"/>
      <c r="L12" s="411"/>
      <c r="M12" s="411"/>
      <c r="AN12" s="367"/>
      <c r="AO12" s="367"/>
      <c r="AP12" s="367"/>
      <c r="AQ12" s="367"/>
      <c r="AR12" s="367"/>
      <c r="AS12" s="367"/>
      <c r="AT12" s="367"/>
      <c r="AU12" s="367"/>
      <c r="AV12" s="367"/>
    </row>
    <row r="13" spans="3:48" ht="13" hidden="1" outlineLevel="1" thickBot="1">
      <c r="C13" s="9">
        <v>9</v>
      </c>
      <c r="D13" s="300" t="s">
        <v>268</v>
      </c>
      <c r="E13" s="88"/>
      <c r="F13" s="298" t="s">
        <v>112</v>
      </c>
      <c r="G13" s="299">
        <v>0.03</v>
      </c>
      <c r="K13" s="1"/>
      <c r="AN13" s="367"/>
      <c r="AO13" s="367"/>
      <c r="AP13" s="367"/>
      <c r="AQ13" s="367"/>
      <c r="AR13" s="367"/>
      <c r="AS13" s="367"/>
      <c r="AT13" s="367"/>
      <c r="AU13" s="367"/>
      <c r="AV13" s="367"/>
    </row>
    <row r="14" spans="3:48" hidden="1" outlineLevel="1">
      <c r="C14" s="9">
        <v>10</v>
      </c>
      <c r="D14" s="300" t="s">
        <v>265</v>
      </c>
      <c r="E14" s="88"/>
      <c r="K14" s="1"/>
      <c r="AN14" s="367"/>
      <c r="AO14" s="367"/>
      <c r="AP14" s="367"/>
      <c r="AQ14" s="367"/>
      <c r="AR14" s="367"/>
      <c r="AS14" s="367"/>
      <c r="AT14" s="367"/>
      <c r="AU14" s="367"/>
      <c r="AV14" s="367"/>
    </row>
    <row r="15" spans="3:48" hidden="1" outlineLevel="1">
      <c r="C15" s="9">
        <v>11</v>
      </c>
      <c r="D15" s="300" t="s">
        <v>264</v>
      </c>
      <c r="E15" s="88"/>
      <c r="K15" s="1"/>
      <c r="AN15" s="367"/>
      <c r="AO15" s="367"/>
      <c r="AP15" s="367"/>
      <c r="AQ15" s="367"/>
      <c r="AR15" s="367"/>
      <c r="AS15" s="367"/>
      <c r="AT15" s="367"/>
      <c r="AU15" s="367"/>
      <c r="AV15" s="367"/>
    </row>
    <row r="16" spans="3:48" hidden="1" outlineLevel="1">
      <c r="C16" s="9">
        <v>12</v>
      </c>
      <c r="D16" s="300" t="s">
        <v>267</v>
      </c>
      <c r="E16" s="88"/>
      <c r="K16" s="1"/>
      <c r="AN16" s="367"/>
      <c r="AO16" s="367"/>
      <c r="AP16" s="367"/>
      <c r="AQ16" s="367"/>
      <c r="AR16" s="367"/>
      <c r="AS16" s="367"/>
      <c r="AT16" s="367"/>
      <c r="AU16" s="367"/>
      <c r="AV16" s="367"/>
    </row>
    <row r="17" spans="1:51" hidden="1" outlineLevel="1">
      <c r="C17" s="9">
        <v>13</v>
      </c>
      <c r="D17" s="300" t="s">
        <v>270</v>
      </c>
      <c r="E17" s="88"/>
      <c r="K17" s="1"/>
      <c r="AN17" s="367"/>
      <c r="AO17" s="367"/>
      <c r="AP17" s="367"/>
      <c r="AQ17" s="367"/>
      <c r="AR17" s="367"/>
      <c r="AS17" s="367"/>
      <c r="AT17" s="367"/>
      <c r="AU17" s="367"/>
      <c r="AV17" s="367"/>
    </row>
    <row r="18" spans="1:51" hidden="1" outlineLevel="1">
      <c r="C18" s="9">
        <v>14</v>
      </c>
      <c r="D18" s="300" t="s">
        <v>269</v>
      </c>
      <c r="E18" s="88"/>
      <c r="K18" s="1"/>
      <c r="AN18" s="367"/>
      <c r="AO18" s="367"/>
      <c r="AP18" s="367"/>
      <c r="AQ18" s="367"/>
      <c r="AR18" s="367"/>
      <c r="AS18" s="367"/>
      <c r="AT18" s="367"/>
      <c r="AU18" s="367"/>
      <c r="AV18" s="367"/>
    </row>
    <row r="19" spans="1:51" hidden="1" outlineLevel="1">
      <c r="C19" s="9">
        <v>15</v>
      </c>
      <c r="D19" s="300"/>
      <c r="E19" s="1">
        <f>COUNTA(D5:D18)</f>
        <v>14</v>
      </c>
      <c r="K19" s="1"/>
      <c r="AN19" s="367"/>
      <c r="AO19" s="367"/>
      <c r="AP19" s="367"/>
      <c r="AQ19" s="367"/>
      <c r="AR19" s="367"/>
      <c r="AS19" s="367"/>
      <c r="AT19" s="367"/>
      <c r="AU19" s="367"/>
      <c r="AV19" s="367"/>
    </row>
    <row r="20" spans="1:51" hidden="1" outlineLevel="1">
      <c r="C20" s="9">
        <v>16</v>
      </c>
      <c r="D20" s="300"/>
      <c r="K20" s="1"/>
      <c r="AN20" s="367"/>
      <c r="AO20" s="367"/>
      <c r="AP20" s="367"/>
      <c r="AQ20" s="367"/>
      <c r="AR20" s="367"/>
      <c r="AS20" s="367"/>
      <c r="AT20" s="367"/>
      <c r="AU20" s="367"/>
      <c r="AV20" s="367"/>
    </row>
    <row r="21" spans="1:51" hidden="1" outlineLevel="1">
      <c r="C21" s="9">
        <v>17</v>
      </c>
      <c r="D21" s="300"/>
      <c r="K21" s="1"/>
      <c r="AN21" s="367"/>
      <c r="AO21" s="367"/>
      <c r="AP21" s="367"/>
      <c r="AQ21" s="367"/>
      <c r="AR21" s="367"/>
      <c r="AS21" s="367"/>
      <c r="AT21" s="367"/>
      <c r="AU21" s="367"/>
      <c r="AV21" s="367"/>
    </row>
    <row r="22" spans="1:51" hidden="1" outlineLevel="1">
      <c r="C22" s="9">
        <v>18</v>
      </c>
      <c r="D22" s="300"/>
      <c r="K22" s="1"/>
      <c r="AN22" s="367"/>
      <c r="AO22" s="367"/>
      <c r="AP22" s="367"/>
      <c r="AQ22" s="367"/>
      <c r="AR22" s="367"/>
      <c r="AS22" s="367"/>
      <c r="AT22" s="367"/>
      <c r="AU22" s="367"/>
      <c r="AV22" s="367"/>
    </row>
    <row r="23" spans="1:51" hidden="1" outlineLevel="1">
      <c r="C23" s="9">
        <v>19</v>
      </c>
      <c r="D23" s="300"/>
      <c r="K23" s="1"/>
      <c r="AN23" s="367"/>
      <c r="AO23" s="367"/>
      <c r="AP23" s="367"/>
      <c r="AQ23" s="367"/>
      <c r="AR23" s="367"/>
      <c r="AS23" s="367"/>
      <c r="AT23" s="367"/>
      <c r="AU23" s="367"/>
      <c r="AV23" s="367"/>
    </row>
    <row r="24" spans="1:51" hidden="1" outlineLevel="1">
      <c r="C24" s="9">
        <v>20</v>
      </c>
      <c r="D24" s="300"/>
      <c r="K24" s="1"/>
      <c r="AN24" s="367"/>
      <c r="AO24" s="367"/>
      <c r="AP24" s="367"/>
      <c r="AQ24" s="367"/>
      <c r="AR24" s="367"/>
      <c r="AS24" s="367"/>
      <c r="AT24" s="367"/>
      <c r="AU24" s="367"/>
      <c r="AV24" s="367"/>
    </row>
    <row r="25" spans="1:51" hidden="1" outlineLevel="1">
      <c r="C25" s="9">
        <v>21</v>
      </c>
      <c r="D25" s="300"/>
      <c r="K25" s="1"/>
      <c r="AN25" s="367"/>
      <c r="AO25" s="367"/>
      <c r="AP25" s="367"/>
      <c r="AQ25" s="367"/>
      <c r="AR25" s="367"/>
      <c r="AS25" s="367"/>
      <c r="AT25" s="367"/>
      <c r="AU25" s="367"/>
      <c r="AV25" s="367"/>
    </row>
    <row r="26" spans="1:51" hidden="1" outlineLevel="1">
      <c r="C26" s="9">
        <v>22</v>
      </c>
      <c r="D26" s="300"/>
      <c r="K26" s="1"/>
      <c r="AN26" s="367"/>
      <c r="AO26" s="367"/>
      <c r="AP26" s="367"/>
      <c r="AQ26" s="367"/>
      <c r="AR26" s="367"/>
      <c r="AS26" s="367"/>
      <c r="AT26" s="367"/>
      <c r="AU26" s="367"/>
      <c r="AV26" s="367"/>
    </row>
    <row r="27" spans="1:51" hidden="1" outlineLevel="1">
      <c r="C27" s="9">
        <v>23</v>
      </c>
      <c r="D27" s="300"/>
      <c r="K27" s="1"/>
      <c r="AN27" s="367"/>
      <c r="AO27" s="367"/>
      <c r="AP27" s="367"/>
      <c r="AQ27" s="367"/>
      <c r="AR27" s="367"/>
      <c r="AS27" s="367"/>
      <c r="AT27" s="367"/>
      <c r="AU27" s="367"/>
      <c r="AV27" s="367"/>
    </row>
    <row r="28" spans="1:51" ht="13" hidden="1" outlineLevel="1" thickBot="1">
      <c r="C28" s="11">
        <v>24</v>
      </c>
      <c r="D28" s="301"/>
      <c r="K28" s="1"/>
      <c r="AN28" s="367"/>
      <c r="AO28" s="367"/>
      <c r="AP28" s="367"/>
      <c r="AQ28" s="367"/>
      <c r="AR28" s="367"/>
      <c r="AS28" s="367"/>
      <c r="AT28" s="367"/>
      <c r="AU28" s="367"/>
      <c r="AV28" s="367"/>
    </row>
    <row r="29" spans="1:51" ht="13" hidden="1" outlineLevel="1" thickBot="1">
      <c r="K29" s="1"/>
      <c r="AN29" s="367"/>
      <c r="AO29" s="367"/>
      <c r="AP29" s="367"/>
      <c r="AQ29" s="367"/>
      <c r="AR29" s="367"/>
      <c r="AS29" s="367"/>
      <c r="AT29" s="367"/>
      <c r="AU29" s="367"/>
      <c r="AV29" s="367"/>
    </row>
    <row r="30" spans="1:51" ht="25" customHeight="1" collapsed="1" thickTop="1">
      <c r="B30" s="51"/>
      <c r="C30" s="134"/>
      <c r="D30" s="135"/>
      <c r="E30" s="135"/>
      <c r="F30" s="135"/>
      <c r="G30" s="135"/>
      <c r="H30" s="135"/>
      <c r="I30" s="135"/>
      <c r="J30" s="135"/>
      <c r="K30" s="135"/>
      <c r="L30" s="135"/>
      <c r="M30" s="135"/>
      <c r="N30" s="135"/>
      <c r="O30" s="251" t="s">
        <v>17</v>
      </c>
      <c r="P30" s="252"/>
      <c r="Q30" s="253"/>
      <c r="R30" s="253"/>
      <c r="S30" s="229" t="s">
        <v>16</v>
      </c>
      <c r="T30" s="230"/>
      <c r="U30" s="230"/>
      <c r="V30" s="230"/>
      <c r="W30" s="230"/>
      <c r="X30" s="231"/>
      <c r="Y30" s="234" t="s">
        <v>15</v>
      </c>
      <c r="Z30" s="235"/>
      <c r="AA30" s="238" t="s">
        <v>30</v>
      </c>
      <c r="AB30" s="239"/>
      <c r="AC30" s="239"/>
      <c r="AD30" s="239"/>
      <c r="AE30" s="239"/>
      <c r="AF30" s="239"/>
      <c r="AG30" s="239"/>
      <c r="AH30" s="239"/>
      <c r="AI30" s="239"/>
      <c r="AJ30" s="240"/>
      <c r="AK30" s="241"/>
      <c r="AL30" s="371" t="s">
        <v>13</v>
      </c>
      <c r="AM30" s="372"/>
      <c r="AN30" s="381" t="s">
        <v>254</v>
      </c>
      <c r="AO30" s="382"/>
      <c r="AP30" s="382"/>
      <c r="AQ30" s="382"/>
      <c r="AR30" s="382"/>
      <c r="AS30" s="382"/>
      <c r="AT30" s="383"/>
      <c r="AU30" s="355" t="s">
        <v>244</v>
      </c>
      <c r="AV30" s="356"/>
      <c r="AW30" s="246"/>
      <c r="AX30" s="247"/>
      <c r="AY30" s="248"/>
    </row>
    <row r="31" spans="1:51" ht="45" customHeight="1">
      <c r="A31" s="88" t="s">
        <v>467</v>
      </c>
      <c r="B31" s="88" t="s">
        <v>71</v>
      </c>
      <c r="C31" s="136" t="s">
        <v>25</v>
      </c>
      <c r="D31" s="137" t="s">
        <v>22</v>
      </c>
      <c r="E31" s="137" t="s">
        <v>23</v>
      </c>
      <c r="F31" s="137" t="s">
        <v>230</v>
      </c>
      <c r="G31" s="137" t="s">
        <v>120</v>
      </c>
      <c r="H31" s="137" t="s">
        <v>26</v>
      </c>
      <c r="I31" s="137" t="s">
        <v>27</v>
      </c>
      <c r="J31" s="137" t="s">
        <v>28</v>
      </c>
      <c r="K31" s="137" t="s">
        <v>466</v>
      </c>
      <c r="L31" s="137" t="s">
        <v>81</v>
      </c>
      <c r="M31" s="138" t="s">
        <v>29</v>
      </c>
      <c r="N31" s="138" t="s">
        <v>19</v>
      </c>
      <c r="O31" s="254" t="s">
        <v>38</v>
      </c>
      <c r="P31" s="255" t="s">
        <v>39</v>
      </c>
      <c r="Q31" s="309" t="s">
        <v>82</v>
      </c>
      <c r="R31" s="310" t="s">
        <v>113</v>
      </c>
      <c r="S31" s="232" t="s">
        <v>40</v>
      </c>
      <c r="T31" s="227" t="s">
        <v>55</v>
      </c>
      <c r="U31" s="227" t="s">
        <v>56</v>
      </c>
      <c r="V31" s="233" t="s">
        <v>104</v>
      </c>
      <c r="W31" s="233" t="s">
        <v>60</v>
      </c>
      <c r="X31" s="228" t="s">
        <v>57</v>
      </c>
      <c r="Y31" s="236" t="s">
        <v>58</v>
      </c>
      <c r="Z31" s="237" t="s">
        <v>59</v>
      </c>
      <c r="AA31" s="242" t="s">
        <v>33</v>
      </c>
      <c r="AB31" s="243" t="s">
        <v>34</v>
      </c>
      <c r="AC31" s="243" t="s">
        <v>43</v>
      </c>
      <c r="AD31" s="243" t="s">
        <v>35</v>
      </c>
      <c r="AE31" s="243" t="s">
        <v>44</v>
      </c>
      <c r="AF31" s="243" t="s">
        <v>61</v>
      </c>
      <c r="AG31" s="243" t="s">
        <v>45</v>
      </c>
      <c r="AH31" s="244" t="s">
        <v>105</v>
      </c>
      <c r="AI31" s="244" t="s">
        <v>46</v>
      </c>
      <c r="AJ31" s="243" t="s">
        <v>50</v>
      </c>
      <c r="AK31" s="244" t="s">
        <v>47</v>
      </c>
      <c r="AL31" s="373" t="s">
        <v>48</v>
      </c>
      <c r="AM31" s="374" t="s">
        <v>80</v>
      </c>
      <c r="AN31" s="370" t="s">
        <v>31</v>
      </c>
      <c r="AO31" s="245" t="s">
        <v>126</v>
      </c>
      <c r="AP31" s="245" t="s">
        <v>250</v>
      </c>
      <c r="AQ31" s="245" t="s">
        <v>252</v>
      </c>
      <c r="AR31" s="245" t="s">
        <v>49</v>
      </c>
      <c r="AS31" s="245" t="s">
        <v>251</v>
      </c>
      <c r="AT31" s="384" t="s">
        <v>253</v>
      </c>
      <c r="AU31" s="357" t="s">
        <v>247</v>
      </c>
      <c r="AV31" s="358" t="s">
        <v>248</v>
      </c>
      <c r="AW31" s="352" t="s">
        <v>32</v>
      </c>
      <c r="AX31" s="249" t="s">
        <v>36</v>
      </c>
      <c r="AY31" s="250" t="s">
        <v>37</v>
      </c>
    </row>
    <row r="32" spans="1:51" ht="15" customHeight="1">
      <c r="A32" s="1" t="str">
        <f>$C32&amp;"_"&amp;$E32&amp;"_"&amp;$K32</f>
        <v>TSX:HBM_2024_</v>
      </c>
      <c r="B32" s="1" t="str">
        <f t="shared" ref="B32:B101" si="0">$C32&amp;"_"&amp;$E32&amp;"_"&amp;$L32</f>
        <v>TSX:HBM_2024_CEO</v>
      </c>
      <c r="C32" s="216" t="str">
        <f>G6</f>
        <v>TSX:HBM</v>
      </c>
      <c r="D32" s="133" t="str">
        <f>_xll.ciqfunctions.udf.CIQ(C32,"IQ_Company_Name")</f>
        <v>Hudbay Minerals Inc.</v>
      </c>
      <c r="E32" s="328">
        <v>2024</v>
      </c>
      <c r="F32" s="330" t="str">
        <f t="shared" ref="F32:F38" si="1">E32&amp;"-01-01"</f>
        <v>2024-01-01</v>
      </c>
      <c r="G32" s="330" t="str">
        <f t="shared" ref="G32:G38" si="2">E32&amp;"-12-31"</f>
        <v>2024-12-31</v>
      </c>
      <c r="H32" s="332">
        <f>_xlfn.DAYS(G32,F32)/_xlfn.DAYS(E32&amp;"-12-31",E32&amp;"-01-01")*12</f>
        <v>12</v>
      </c>
      <c r="I32" s="328" t="str">
        <f>$G$5</f>
        <v>CAD</v>
      </c>
      <c r="J32" s="461">
        <f>IF($I32="CAD",1,IF($I32="USD",VLOOKUP($E32,$F$9:$G$11,2,FALSE),"N/A"))</f>
        <v>1</v>
      </c>
      <c r="K32" s="468"/>
      <c r="L32" s="464" t="s">
        <v>79</v>
      </c>
      <c r="M32" s="217" t="s">
        <v>272</v>
      </c>
      <c r="N32" s="218" t="s">
        <v>273</v>
      </c>
      <c r="O32" s="219">
        <v>1047525</v>
      </c>
      <c r="P32" s="417">
        <f t="shared" ref="P32:P52" si="3">IFERROR(O32*(12/$H32)*$J32,"-")</f>
        <v>1047525</v>
      </c>
      <c r="Q32" s="311"/>
      <c r="R32" s="126" t="str">
        <f t="shared" ref="R32:R52" si="4">IFERROR(IF((Q32*$L32)=0,"-",(Q32*$L32)),"-")</f>
        <v>-</v>
      </c>
      <c r="S32" s="221">
        <v>1632919</v>
      </c>
      <c r="T32" s="125">
        <f t="shared" ref="T32:T52" si="5">IFERROR(S32*(12/$H32)*$J32,"-")</f>
        <v>1632919</v>
      </c>
      <c r="U32" s="127">
        <f t="shared" ref="U32:U52" si="6">IFERROR($T32/$P32,"-")</f>
        <v>1.558835349991647</v>
      </c>
      <c r="V32" s="128">
        <f>IFERROR(AVERAGE(U32:U34),"N/A")</f>
        <v>1.558835349991647</v>
      </c>
      <c r="W32" s="223">
        <v>1.2</v>
      </c>
      <c r="X32" s="129">
        <f t="shared" ref="X32:X52" si="7">IFERROR(IF(ISNUMBER($W32)=TRUE, $W32*$P32,$V32*$P32),"-")</f>
        <v>1257030</v>
      </c>
      <c r="Y32" s="124">
        <f t="shared" ref="Y32:Y52" si="8">IFERROR(IF(SUM(P32,T32)=0,"-",SUM(P32,T32)),"-")</f>
        <v>2680444</v>
      </c>
      <c r="Z32" s="130">
        <f t="shared" ref="Z32:Z52" si="9">IFERROR(IF(SUM(P32,X32)=0,"-",SUM(P32,X32)),"-")</f>
        <v>2304555</v>
      </c>
      <c r="AA32" s="221"/>
      <c r="AB32" s="225">
        <v>1906903</v>
      </c>
      <c r="AC32" s="225">
        <v>635634</v>
      </c>
      <c r="AD32" s="225" t="s">
        <v>78</v>
      </c>
      <c r="AE32" s="225" t="s">
        <v>78</v>
      </c>
      <c r="AF32" s="125">
        <f t="shared" ref="AF32:AF52" si="10">IFERROR(IF(SUM(AA32:AE32)=0,IF(COUNTIF($AA32:$AE32,"=0")&gt;0,"$0","-"),SUM(AA32:AE32)),"-")</f>
        <v>2542537</v>
      </c>
      <c r="AG32" s="127">
        <f>IFERROR($AK32/$P32,"-")</f>
        <v>2.4271850313834991</v>
      </c>
      <c r="AH32" s="128">
        <f>IFERROR(AVERAGE(AG32:AG34),"N/A")</f>
        <v>2.4271850313834991</v>
      </c>
      <c r="AI32" s="223">
        <v>2.65</v>
      </c>
      <c r="AJ32" s="131">
        <f t="shared" ref="AJ32:AJ51" si="11">IFERROR(IF(ISNUMBER($AI32)=TRUE, $AI32*$P32, $AH32*$P32), "-")</f>
        <v>2775941.25</v>
      </c>
      <c r="AK32" s="368">
        <f t="shared" ref="AK32:AK51" si="12">IFERROR($AF32*$J32,"-")</f>
        <v>2542537</v>
      </c>
      <c r="AL32" s="375">
        <f t="shared" ref="AL32:AL52" si="13">IFERROR(IF(SUM(Y32,AK32)=0,"-",SUM(Y32,AK32)),"-")</f>
        <v>5222981</v>
      </c>
      <c r="AM32" s="376">
        <f t="shared" ref="AM32:AM52" si="14">IFERROR(IF(SUM($Z32,$AJ32)=0,"-",SUM($Z32,$AJ32)),"-")</f>
        <v>5080496.25</v>
      </c>
      <c r="AN32" s="394">
        <v>122042</v>
      </c>
      <c r="AO32" s="395" t="s">
        <v>274</v>
      </c>
      <c r="AP32" s="396">
        <f>IFERROR(AN32*(12/$H32)*$J32,"-")</f>
        <v>122042</v>
      </c>
      <c r="AQ32" s="409">
        <f>IFERROR(AVERAGE(AP32:AP34),"N/A")</f>
        <v>118074.66666666667</v>
      </c>
      <c r="AR32" s="401">
        <v>255034</v>
      </c>
      <c r="AS32" s="396">
        <f>IFERROR(AR32*(12/$H32)*$J32,"-")</f>
        <v>255034</v>
      </c>
      <c r="AT32" s="409">
        <f>IFERROR(AVERAGE(AS32:AS34),"N/A")</f>
        <v>245312.66666666666</v>
      </c>
      <c r="AU32" s="388">
        <f t="shared" ref="AU32:AU52" si="15">IFERROR(IF(SUM(AL32,AP32,AS32)=0,"-",SUM(AL32,AP32,AS32)),"-")</f>
        <v>5600057</v>
      </c>
      <c r="AV32" s="389">
        <f t="shared" ref="AV32:AV52" si="16">IFERROR(IF(SUM(AM32,AP32,AS32)=0,"-",SUM(AM32,AP32,AS32)),"-")</f>
        <v>5457572.25</v>
      </c>
      <c r="AW32" s="353" t="s">
        <v>78</v>
      </c>
      <c r="AX32" s="403" t="s">
        <v>358</v>
      </c>
      <c r="AY32" s="404"/>
    </row>
    <row r="33" spans="1:51" ht="15" customHeight="1">
      <c r="A33" s="1" t="str">
        <f t="shared" ref="A33:A96" si="17">$C33&amp;"_"&amp;$E33&amp;"_"&amp;$K33</f>
        <v>TSX:HBM_2023_</v>
      </c>
      <c r="B33" s="1" t="str">
        <f t="shared" si="0"/>
        <v>TSX:HBM_2023_CEO</v>
      </c>
      <c r="C33" s="114" t="str">
        <f>C32</f>
        <v>TSX:HBM</v>
      </c>
      <c r="D33" s="133" t="str">
        <f>_xll.ciqfunctions.udf.CIQ(C33,"IQ_Company_Name")</f>
        <v>Hudbay Minerals Inc.</v>
      </c>
      <c r="E33" s="328">
        <v>2023</v>
      </c>
      <c r="F33" s="330" t="str">
        <f t="shared" si="1"/>
        <v>2023-01-01</v>
      </c>
      <c r="G33" s="330" t="str">
        <f t="shared" si="2"/>
        <v>2023-12-31</v>
      </c>
      <c r="H33" s="114">
        <f t="shared" ref="H33:H52" si="18">_xlfn.DAYS(G33,F33)/_xlfn.DAYS(E33&amp;"-12-31",E33&amp;"-01-01")*12</f>
        <v>12</v>
      </c>
      <c r="I33" s="407" t="str">
        <f>I32</f>
        <v>CAD</v>
      </c>
      <c r="J33" s="461">
        <f t="shared" ref="J33:J102" si="19">IF($I33="CAD",1,IF($I33="USD",VLOOKUP($E33,$F$9:$G$11,2,FALSE),"N/A"))</f>
        <v>1</v>
      </c>
      <c r="K33" s="468"/>
      <c r="L33" s="465" t="str">
        <f t="shared" ref="L33:N34" si="20">L32</f>
        <v>CEO</v>
      </c>
      <c r="M33" s="123" t="str">
        <f t="shared" si="20"/>
        <v>President &amp; CEO</v>
      </c>
      <c r="N33" s="132" t="str">
        <f t="shared" si="20"/>
        <v>Peter Kukielski</v>
      </c>
      <c r="O33" s="219"/>
      <c r="P33" s="125">
        <f t="shared" si="3"/>
        <v>0</v>
      </c>
      <c r="Q33" s="311"/>
      <c r="R33" s="126" t="str">
        <f t="shared" si="4"/>
        <v>-</v>
      </c>
      <c r="S33" s="221"/>
      <c r="T33" s="125">
        <f t="shared" si="5"/>
        <v>0</v>
      </c>
      <c r="U33" s="127" t="str">
        <f t="shared" si="6"/>
        <v>-</v>
      </c>
      <c r="V33" s="128"/>
      <c r="W33" s="223"/>
      <c r="X33" s="129">
        <f t="shared" si="7"/>
        <v>0</v>
      </c>
      <c r="Y33" s="124" t="str">
        <f t="shared" si="8"/>
        <v>-</v>
      </c>
      <c r="Z33" s="130" t="str">
        <f t="shared" si="9"/>
        <v>-</v>
      </c>
      <c r="AA33" s="221"/>
      <c r="AB33" s="225"/>
      <c r="AC33" s="225"/>
      <c r="AD33" s="225" t="s">
        <v>78</v>
      </c>
      <c r="AE33" s="225" t="s">
        <v>78</v>
      </c>
      <c r="AF33" s="125" t="str">
        <f t="shared" si="10"/>
        <v>-</v>
      </c>
      <c r="AG33" s="127" t="str">
        <f t="shared" ref="AG33:AG52" si="21">IFERROR($AK33/$P33,"-")</f>
        <v>-</v>
      </c>
      <c r="AH33" s="128"/>
      <c r="AI33" s="223"/>
      <c r="AJ33" s="131">
        <f t="shared" si="11"/>
        <v>0</v>
      </c>
      <c r="AK33" s="368" t="str">
        <f t="shared" si="12"/>
        <v>-</v>
      </c>
      <c r="AL33" s="375" t="str">
        <f t="shared" si="13"/>
        <v>-</v>
      </c>
      <c r="AM33" s="376" t="str">
        <f t="shared" si="14"/>
        <v>-</v>
      </c>
      <c r="AN33" s="394">
        <v>119348</v>
      </c>
      <c r="AO33" s="395" t="s">
        <v>274</v>
      </c>
      <c r="AP33" s="396">
        <f t="shared" ref="AP33:AP96" si="22">IFERROR(AN33*(12/$H33)*$J33,"-")</f>
        <v>119348</v>
      </c>
      <c r="AQ33" s="397"/>
      <c r="AR33" s="401">
        <v>275237</v>
      </c>
      <c r="AS33" s="396">
        <f t="shared" ref="AS33:AS96" si="23">IFERROR(AR33*(12/$H33)*$J33,"-")</f>
        <v>275237</v>
      </c>
      <c r="AT33" s="397"/>
      <c r="AU33" s="388">
        <f t="shared" si="15"/>
        <v>394585</v>
      </c>
      <c r="AV33" s="389">
        <f t="shared" si="16"/>
        <v>394585</v>
      </c>
      <c r="AW33" s="353" t="s">
        <v>78</v>
      </c>
      <c r="AX33" s="403"/>
      <c r="AY33" s="404"/>
    </row>
    <row r="34" spans="1:51" ht="15" customHeight="1">
      <c r="A34" s="1" t="str">
        <f t="shared" si="17"/>
        <v>TSX:HBM_2022_</v>
      </c>
      <c r="B34" s="1" t="str">
        <f t="shared" si="0"/>
        <v>TSX:HBM_2022_CEO</v>
      </c>
      <c r="C34" s="114" t="str">
        <f t="shared" ref="C34:C52" si="24">C33</f>
        <v>TSX:HBM</v>
      </c>
      <c r="D34" s="133" t="str">
        <f>_xll.ciqfunctions.udf.CIQ(C34,"IQ_Company_Name")</f>
        <v>Hudbay Minerals Inc.</v>
      </c>
      <c r="E34" s="328">
        <v>2022</v>
      </c>
      <c r="F34" s="114" t="str">
        <f t="shared" si="1"/>
        <v>2022-01-01</v>
      </c>
      <c r="G34" s="330" t="str">
        <f t="shared" si="2"/>
        <v>2022-12-31</v>
      </c>
      <c r="H34" s="114">
        <f t="shared" si="18"/>
        <v>12</v>
      </c>
      <c r="I34" s="407" t="str">
        <f>I33</f>
        <v>CAD</v>
      </c>
      <c r="J34" s="461">
        <f t="shared" si="19"/>
        <v>1</v>
      </c>
      <c r="K34" s="468"/>
      <c r="L34" s="465" t="str">
        <f t="shared" si="20"/>
        <v>CEO</v>
      </c>
      <c r="M34" s="123" t="str">
        <f t="shared" si="20"/>
        <v>President &amp; CEO</v>
      </c>
      <c r="N34" s="132" t="str">
        <f t="shared" si="20"/>
        <v>Peter Kukielski</v>
      </c>
      <c r="O34" s="219"/>
      <c r="P34" s="125">
        <f t="shared" si="3"/>
        <v>0</v>
      </c>
      <c r="Q34" s="311"/>
      <c r="R34" s="126" t="str">
        <f t="shared" si="4"/>
        <v>-</v>
      </c>
      <c r="S34" s="221"/>
      <c r="T34" s="125">
        <f t="shared" si="5"/>
        <v>0</v>
      </c>
      <c r="U34" s="127" t="str">
        <f t="shared" si="6"/>
        <v>-</v>
      </c>
      <c r="V34" s="128"/>
      <c r="W34" s="223"/>
      <c r="X34" s="129">
        <f t="shared" si="7"/>
        <v>0</v>
      </c>
      <c r="Y34" s="124" t="str">
        <f t="shared" si="8"/>
        <v>-</v>
      </c>
      <c r="Z34" s="130" t="str">
        <f t="shared" si="9"/>
        <v>-</v>
      </c>
      <c r="AA34" s="221"/>
      <c r="AB34" s="225"/>
      <c r="AC34" s="225"/>
      <c r="AD34" s="225" t="s">
        <v>78</v>
      </c>
      <c r="AE34" s="225" t="s">
        <v>78</v>
      </c>
      <c r="AF34" s="125" t="str">
        <f t="shared" si="10"/>
        <v>-</v>
      </c>
      <c r="AG34" s="127" t="str">
        <f t="shared" si="21"/>
        <v>-</v>
      </c>
      <c r="AH34" s="128"/>
      <c r="AI34" s="223"/>
      <c r="AJ34" s="131">
        <f t="shared" si="11"/>
        <v>0</v>
      </c>
      <c r="AK34" s="368" t="str">
        <f t="shared" si="12"/>
        <v>-</v>
      </c>
      <c r="AL34" s="375" t="str">
        <f t="shared" si="13"/>
        <v>-</v>
      </c>
      <c r="AM34" s="376" t="str">
        <f t="shared" si="14"/>
        <v>-</v>
      </c>
      <c r="AN34" s="394">
        <v>112834</v>
      </c>
      <c r="AO34" s="395" t="s">
        <v>274</v>
      </c>
      <c r="AP34" s="396">
        <f t="shared" si="22"/>
        <v>112834</v>
      </c>
      <c r="AQ34" s="397"/>
      <c r="AR34" s="401">
        <v>205667</v>
      </c>
      <c r="AS34" s="396">
        <f t="shared" si="23"/>
        <v>205667</v>
      </c>
      <c r="AT34" s="397"/>
      <c r="AU34" s="388">
        <f t="shared" si="15"/>
        <v>318501</v>
      </c>
      <c r="AV34" s="389">
        <f t="shared" si="16"/>
        <v>318501</v>
      </c>
      <c r="AW34" s="353" t="s">
        <v>78</v>
      </c>
      <c r="AX34" s="403"/>
      <c r="AY34" s="404"/>
    </row>
    <row r="35" spans="1:51" ht="15" customHeight="1">
      <c r="A35" s="1" t="str">
        <f t="shared" si="17"/>
        <v>TSX:HBM_2024_COO</v>
      </c>
      <c r="B35" s="1" t="str">
        <f t="shared" si="0"/>
        <v>TSX:HBM_2024_NEO1</v>
      </c>
      <c r="C35" s="114" t="str">
        <f t="shared" si="24"/>
        <v>TSX:HBM</v>
      </c>
      <c r="D35" s="133" t="str">
        <f>_xll.ciqfunctions.udf.CIQ(C35,"IQ_Company_Name")</f>
        <v>Hudbay Minerals Inc.</v>
      </c>
      <c r="E35" s="114">
        <f>E32</f>
        <v>2024</v>
      </c>
      <c r="F35" s="114" t="str">
        <f t="shared" si="1"/>
        <v>2024-01-01</v>
      </c>
      <c r="G35" s="330" t="str">
        <f t="shared" si="2"/>
        <v>2024-12-31</v>
      </c>
      <c r="H35" s="114">
        <f t="shared" si="18"/>
        <v>12</v>
      </c>
      <c r="I35" s="407" t="str">
        <f>I34</f>
        <v>CAD</v>
      </c>
      <c r="J35" s="461">
        <f t="shared" si="19"/>
        <v>1</v>
      </c>
      <c r="K35" s="468" t="s">
        <v>277</v>
      </c>
      <c r="L35" s="464" t="s">
        <v>107</v>
      </c>
      <c r="M35" s="217" t="s">
        <v>277</v>
      </c>
      <c r="N35" s="218" t="s">
        <v>278</v>
      </c>
      <c r="O35" s="219">
        <v>651000</v>
      </c>
      <c r="P35" s="125">
        <f t="shared" si="3"/>
        <v>651000</v>
      </c>
      <c r="Q35" s="311"/>
      <c r="R35" s="126" t="str">
        <f t="shared" si="4"/>
        <v>-</v>
      </c>
      <c r="S35" s="221">
        <v>740466</v>
      </c>
      <c r="T35" s="125">
        <f t="shared" si="5"/>
        <v>740466</v>
      </c>
      <c r="U35" s="127">
        <f t="shared" si="6"/>
        <v>1.1374285714285715</v>
      </c>
      <c r="V35" s="128">
        <f>IFERROR(AVERAGE(U35:U37),"N/A")</f>
        <v>1.1374285714285715</v>
      </c>
      <c r="W35" s="223">
        <v>0.9</v>
      </c>
      <c r="X35" s="129">
        <f t="shared" si="7"/>
        <v>585900</v>
      </c>
      <c r="Y35" s="124">
        <f t="shared" si="8"/>
        <v>1391466</v>
      </c>
      <c r="Z35" s="130">
        <f t="shared" si="9"/>
        <v>1236900</v>
      </c>
      <c r="AA35" s="221"/>
      <c r="AB35" s="225">
        <v>790500</v>
      </c>
      <c r="AC35" s="225">
        <v>263500</v>
      </c>
      <c r="AD35" s="225" t="s">
        <v>78</v>
      </c>
      <c r="AE35" s="225" t="s">
        <v>78</v>
      </c>
      <c r="AF35" s="125">
        <f t="shared" si="10"/>
        <v>1054000</v>
      </c>
      <c r="AG35" s="127">
        <f t="shared" si="21"/>
        <v>1.6190476190476191</v>
      </c>
      <c r="AH35" s="128">
        <f>IFERROR(AVERAGE(AG35:AG37),"N/A")</f>
        <v>1.6190476190476191</v>
      </c>
      <c r="AI35" s="223">
        <v>1.7</v>
      </c>
      <c r="AJ35" s="131">
        <f t="shared" si="11"/>
        <v>1106700</v>
      </c>
      <c r="AK35" s="368">
        <f t="shared" si="12"/>
        <v>1054000</v>
      </c>
      <c r="AL35" s="375">
        <f t="shared" si="13"/>
        <v>2445466</v>
      </c>
      <c r="AM35" s="376">
        <f t="shared" si="14"/>
        <v>2343600</v>
      </c>
      <c r="AN35" s="394">
        <v>74400</v>
      </c>
      <c r="AO35" s="395" t="s">
        <v>274</v>
      </c>
      <c r="AP35" s="396">
        <f t="shared" si="22"/>
        <v>74400</v>
      </c>
      <c r="AQ35" s="397">
        <f>IFERROR(AVERAGE(AP35:AP37),"N/A")</f>
        <v>67856</v>
      </c>
      <c r="AR35" s="401">
        <v>85127</v>
      </c>
      <c r="AS35" s="396">
        <f t="shared" si="23"/>
        <v>85127</v>
      </c>
      <c r="AT35" s="397">
        <f>IFERROR(AVERAGE(AS35:AS37),"N/A")</f>
        <v>196002.66666666666</v>
      </c>
      <c r="AU35" s="388">
        <f t="shared" si="15"/>
        <v>2604993</v>
      </c>
      <c r="AV35" s="389">
        <f t="shared" si="16"/>
        <v>2503127</v>
      </c>
      <c r="AW35" s="353" t="s">
        <v>78</v>
      </c>
      <c r="AX35" s="403" t="s">
        <v>358</v>
      </c>
      <c r="AY35" s="404"/>
    </row>
    <row r="36" spans="1:51" ht="15" customHeight="1">
      <c r="A36" s="1" t="str">
        <f t="shared" si="17"/>
        <v>TSX:HBM_2023_COO</v>
      </c>
      <c r="B36" s="1" t="str">
        <f t="shared" si="0"/>
        <v>TSX:HBM_2023_NEO1</v>
      </c>
      <c r="C36" s="114" t="str">
        <f t="shared" si="24"/>
        <v>TSX:HBM</v>
      </c>
      <c r="D36" s="133" t="str">
        <f>_xll.ciqfunctions.udf.CIQ(C36,"IQ_Company_Name")</f>
        <v>Hudbay Minerals Inc.</v>
      </c>
      <c r="E36" s="114">
        <f>E33</f>
        <v>2023</v>
      </c>
      <c r="F36" s="114" t="str">
        <f t="shared" si="1"/>
        <v>2023-01-01</v>
      </c>
      <c r="G36" s="330" t="str">
        <f t="shared" si="2"/>
        <v>2023-12-31</v>
      </c>
      <c r="H36" s="114">
        <f t="shared" si="18"/>
        <v>12</v>
      </c>
      <c r="I36" s="407" t="str">
        <f>I35</f>
        <v>CAD</v>
      </c>
      <c r="J36" s="461">
        <f t="shared" si="19"/>
        <v>1</v>
      </c>
      <c r="K36" s="468" t="s">
        <v>277</v>
      </c>
      <c r="L36" s="465" t="str">
        <f t="shared" ref="L36:N37" si="25">L35</f>
        <v>NEO1</v>
      </c>
      <c r="M36" s="123" t="str">
        <f t="shared" si="25"/>
        <v>COO</v>
      </c>
      <c r="N36" s="132" t="str">
        <f t="shared" si="25"/>
        <v>Andre Lauzon</v>
      </c>
      <c r="O36" s="219"/>
      <c r="P36" s="125">
        <f t="shared" si="3"/>
        <v>0</v>
      </c>
      <c r="Q36" s="311"/>
      <c r="R36" s="126" t="str">
        <f t="shared" si="4"/>
        <v>-</v>
      </c>
      <c r="S36" s="221"/>
      <c r="T36" s="125">
        <f t="shared" si="5"/>
        <v>0</v>
      </c>
      <c r="U36" s="127" t="str">
        <f t="shared" si="6"/>
        <v>-</v>
      </c>
      <c r="V36" s="128"/>
      <c r="W36" s="223"/>
      <c r="X36" s="129">
        <f t="shared" si="7"/>
        <v>0</v>
      </c>
      <c r="Y36" s="124" t="str">
        <f t="shared" si="8"/>
        <v>-</v>
      </c>
      <c r="Z36" s="130" t="str">
        <f t="shared" si="9"/>
        <v>-</v>
      </c>
      <c r="AA36" s="221"/>
      <c r="AB36" s="225"/>
      <c r="AC36" s="225"/>
      <c r="AD36" s="225" t="s">
        <v>78</v>
      </c>
      <c r="AE36" s="225" t="s">
        <v>78</v>
      </c>
      <c r="AF36" s="125" t="str">
        <f t="shared" si="10"/>
        <v>-</v>
      </c>
      <c r="AG36" s="127" t="str">
        <f t="shared" si="21"/>
        <v>-</v>
      </c>
      <c r="AH36" s="128"/>
      <c r="AI36" s="223"/>
      <c r="AJ36" s="131">
        <f t="shared" si="11"/>
        <v>0</v>
      </c>
      <c r="AK36" s="368" t="str">
        <f t="shared" si="12"/>
        <v>-</v>
      </c>
      <c r="AL36" s="375" t="str">
        <f t="shared" si="13"/>
        <v>-</v>
      </c>
      <c r="AM36" s="376" t="str">
        <f t="shared" si="14"/>
        <v>-</v>
      </c>
      <c r="AN36" s="394">
        <v>66768</v>
      </c>
      <c r="AO36" s="395" t="s">
        <v>274</v>
      </c>
      <c r="AP36" s="396">
        <f t="shared" si="22"/>
        <v>66768</v>
      </c>
      <c r="AQ36" s="397"/>
      <c r="AR36" s="401">
        <v>179092</v>
      </c>
      <c r="AS36" s="396">
        <f t="shared" si="23"/>
        <v>179092</v>
      </c>
      <c r="AT36" s="397"/>
      <c r="AU36" s="388">
        <f t="shared" si="15"/>
        <v>245860</v>
      </c>
      <c r="AV36" s="389">
        <f t="shared" si="16"/>
        <v>245860</v>
      </c>
      <c r="AW36" s="353" t="s">
        <v>78</v>
      </c>
      <c r="AX36" s="403"/>
      <c r="AY36" s="404"/>
    </row>
    <row r="37" spans="1:51" ht="15" customHeight="1">
      <c r="A37" s="1" t="str">
        <f t="shared" si="17"/>
        <v>TSX:HBM_2022_COO</v>
      </c>
      <c r="B37" s="1" t="str">
        <f t="shared" si="0"/>
        <v>TSX:HBM_2022_NEO1</v>
      </c>
      <c r="C37" s="114" t="str">
        <f t="shared" si="24"/>
        <v>TSX:HBM</v>
      </c>
      <c r="D37" s="133" t="str">
        <f>_xll.ciqfunctions.udf.CIQ(C37,"IQ_Company_Name")</f>
        <v>Hudbay Minerals Inc.</v>
      </c>
      <c r="E37" s="114">
        <f>E34</f>
        <v>2022</v>
      </c>
      <c r="F37" s="114" t="str">
        <f t="shared" si="1"/>
        <v>2022-01-01</v>
      </c>
      <c r="G37" s="330" t="str">
        <f t="shared" si="2"/>
        <v>2022-12-31</v>
      </c>
      <c r="H37" s="114">
        <f t="shared" si="18"/>
        <v>12</v>
      </c>
      <c r="I37" s="407" t="str">
        <f t="shared" ref="I37:I52" si="26">I36</f>
        <v>CAD</v>
      </c>
      <c r="J37" s="461">
        <f t="shared" si="19"/>
        <v>1</v>
      </c>
      <c r="K37" s="468" t="s">
        <v>277</v>
      </c>
      <c r="L37" s="465" t="str">
        <f t="shared" si="25"/>
        <v>NEO1</v>
      </c>
      <c r="M37" s="123" t="str">
        <f t="shared" si="25"/>
        <v>COO</v>
      </c>
      <c r="N37" s="132" t="str">
        <f t="shared" si="25"/>
        <v>Andre Lauzon</v>
      </c>
      <c r="O37" s="219"/>
      <c r="P37" s="125">
        <f t="shared" si="3"/>
        <v>0</v>
      </c>
      <c r="Q37" s="311"/>
      <c r="R37" s="126" t="str">
        <f t="shared" si="4"/>
        <v>-</v>
      </c>
      <c r="S37" s="221"/>
      <c r="T37" s="125">
        <f t="shared" si="5"/>
        <v>0</v>
      </c>
      <c r="U37" s="127" t="str">
        <f t="shared" si="6"/>
        <v>-</v>
      </c>
      <c r="V37" s="128"/>
      <c r="W37" s="223"/>
      <c r="X37" s="129">
        <f t="shared" si="7"/>
        <v>0</v>
      </c>
      <c r="Y37" s="124" t="str">
        <f t="shared" si="8"/>
        <v>-</v>
      </c>
      <c r="Z37" s="130" t="str">
        <f t="shared" si="9"/>
        <v>-</v>
      </c>
      <c r="AA37" s="221"/>
      <c r="AB37" s="225"/>
      <c r="AC37" s="225"/>
      <c r="AD37" s="225" t="s">
        <v>78</v>
      </c>
      <c r="AE37" s="225" t="s">
        <v>78</v>
      </c>
      <c r="AF37" s="125" t="str">
        <f t="shared" si="10"/>
        <v>-</v>
      </c>
      <c r="AG37" s="127" t="str">
        <f t="shared" si="21"/>
        <v>-</v>
      </c>
      <c r="AH37" s="128"/>
      <c r="AI37" s="223"/>
      <c r="AJ37" s="131">
        <f t="shared" si="11"/>
        <v>0</v>
      </c>
      <c r="AK37" s="368" t="str">
        <f t="shared" si="12"/>
        <v>-</v>
      </c>
      <c r="AL37" s="375" t="str">
        <f t="shared" si="13"/>
        <v>-</v>
      </c>
      <c r="AM37" s="376" t="str">
        <f t="shared" si="14"/>
        <v>-</v>
      </c>
      <c r="AN37" s="394">
        <v>62400</v>
      </c>
      <c r="AO37" s="395" t="s">
        <v>274</v>
      </c>
      <c r="AP37" s="396">
        <f t="shared" si="22"/>
        <v>62400</v>
      </c>
      <c r="AQ37" s="397"/>
      <c r="AR37" s="401">
        <v>323789</v>
      </c>
      <c r="AS37" s="396">
        <f t="shared" si="23"/>
        <v>323789</v>
      </c>
      <c r="AT37" s="397"/>
      <c r="AU37" s="388">
        <f t="shared" si="15"/>
        <v>386189</v>
      </c>
      <c r="AV37" s="389">
        <f t="shared" si="16"/>
        <v>386189</v>
      </c>
      <c r="AW37" s="353" t="s">
        <v>78</v>
      </c>
      <c r="AX37" s="403"/>
      <c r="AY37" s="404"/>
    </row>
    <row r="38" spans="1:51" ht="15" customHeight="1">
      <c r="A38" s="1" t="str">
        <f t="shared" si="17"/>
        <v>TSX:HBM_2024_</v>
      </c>
      <c r="B38" s="1" t="str">
        <f t="shared" si="0"/>
        <v>TSX:HBM_2024_CFO</v>
      </c>
      <c r="C38" s="114" t="str">
        <f t="shared" si="24"/>
        <v>TSX:HBM</v>
      </c>
      <c r="D38" s="133" t="str">
        <f>_xll.ciqfunctions.udf.CIQ(C38,"IQ_Company_Name")</f>
        <v>Hudbay Minerals Inc.</v>
      </c>
      <c r="E38" s="114">
        <f t="shared" ref="E38:E43" si="27">E35</f>
        <v>2024</v>
      </c>
      <c r="F38" s="330" t="str">
        <f t="shared" si="1"/>
        <v>2024-01-01</v>
      </c>
      <c r="G38" s="330" t="str">
        <f t="shared" si="2"/>
        <v>2024-12-31</v>
      </c>
      <c r="H38" s="114">
        <f t="shared" si="18"/>
        <v>12</v>
      </c>
      <c r="I38" s="407" t="str">
        <f t="shared" si="26"/>
        <v>CAD</v>
      </c>
      <c r="J38" s="461">
        <f t="shared" si="19"/>
        <v>1</v>
      </c>
      <c r="K38" s="468"/>
      <c r="L38" s="464" t="s">
        <v>106</v>
      </c>
      <c r="M38" s="217" t="s">
        <v>106</v>
      </c>
      <c r="N38" s="218" t="s">
        <v>279</v>
      </c>
      <c r="O38" s="219">
        <v>573681</v>
      </c>
      <c r="P38" s="125">
        <f t="shared" si="3"/>
        <v>573681</v>
      </c>
      <c r="Q38" s="311"/>
      <c r="R38" s="126" t="str">
        <f t="shared" si="4"/>
        <v>-</v>
      </c>
      <c r="S38" s="221">
        <v>658795</v>
      </c>
      <c r="T38" s="125">
        <f t="shared" si="5"/>
        <v>658795</v>
      </c>
      <c r="U38" s="127">
        <f t="shared" si="6"/>
        <v>1.1483646835087793</v>
      </c>
      <c r="V38" s="128">
        <f>IFERROR(AVERAGE(U38:U40),"N/A")</f>
        <v>1.1483646835087793</v>
      </c>
      <c r="W38" s="223">
        <v>0.9</v>
      </c>
      <c r="X38" s="129">
        <f t="shared" si="7"/>
        <v>516312.9</v>
      </c>
      <c r="Y38" s="124">
        <f t="shared" si="8"/>
        <v>1232476</v>
      </c>
      <c r="Z38" s="130">
        <f t="shared" si="9"/>
        <v>1089993.8999999999</v>
      </c>
      <c r="AA38" s="221"/>
      <c r="AB38" s="225">
        <v>661939</v>
      </c>
      <c r="AC38" s="225">
        <v>220646</v>
      </c>
      <c r="AD38" s="225" t="s">
        <v>78</v>
      </c>
      <c r="AE38" s="225" t="s">
        <v>78</v>
      </c>
      <c r="AF38" s="125">
        <f t="shared" si="10"/>
        <v>882585</v>
      </c>
      <c r="AG38" s="127">
        <f t="shared" si="21"/>
        <v>1.5384595271588217</v>
      </c>
      <c r="AH38" s="128">
        <f>IFERROR(AVERAGE(AG38:AG40),"N/A")</f>
        <v>1.5384595271588217</v>
      </c>
      <c r="AI38" s="223">
        <v>1.7</v>
      </c>
      <c r="AJ38" s="131">
        <f t="shared" si="11"/>
        <v>975257.7</v>
      </c>
      <c r="AK38" s="368">
        <f t="shared" si="12"/>
        <v>882585</v>
      </c>
      <c r="AL38" s="375">
        <f t="shared" si="13"/>
        <v>2115061</v>
      </c>
      <c r="AM38" s="376">
        <f t="shared" si="14"/>
        <v>2065251.5999999999</v>
      </c>
      <c r="AN38" s="394">
        <v>132222</v>
      </c>
      <c r="AO38" s="395" t="s">
        <v>280</v>
      </c>
      <c r="AP38" s="396">
        <f t="shared" si="22"/>
        <v>132222</v>
      </c>
      <c r="AQ38" s="397">
        <f>IFERROR(AVERAGE(AP38:AP40),"N/A")</f>
        <v>157909.66666666666</v>
      </c>
      <c r="AR38" s="401">
        <v>103501</v>
      </c>
      <c r="AS38" s="396">
        <f t="shared" si="23"/>
        <v>103501</v>
      </c>
      <c r="AT38" s="397">
        <f>IFERROR(AVERAGE(AS38:AS40),"N/A")</f>
        <v>119085.66666666667</v>
      </c>
      <c r="AU38" s="388">
        <f t="shared" si="15"/>
        <v>2350784</v>
      </c>
      <c r="AV38" s="389">
        <f t="shared" si="16"/>
        <v>2300974.5999999996</v>
      </c>
      <c r="AW38" s="353" t="s">
        <v>78</v>
      </c>
      <c r="AX38" s="403" t="s">
        <v>358</v>
      </c>
      <c r="AY38" s="404"/>
    </row>
    <row r="39" spans="1:51" ht="15" customHeight="1">
      <c r="A39" s="1" t="str">
        <f t="shared" si="17"/>
        <v>TSX:HBM_2023_</v>
      </c>
      <c r="B39" s="1" t="str">
        <f t="shared" si="0"/>
        <v>TSX:HBM_2023_CFO</v>
      </c>
      <c r="C39" s="114" t="str">
        <f t="shared" si="24"/>
        <v>TSX:HBM</v>
      </c>
      <c r="D39" s="133" t="str">
        <f>_xll.ciqfunctions.udf.CIQ(C39,"IQ_Company_Name")</f>
        <v>Hudbay Minerals Inc.</v>
      </c>
      <c r="E39" s="114">
        <f t="shared" si="27"/>
        <v>2023</v>
      </c>
      <c r="F39" s="330" t="str">
        <f>E39&amp;"-01-01"</f>
        <v>2023-01-01</v>
      </c>
      <c r="G39" s="330" t="str">
        <f>E39&amp;"-12-31"</f>
        <v>2023-12-31</v>
      </c>
      <c r="H39" s="114">
        <f t="shared" si="18"/>
        <v>12</v>
      </c>
      <c r="I39" s="407" t="str">
        <f t="shared" si="26"/>
        <v>CAD</v>
      </c>
      <c r="J39" s="461">
        <f t="shared" si="19"/>
        <v>1</v>
      </c>
      <c r="K39" s="468"/>
      <c r="L39" s="465" t="str">
        <f t="shared" ref="L39:N40" si="28">L38</f>
        <v>CFO</v>
      </c>
      <c r="M39" s="123" t="str">
        <f t="shared" si="28"/>
        <v>CFO</v>
      </c>
      <c r="N39" s="132" t="str">
        <f t="shared" si="28"/>
        <v>Eugene Lei</v>
      </c>
      <c r="O39" s="219"/>
      <c r="P39" s="125">
        <f t="shared" si="3"/>
        <v>0</v>
      </c>
      <c r="Q39" s="311"/>
      <c r="R39" s="126" t="str">
        <f t="shared" si="4"/>
        <v>-</v>
      </c>
      <c r="S39" s="221"/>
      <c r="T39" s="125">
        <f t="shared" si="5"/>
        <v>0</v>
      </c>
      <c r="U39" s="127" t="str">
        <f t="shared" si="6"/>
        <v>-</v>
      </c>
      <c r="V39" s="128"/>
      <c r="W39" s="223"/>
      <c r="X39" s="129">
        <f t="shared" si="7"/>
        <v>0</v>
      </c>
      <c r="Y39" s="124" t="str">
        <f t="shared" si="8"/>
        <v>-</v>
      </c>
      <c r="Z39" s="130" t="str">
        <f t="shared" si="9"/>
        <v>-</v>
      </c>
      <c r="AA39" s="221"/>
      <c r="AB39" s="225"/>
      <c r="AC39" s="225"/>
      <c r="AD39" s="225" t="s">
        <v>78</v>
      </c>
      <c r="AE39" s="225" t="s">
        <v>78</v>
      </c>
      <c r="AF39" s="125" t="str">
        <f t="shared" si="10"/>
        <v>-</v>
      </c>
      <c r="AG39" s="127" t="str">
        <f t="shared" si="21"/>
        <v>-</v>
      </c>
      <c r="AH39" s="128"/>
      <c r="AI39" s="223"/>
      <c r="AJ39" s="131">
        <f t="shared" si="11"/>
        <v>0</v>
      </c>
      <c r="AK39" s="368" t="str">
        <f t="shared" si="12"/>
        <v>-</v>
      </c>
      <c r="AL39" s="375" t="str">
        <f t="shared" si="13"/>
        <v>-</v>
      </c>
      <c r="AM39" s="376" t="str">
        <f t="shared" si="14"/>
        <v>-</v>
      </c>
      <c r="AN39" s="394">
        <v>108961</v>
      </c>
      <c r="AO39" s="395" t="s">
        <v>280</v>
      </c>
      <c r="AP39" s="396">
        <f t="shared" si="22"/>
        <v>108961</v>
      </c>
      <c r="AQ39" s="397"/>
      <c r="AR39" s="401">
        <v>141406</v>
      </c>
      <c r="AS39" s="396">
        <f t="shared" si="23"/>
        <v>141406</v>
      </c>
      <c r="AT39" s="397"/>
      <c r="AU39" s="388">
        <f t="shared" si="15"/>
        <v>250367</v>
      </c>
      <c r="AV39" s="389">
        <f t="shared" si="16"/>
        <v>250367</v>
      </c>
      <c r="AW39" s="353" t="s">
        <v>78</v>
      </c>
      <c r="AX39" s="403"/>
      <c r="AY39" s="404"/>
    </row>
    <row r="40" spans="1:51" ht="15" customHeight="1">
      <c r="A40" s="1" t="str">
        <f t="shared" si="17"/>
        <v>TSX:HBM_2022_</v>
      </c>
      <c r="B40" s="1" t="str">
        <f t="shared" si="0"/>
        <v>TSX:HBM_2022_CFO</v>
      </c>
      <c r="C40" s="114" t="str">
        <f t="shared" si="24"/>
        <v>TSX:HBM</v>
      </c>
      <c r="D40" s="133" t="str">
        <f>_xll.ciqfunctions.udf.CIQ(C40,"IQ_Company_Name")</f>
        <v>Hudbay Minerals Inc.</v>
      </c>
      <c r="E40" s="114">
        <f t="shared" si="27"/>
        <v>2022</v>
      </c>
      <c r="F40" s="114" t="str">
        <f t="shared" ref="F40:F52" si="29">E40&amp;"-01-01"</f>
        <v>2022-01-01</v>
      </c>
      <c r="G40" s="330" t="str">
        <f t="shared" ref="G40:G52" si="30">E40&amp;"-12-31"</f>
        <v>2022-12-31</v>
      </c>
      <c r="H40" s="114">
        <f t="shared" si="18"/>
        <v>12</v>
      </c>
      <c r="I40" s="407" t="str">
        <f t="shared" si="26"/>
        <v>CAD</v>
      </c>
      <c r="J40" s="461">
        <f t="shared" si="19"/>
        <v>1</v>
      </c>
      <c r="K40" s="468"/>
      <c r="L40" s="465" t="str">
        <f t="shared" si="28"/>
        <v>CFO</v>
      </c>
      <c r="M40" s="123" t="str">
        <f t="shared" si="28"/>
        <v>CFO</v>
      </c>
      <c r="N40" s="132" t="str">
        <f t="shared" si="28"/>
        <v>Eugene Lei</v>
      </c>
      <c r="O40" s="219"/>
      <c r="P40" s="125">
        <f t="shared" si="3"/>
        <v>0</v>
      </c>
      <c r="Q40" s="311"/>
      <c r="R40" s="126" t="str">
        <f t="shared" si="4"/>
        <v>-</v>
      </c>
      <c r="S40" s="221"/>
      <c r="T40" s="125">
        <f t="shared" si="5"/>
        <v>0</v>
      </c>
      <c r="U40" s="127" t="str">
        <f t="shared" si="6"/>
        <v>-</v>
      </c>
      <c r="V40" s="128"/>
      <c r="W40" s="223"/>
      <c r="X40" s="129">
        <f t="shared" si="7"/>
        <v>0</v>
      </c>
      <c r="Y40" s="124" t="str">
        <f t="shared" si="8"/>
        <v>-</v>
      </c>
      <c r="Z40" s="130" t="str">
        <f t="shared" si="9"/>
        <v>-</v>
      </c>
      <c r="AA40" s="221"/>
      <c r="AB40" s="225"/>
      <c r="AC40" s="225"/>
      <c r="AD40" s="225" t="s">
        <v>78</v>
      </c>
      <c r="AE40" s="225" t="s">
        <v>78</v>
      </c>
      <c r="AF40" s="125" t="str">
        <f t="shared" si="10"/>
        <v>-</v>
      </c>
      <c r="AG40" s="127" t="str">
        <f t="shared" si="21"/>
        <v>-</v>
      </c>
      <c r="AH40" s="128"/>
      <c r="AI40" s="223"/>
      <c r="AJ40" s="131">
        <f t="shared" si="11"/>
        <v>0</v>
      </c>
      <c r="AK40" s="368" t="str">
        <f t="shared" si="12"/>
        <v>-</v>
      </c>
      <c r="AL40" s="375" t="str">
        <f t="shared" si="13"/>
        <v>-</v>
      </c>
      <c r="AM40" s="376" t="str">
        <f t="shared" si="14"/>
        <v>-</v>
      </c>
      <c r="AN40" s="394">
        <v>232546</v>
      </c>
      <c r="AO40" s="395" t="s">
        <v>280</v>
      </c>
      <c r="AP40" s="396">
        <f t="shared" si="22"/>
        <v>232546</v>
      </c>
      <c r="AQ40" s="397"/>
      <c r="AR40" s="401">
        <v>112350</v>
      </c>
      <c r="AS40" s="396">
        <f t="shared" si="23"/>
        <v>112350</v>
      </c>
      <c r="AT40" s="397"/>
      <c r="AU40" s="388">
        <f t="shared" si="15"/>
        <v>344896</v>
      </c>
      <c r="AV40" s="389">
        <f t="shared" si="16"/>
        <v>344896</v>
      </c>
      <c r="AW40" s="353" t="s">
        <v>78</v>
      </c>
      <c r="AX40" s="403"/>
      <c r="AY40" s="404"/>
    </row>
    <row r="41" spans="1:51" ht="15" customHeight="1">
      <c r="A41" s="1" t="str">
        <f t="shared" si="17"/>
        <v>TSX:HBM_2024_Legal</v>
      </c>
      <c r="B41" s="1" t="str">
        <f t="shared" si="0"/>
        <v>TSX:HBM_2024_NEO2</v>
      </c>
      <c r="C41" s="114" t="str">
        <f t="shared" si="24"/>
        <v>TSX:HBM</v>
      </c>
      <c r="D41" s="133" t="str">
        <f>_xll.ciqfunctions.udf.CIQ(C41,"IQ_Company_Name")</f>
        <v>Hudbay Minerals Inc.</v>
      </c>
      <c r="E41" s="114">
        <f t="shared" si="27"/>
        <v>2024</v>
      </c>
      <c r="F41" s="114" t="str">
        <f t="shared" si="29"/>
        <v>2024-01-01</v>
      </c>
      <c r="G41" s="330" t="str">
        <f t="shared" si="30"/>
        <v>2024-12-31</v>
      </c>
      <c r="H41" s="114">
        <f t="shared" si="18"/>
        <v>12</v>
      </c>
      <c r="I41" s="407" t="str">
        <f t="shared" si="26"/>
        <v>CAD</v>
      </c>
      <c r="J41" s="461">
        <f t="shared" si="19"/>
        <v>1</v>
      </c>
      <c r="K41" s="468" t="s">
        <v>468</v>
      </c>
      <c r="L41" s="464" t="s">
        <v>108</v>
      </c>
      <c r="M41" s="217" t="s">
        <v>281</v>
      </c>
      <c r="N41" s="218" t="s">
        <v>282</v>
      </c>
      <c r="O41" s="219">
        <v>501659</v>
      </c>
      <c r="P41" s="125">
        <f t="shared" si="3"/>
        <v>501659</v>
      </c>
      <c r="Q41" s="311"/>
      <c r="R41" s="126" t="str">
        <f t="shared" si="4"/>
        <v>-</v>
      </c>
      <c r="S41" s="221">
        <v>479256</v>
      </c>
      <c r="T41" s="125">
        <f t="shared" si="5"/>
        <v>479256</v>
      </c>
      <c r="U41" s="127">
        <f t="shared" si="6"/>
        <v>0.95534217466446336</v>
      </c>
      <c r="V41" s="128">
        <f>IFERROR(AVERAGE(U41:U43),"N/A")</f>
        <v>0.95534217466446336</v>
      </c>
      <c r="W41" s="223">
        <v>0.75</v>
      </c>
      <c r="X41" s="129">
        <f t="shared" si="7"/>
        <v>376244.25</v>
      </c>
      <c r="Y41" s="124">
        <f t="shared" si="8"/>
        <v>980915</v>
      </c>
      <c r="Z41" s="130">
        <f t="shared" si="9"/>
        <v>877903.25</v>
      </c>
      <c r="AA41" s="221"/>
      <c r="AB41" s="225">
        <v>547929</v>
      </c>
      <c r="AC41" s="225">
        <v>182643</v>
      </c>
      <c r="AD41" s="225" t="s">
        <v>78</v>
      </c>
      <c r="AE41" s="225" t="s">
        <v>78</v>
      </c>
      <c r="AF41" s="125">
        <f t="shared" si="10"/>
        <v>730572</v>
      </c>
      <c r="AG41" s="127">
        <f t="shared" si="21"/>
        <v>1.4563119569269165</v>
      </c>
      <c r="AH41" s="128">
        <f>IFERROR(AVERAGE(AG41:AG43),"N/A")</f>
        <v>1.4563119569269165</v>
      </c>
      <c r="AI41" s="223">
        <v>1.5</v>
      </c>
      <c r="AJ41" s="131">
        <f t="shared" si="11"/>
        <v>752488.5</v>
      </c>
      <c r="AK41" s="368">
        <f t="shared" si="12"/>
        <v>730572</v>
      </c>
      <c r="AL41" s="375">
        <f t="shared" si="13"/>
        <v>1711487</v>
      </c>
      <c r="AM41" s="376">
        <f t="shared" si="14"/>
        <v>1630391.75</v>
      </c>
      <c r="AN41" s="394">
        <v>122673</v>
      </c>
      <c r="AO41" s="395" t="s">
        <v>283</v>
      </c>
      <c r="AP41" s="396">
        <f t="shared" si="22"/>
        <v>122673</v>
      </c>
      <c r="AQ41" s="397">
        <f>IFERROR(AVERAGE(AP41:AP43),"N/A")</f>
        <v>97104</v>
      </c>
      <c r="AR41" s="401">
        <v>84863</v>
      </c>
      <c r="AS41" s="396">
        <f t="shared" si="23"/>
        <v>84863</v>
      </c>
      <c r="AT41" s="397">
        <f>IFERROR(AVERAGE(AS41:AS43),"N/A")</f>
        <v>89528.333333333328</v>
      </c>
      <c r="AU41" s="388">
        <f t="shared" si="15"/>
        <v>1919023</v>
      </c>
      <c r="AV41" s="389">
        <f t="shared" si="16"/>
        <v>1837927.75</v>
      </c>
      <c r="AW41" s="353" t="s">
        <v>78</v>
      </c>
      <c r="AX41" s="403" t="s">
        <v>358</v>
      </c>
      <c r="AY41" s="404"/>
    </row>
    <row r="42" spans="1:51" ht="15" customHeight="1">
      <c r="A42" s="1" t="str">
        <f t="shared" si="17"/>
        <v>TSX:HBM_2023_Legal</v>
      </c>
      <c r="B42" s="1" t="str">
        <f t="shared" si="0"/>
        <v>TSX:HBM_2023_NEO2</v>
      </c>
      <c r="C42" s="114" t="str">
        <f t="shared" si="24"/>
        <v>TSX:HBM</v>
      </c>
      <c r="D42" s="133" t="str">
        <f>_xll.ciqfunctions.udf.CIQ(C42,"IQ_Company_Name")</f>
        <v>Hudbay Minerals Inc.</v>
      </c>
      <c r="E42" s="114">
        <f t="shared" si="27"/>
        <v>2023</v>
      </c>
      <c r="F42" s="114" t="str">
        <f t="shared" si="29"/>
        <v>2023-01-01</v>
      </c>
      <c r="G42" s="330" t="str">
        <f t="shared" si="30"/>
        <v>2023-12-31</v>
      </c>
      <c r="H42" s="114">
        <f t="shared" si="18"/>
        <v>12</v>
      </c>
      <c r="I42" s="407" t="str">
        <f t="shared" si="26"/>
        <v>CAD</v>
      </c>
      <c r="J42" s="461">
        <f t="shared" si="19"/>
        <v>1</v>
      </c>
      <c r="K42" s="468" t="s">
        <v>468</v>
      </c>
      <c r="L42" s="465" t="str">
        <f t="shared" ref="L42:N43" si="31">L41</f>
        <v>NEO2</v>
      </c>
      <c r="M42" s="123" t="str">
        <f t="shared" si="31"/>
        <v>SVP, Legal and Organizational Effectiveness</v>
      </c>
      <c r="N42" s="132" t="str">
        <f t="shared" si="31"/>
        <v>Patrick Donnelly</v>
      </c>
      <c r="O42" s="219"/>
      <c r="P42" s="125">
        <f t="shared" si="3"/>
        <v>0</v>
      </c>
      <c r="Q42" s="311"/>
      <c r="R42" s="126" t="str">
        <f t="shared" si="4"/>
        <v>-</v>
      </c>
      <c r="S42" s="221"/>
      <c r="T42" s="125">
        <f t="shared" si="5"/>
        <v>0</v>
      </c>
      <c r="U42" s="127" t="str">
        <f t="shared" si="6"/>
        <v>-</v>
      </c>
      <c r="V42" s="128"/>
      <c r="W42" s="223"/>
      <c r="X42" s="129">
        <f t="shared" si="7"/>
        <v>0</v>
      </c>
      <c r="Y42" s="124" t="str">
        <f t="shared" si="8"/>
        <v>-</v>
      </c>
      <c r="Z42" s="130" t="str">
        <f t="shared" si="9"/>
        <v>-</v>
      </c>
      <c r="AA42" s="221"/>
      <c r="AB42" s="225"/>
      <c r="AC42" s="225"/>
      <c r="AD42" s="225" t="s">
        <v>78</v>
      </c>
      <c r="AE42" s="225" t="s">
        <v>78</v>
      </c>
      <c r="AF42" s="125" t="str">
        <f t="shared" si="10"/>
        <v>-</v>
      </c>
      <c r="AG42" s="127" t="str">
        <f t="shared" si="21"/>
        <v>-</v>
      </c>
      <c r="AH42" s="128"/>
      <c r="AI42" s="223"/>
      <c r="AJ42" s="131">
        <f t="shared" si="11"/>
        <v>0</v>
      </c>
      <c r="AK42" s="368" t="str">
        <f t="shared" si="12"/>
        <v>-</v>
      </c>
      <c r="AL42" s="375" t="str">
        <f t="shared" si="13"/>
        <v>-</v>
      </c>
      <c r="AM42" s="376" t="str">
        <f t="shared" si="14"/>
        <v>-</v>
      </c>
      <c r="AN42" s="394">
        <v>54180</v>
      </c>
      <c r="AO42" s="395" t="s">
        <v>283</v>
      </c>
      <c r="AP42" s="396">
        <f t="shared" si="22"/>
        <v>54180</v>
      </c>
      <c r="AQ42" s="397"/>
      <c r="AR42" s="401">
        <v>104737</v>
      </c>
      <c r="AS42" s="396">
        <f t="shared" si="23"/>
        <v>104737</v>
      </c>
      <c r="AT42" s="397"/>
      <c r="AU42" s="388">
        <f t="shared" si="15"/>
        <v>158917</v>
      </c>
      <c r="AV42" s="389">
        <f t="shared" si="16"/>
        <v>158917</v>
      </c>
      <c r="AW42" s="353" t="s">
        <v>78</v>
      </c>
      <c r="AX42" s="403"/>
      <c r="AY42" s="404"/>
    </row>
    <row r="43" spans="1:51" ht="15" customHeight="1">
      <c r="A43" s="1" t="str">
        <f t="shared" si="17"/>
        <v>TSX:HBM_2022_Legal</v>
      </c>
      <c r="B43" s="1" t="str">
        <f t="shared" si="0"/>
        <v>TSX:HBM_2022_NEO2</v>
      </c>
      <c r="C43" s="114" t="str">
        <f t="shared" si="24"/>
        <v>TSX:HBM</v>
      </c>
      <c r="D43" s="133" t="str">
        <f>_xll.ciqfunctions.udf.CIQ(C43,"IQ_Company_Name")</f>
        <v>Hudbay Minerals Inc.</v>
      </c>
      <c r="E43" s="114">
        <f t="shared" si="27"/>
        <v>2022</v>
      </c>
      <c r="F43" s="114" t="str">
        <f t="shared" si="29"/>
        <v>2022-01-01</v>
      </c>
      <c r="G43" s="330" t="str">
        <f t="shared" si="30"/>
        <v>2022-12-31</v>
      </c>
      <c r="H43" s="114">
        <f t="shared" si="18"/>
        <v>12</v>
      </c>
      <c r="I43" s="407" t="str">
        <f t="shared" si="26"/>
        <v>CAD</v>
      </c>
      <c r="J43" s="461">
        <f t="shared" si="19"/>
        <v>1</v>
      </c>
      <c r="K43" s="468" t="s">
        <v>468</v>
      </c>
      <c r="L43" s="465" t="str">
        <f t="shared" si="31"/>
        <v>NEO2</v>
      </c>
      <c r="M43" s="123" t="str">
        <f t="shared" si="31"/>
        <v>SVP, Legal and Organizational Effectiveness</v>
      </c>
      <c r="N43" s="132" t="str">
        <f t="shared" si="31"/>
        <v>Patrick Donnelly</v>
      </c>
      <c r="O43" s="219"/>
      <c r="P43" s="125">
        <f t="shared" si="3"/>
        <v>0</v>
      </c>
      <c r="Q43" s="311"/>
      <c r="R43" s="126" t="str">
        <f t="shared" si="4"/>
        <v>-</v>
      </c>
      <c r="S43" s="221"/>
      <c r="T43" s="125">
        <f t="shared" si="5"/>
        <v>0</v>
      </c>
      <c r="U43" s="127" t="str">
        <f t="shared" si="6"/>
        <v>-</v>
      </c>
      <c r="V43" s="128"/>
      <c r="W43" s="223"/>
      <c r="X43" s="129">
        <f t="shared" si="7"/>
        <v>0</v>
      </c>
      <c r="Y43" s="124" t="str">
        <f t="shared" si="8"/>
        <v>-</v>
      </c>
      <c r="Z43" s="130" t="str">
        <f t="shared" si="9"/>
        <v>-</v>
      </c>
      <c r="AA43" s="221"/>
      <c r="AB43" s="225"/>
      <c r="AC43" s="225"/>
      <c r="AD43" s="225" t="s">
        <v>78</v>
      </c>
      <c r="AE43" s="225" t="s">
        <v>78</v>
      </c>
      <c r="AF43" s="125" t="str">
        <f t="shared" si="10"/>
        <v>-</v>
      </c>
      <c r="AG43" s="127" t="str">
        <f t="shared" si="21"/>
        <v>-</v>
      </c>
      <c r="AH43" s="128"/>
      <c r="AI43" s="223"/>
      <c r="AJ43" s="131">
        <f t="shared" si="11"/>
        <v>0</v>
      </c>
      <c r="AK43" s="368" t="str">
        <f t="shared" si="12"/>
        <v>-</v>
      </c>
      <c r="AL43" s="375" t="str">
        <f t="shared" si="13"/>
        <v>-</v>
      </c>
      <c r="AM43" s="376" t="str">
        <f t="shared" si="14"/>
        <v>-</v>
      </c>
      <c r="AN43" s="394">
        <v>114459</v>
      </c>
      <c r="AO43" s="395" t="s">
        <v>283</v>
      </c>
      <c r="AP43" s="396">
        <f t="shared" si="22"/>
        <v>114459</v>
      </c>
      <c r="AQ43" s="397"/>
      <c r="AR43" s="401">
        <v>78985</v>
      </c>
      <c r="AS43" s="396">
        <f t="shared" si="23"/>
        <v>78985</v>
      </c>
      <c r="AT43" s="397"/>
      <c r="AU43" s="388">
        <f t="shared" si="15"/>
        <v>193444</v>
      </c>
      <c r="AV43" s="389">
        <f t="shared" si="16"/>
        <v>193444</v>
      </c>
      <c r="AW43" s="353" t="s">
        <v>78</v>
      </c>
      <c r="AX43" s="403"/>
      <c r="AY43" s="404"/>
    </row>
    <row r="44" spans="1:51" ht="15" customHeight="1">
      <c r="A44" s="1" t="str">
        <f t="shared" si="17"/>
        <v>TSX:HBM_2024_Region2</v>
      </c>
      <c r="B44" s="1" t="str">
        <f t="shared" si="0"/>
        <v>TSX:HBM_2024_NEO3</v>
      </c>
      <c r="C44" s="114" t="str">
        <f>C40</f>
        <v>TSX:HBM</v>
      </c>
      <c r="D44" s="133" t="str">
        <f>_xll.ciqfunctions.udf.CIQ(C44,"IQ_Company_Name")</f>
        <v>Hudbay Minerals Inc.</v>
      </c>
      <c r="E44" s="114">
        <f>E38</f>
        <v>2024</v>
      </c>
      <c r="F44" s="114" t="str">
        <f t="shared" ref="F44:F49" si="32">E44&amp;"-01-01"</f>
        <v>2024-01-01</v>
      </c>
      <c r="G44" s="330" t="str">
        <f t="shared" ref="G44:G49" si="33">E44&amp;"-12-31"</f>
        <v>2024-12-31</v>
      </c>
      <c r="H44" s="114">
        <f t="shared" ref="H44:H49" si="34">_xlfn.DAYS(G44,F44)/_xlfn.DAYS(E44&amp;"-12-31",E44&amp;"-01-01")*12</f>
        <v>12</v>
      </c>
      <c r="I44" s="407" t="s">
        <v>297</v>
      </c>
      <c r="J44" s="461">
        <f t="shared" si="19"/>
        <v>1.3701700000000001</v>
      </c>
      <c r="K44" s="468" t="s">
        <v>763</v>
      </c>
      <c r="L44" s="464" t="s">
        <v>109</v>
      </c>
      <c r="M44" s="217" t="s">
        <v>284</v>
      </c>
      <c r="N44" s="218" t="s">
        <v>285</v>
      </c>
      <c r="O44" s="219">
        <v>442834</v>
      </c>
      <c r="P44" s="125">
        <f t="shared" ref="P44:P50" si="35">IFERROR(O44*(12/$H44)*$J44,"-")</f>
        <v>606757.86178000004</v>
      </c>
      <c r="Q44" s="311"/>
      <c r="R44" s="126" t="str">
        <f t="shared" ref="R44:R49" si="36">IFERROR(IF((Q44*$L44)=0,"-",(Q44*$L44)),"-")</f>
        <v>-</v>
      </c>
      <c r="S44" s="221">
        <v>445010</v>
      </c>
      <c r="T44" s="125">
        <f t="shared" ref="T44:T49" si="37">IFERROR(S44*(12/$H44)*$J44,"-")</f>
        <v>609739.3517</v>
      </c>
      <c r="U44" s="127">
        <f t="shared" si="6"/>
        <v>1.0049138051730444</v>
      </c>
      <c r="V44" s="128">
        <f>IFERROR(AVERAGE(U44:U46),"N/A")</f>
        <v>1.0049138051730444</v>
      </c>
      <c r="W44" s="223">
        <v>0.6</v>
      </c>
      <c r="X44" s="129">
        <f t="shared" si="7"/>
        <v>364054.717068</v>
      </c>
      <c r="Y44" s="124">
        <f t="shared" ref="Y44:Y49" si="38">IFERROR(IF(SUM(P44,T44)=0,"-",SUM(P44,T44)),"-")</f>
        <v>1216497.2134799999</v>
      </c>
      <c r="Z44" s="130">
        <f t="shared" ref="Z44:Z49" si="39">IFERROR(IF(SUM(P44,X44)=0,"-",SUM(P44,X44)),"-")</f>
        <v>970812.57884800003</v>
      </c>
      <c r="AA44" s="221"/>
      <c r="AB44" s="225">
        <v>479373</v>
      </c>
      <c r="AC44" s="225">
        <v>159791</v>
      </c>
      <c r="AD44" s="225" t="s">
        <v>78</v>
      </c>
      <c r="AE44" s="225" t="s">
        <v>78</v>
      </c>
      <c r="AF44" s="125">
        <f t="shared" si="10"/>
        <v>639164</v>
      </c>
      <c r="AG44" s="127">
        <f t="shared" si="21"/>
        <v>1.4433489750109523</v>
      </c>
      <c r="AH44" s="128">
        <f>IFERROR(AVERAGE(AG44:AG46),"N/A")</f>
        <v>1.4433489750109523</v>
      </c>
      <c r="AI44" s="223">
        <v>1.2</v>
      </c>
      <c r="AJ44" s="131">
        <f t="shared" si="11"/>
        <v>728109.434136</v>
      </c>
      <c r="AK44" s="368">
        <f t="shared" si="12"/>
        <v>875763.33788000012</v>
      </c>
      <c r="AL44" s="375">
        <f t="shared" si="13"/>
        <v>2092260.5513599999</v>
      </c>
      <c r="AM44" s="376">
        <f t="shared" si="14"/>
        <v>1698922.0129840001</v>
      </c>
      <c r="AN44" s="394">
        <v>13455</v>
      </c>
      <c r="AO44" s="395" t="s">
        <v>283</v>
      </c>
      <c r="AP44" s="396">
        <f t="shared" si="22"/>
        <v>18435.637350000001</v>
      </c>
      <c r="AQ44" s="397">
        <f>IFERROR(AVERAGE(AP44:AP46),"N/A")</f>
        <v>17902.108574999998</v>
      </c>
      <c r="AR44" s="401">
        <f>(523315-421713)</f>
        <v>101602</v>
      </c>
      <c r="AS44" s="424">
        <f>AR44</f>
        <v>101602</v>
      </c>
      <c r="AT44" s="397">
        <f>IFERROR(AVERAGE(AS44:AS46),"N/A")</f>
        <v>122729</v>
      </c>
      <c r="AU44" s="388">
        <f t="shared" ref="AU44:AU49" si="40">IFERROR(IF(SUM(AL44,AP44,AS44)=0,"-",SUM(AL44,AP44,AS44)),"-")</f>
        <v>2212298.1887099999</v>
      </c>
      <c r="AV44" s="389">
        <f t="shared" ref="AV44:AV49" si="41">IFERROR(IF(SUM(AM44,AP44,AS44)=0,"-",SUM(AM44,AP44,AS44)),"-")</f>
        <v>1818959.6503340001</v>
      </c>
      <c r="AW44" s="447" t="s">
        <v>820</v>
      </c>
      <c r="AX44" s="403" t="s">
        <v>358</v>
      </c>
      <c r="AY44" s="404"/>
    </row>
    <row r="45" spans="1:51" ht="15" customHeight="1">
      <c r="A45" s="1" t="str">
        <f t="shared" si="17"/>
        <v>TSX:HBM_2023_Region2</v>
      </c>
      <c r="B45" s="1" t="str">
        <f t="shared" si="0"/>
        <v>TSX:HBM_2023_NEO3</v>
      </c>
      <c r="C45" s="114" t="str">
        <f t="shared" si="24"/>
        <v>TSX:HBM</v>
      </c>
      <c r="D45" s="133" t="str">
        <f>_xll.ciqfunctions.udf.CIQ(C45,"IQ_Company_Name")</f>
        <v>Hudbay Minerals Inc.</v>
      </c>
      <c r="E45" s="114">
        <f>E39</f>
        <v>2023</v>
      </c>
      <c r="F45" s="114" t="str">
        <f t="shared" si="32"/>
        <v>2023-01-01</v>
      </c>
      <c r="G45" s="330" t="str">
        <f t="shared" si="33"/>
        <v>2023-12-31</v>
      </c>
      <c r="H45" s="114">
        <f t="shared" si="34"/>
        <v>12</v>
      </c>
      <c r="I45" s="407" t="s">
        <v>297</v>
      </c>
      <c r="J45" s="461">
        <f t="shared" si="19"/>
        <v>1.34954</v>
      </c>
      <c r="K45" s="468" t="s">
        <v>763</v>
      </c>
      <c r="L45" s="465" t="str">
        <f t="shared" ref="L45:N46" si="42">L44</f>
        <v>NEO3</v>
      </c>
      <c r="M45" s="123" t="str">
        <f t="shared" si="42"/>
        <v>SVP, US Business Unit</v>
      </c>
      <c r="N45" s="132" t="str">
        <f t="shared" si="42"/>
        <v>Javier Del Rio</v>
      </c>
      <c r="O45" s="219"/>
      <c r="P45" s="125">
        <f t="shared" si="35"/>
        <v>0</v>
      </c>
      <c r="Q45" s="311"/>
      <c r="R45" s="126" t="str">
        <f t="shared" si="36"/>
        <v>-</v>
      </c>
      <c r="S45" s="221"/>
      <c r="T45" s="125">
        <f t="shared" si="37"/>
        <v>0</v>
      </c>
      <c r="U45" s="127" t="str">
        <f t="shared" si="6"/>
        <v>-</v>
      </c>
      <c r="V45" s="128"/>
      <c r="W45" s="223"/>
      <c r="X45" s="129">
        <f t="shared" si="7"/>
        <v>0</v>
      </c>
      <c r="Y45" s="124" t="str">
        <f t="shared" si="38"/>
        <v>-</v>
      </c>
      <c r="Z45" s="130" t="str">
        <f t="shared" si="39"/>
        <v>-</v>
      </c>
      <c r="AA45" s="221"/>
      <c r="AB45" s="225"/>
      <c r="AC45" s="225"/>
      <c r="AD45" s="225" t="s">
        <v>78</v>
      </c>
      <c r="AE45" s="225" t="s">
        <v>78</v>
      </c>
      <c r="AF45" s="125" t="str">
        <f t="shared" si="10"/>
        <v>-</v>
      </c>
      <c r="AG45" s="127" t="str">
        <f t="shared" si="21"/>
        <v>-</v>
      </c>
      <c r="AH45" s="128"/>
      <c r="AI45" s="223"/>
      <c r="AJ45" s="131">
        <f t="shared" si="11"/>
        <v>0</v>
      </c>
      <c r="AK45" s="368" t="str">
        <f t="shared" si="12"/>
        <v>-</v>
      </c>
      <c r="AL45" s="375" t="str">
        <f t="shared" si="13"/>
        <v>-</v>
      </c>
      <c r="AM45" s="376" t="str">
        <f t="shared" si="14"/>
        <v>-</v>
      </c>
      <c r="AN45" s="394">
        <v>12870</v>
      </c>
      <c r="AO45" s="395" t="s">
        <v>283</v>
      </c>
      <c r="AP45" s="396">
        <f t="shared" si="22"/>
        <v>17368.5798</v>
      </c>
      <c r="AQ45" s="397"/>
      <c r="AR45" s="401">
        <v>144308</v>
      </c>
      <c r="AS45" s="424">
        <f>AR45</f>
        <v>144308</v>
      </c>
      <c r="AT45" s="397"/>
      <c r="AU45" s="388">
        <f t="shared" si="40"/>
        <v>161676.57980000001</v>
      </c>
      <c r="AV45" s="389">
        <f t="shared" si="41"/>
        <v>161676.57980000001</v>
      </c>
      <c r="AW45" s="353" t="s">
        <v>78</v>
      </c>
      <c r="AX45" s="403"/>
      <c r="AY45" s="404"/>
    </row>
    <row r="46" spans="1:51" ht="15" customHeight="1">
      <c r="A46" s="1" t="str">
        <f t="shared" si="17"/>
        <v>TSX:HBM_2022_Region2</v>
      </c>
      <c r="B46" s="1" t="str">
        <f t="shared" si="0"/>
        <v>TSX:HBM_2022_NEO3</v>
      </c>
      <c r="C46" s="114" t="str">
        <f t="shared" si="24"/>
        <v>TSX:HBM</v>
      </c>
      <c r="D46" s="133" t="str">
        <f>_xll.ciqfunctions.udf.CIQ(C46,"IQ_Company_Name")</f>
        <v>Hudbay Minerals Inc.</v>
      </c>
      <c r="E46" s="114">
        <f>E40</f>
        <v>2022</v>
      </c>
      <c r="F46" s="114" t="str">
        <f t="shared" si="32"/>
        <v>2022-01-01</v>
      </c>
      <c r="G46" s="330" t="str">
        <f t="shared" si="33"/>
        <v>2022-12-31</v>
      </c>
      <c r="H46" s="114">
        <f t="shared" si="34"/>
        <v>12</v>
      </c>
      <c r="I46" s="407" t="s">
        <v>297</v>
      </c>
      <c r="J46" s="461">
        <f t="shared" si="19"/>
        <v>1.30175</v>
      </c>
      <c r="K46" s="468" t="s">
        <v>763</v>
      </c>
      <c r="L46" s="122" t="str">
        <f t="shared" si="42"/>
        <v>NEO3</v>
      </c>
      <c r="M46" s="123" t="str">
        <f t="shared" si="42"/>
        <v>SVP, US Business Unit</v>
      </c>
      <c r="N46" s="132" t="str">
        <f t="shared" si="42"/>
        <v>Javier Del Rio</v>
      </c>
      <c r="O46" s="219"/>
      <c r="P46" s="125">
        <f t="shared" si="35"/>
        <v>0</v>
      </c>
      <c r="Q46" s="311"/>
      <c r="R46" s="126" t="str">
        <f t="shared" si="36"/>
        <v>-</v>
      </c>
      <c r="S46" s="221"/>
      <c r="T46" s="125">
        <f t="shared" si="37"/>
        <v>0</v>
      </c>
      <c r="U46" s="127"/>
      <c r="V46" s="128"/>
      <c r="W46" s="223"/>
      <c r="X46" s="129">
        <f t="shared" si="7"/>
        <v>0</v>
      </c>
      <c r="Y46" s="124" t="str">
        <f t="shared" si="38"/>
        <v>-</v>
      </c>
      <c r="Z46" s="130" t="str">
        <f t="shared" si="39"/>
        <v>-</v>
      </c>
      <c r="AA46" s="221"/>
      <c r="AB46" s="225"/>
      <c r="AC46" s="225"/>
      <c r="AD46" s="225" t="s">
        <v>78</v>
      </c>
      <c r="AE46" s="225" t="s">
        <v>78</v>
      </c>
      <c r="AF46" s="125" t="str">
        <f t="shared" si="10"/>
        <v>-</v>
      </c>
      <c r="AG46" s="127" t="str">
        <f t="shared" si="21"/>
        <v>-</v>
      </c>
      <c r="AH46" s="128"/>
      <c r="AI46" s="223"/>
      <c r="AJ46" s="131"/>
      <c r="AK46" s="368"/>
      <c r="AL46" s="375" t="str">
        <f t="shared" si="13"/>
        <v>-</v>
      </c>
      <c r="AM46" s="376" t="str">
        <f t="shared" si="14"/>
        <v>-</v>
      </c>
      <c r="AN46" s="394" t="s">
        <v>78</v>
      </c>
      <c r="AO46" s="395" t="s">
        <v>78</v>
      </c>
      <c r="AP46" s="396" t="str">
        <f t="shared" si="22"/>
        <v>-</v>
      </c>
      <c r="AQ46" s="397"/>
      <c r="AR46" s="401">
        <f>(579031-456754)</f>
        <v>122277</v>
      </c>
      <c r="AS46" s="424">
        <f>AR46</f>
        <v>122277</v>
      </c>
      <c r="AT46" s="397"/>
      <c r="AU46" s="388">
        <f t="shared" si="40"/>
        <v>122277</v>
      </c>
      <c r="AV46" s="389">
        <f t="shared" si="41"/>
        <v>122277</v>
      </c>
      <c r="AW46" s="447" t="s">
        <v>821</v>
      </c>
      <c r="AX46" s="403"/>
      <c r="AY46" s="404"/>
    </row>
    <row r="47" spans="1:51" ht="15" customHeight="1">
      <c r="A47" s="1" t="str">
        <f t="shared" si="17"/>
        <v>TSX:HBM_2024_Tech</v>
      </c>
      <c r="B47" s="1" t="str">
        <f t="shared" si="0"/>
        <v>TSX:HBM_2024_NEO4</v>
      </c>
      <c r="C47" s="114" t="str">
        <f>C40</f>
        <v>TSX:HBM</v>
      </c>
      <c r="D47" s="133" t="str">
        <f>_xll.ciqfunctions.udf.CIQ(C47,"IQ_Company_Name")</f>
        <v>Hudbay Minerals Inc.</v>
      </c>
      <c r="E47" s="114">
        <f t="shared" ref="E47:E52" si="43">E38</f>
        <v>2024</v>
      </c>
      <c r="F47" s="114" t="str">
        <f t="shared" si="32"/>
        <v>2024-01-01</v>
      </c>
      <c r="G47" s="330" t="str">
        <f t="shared" si="33"/>
        <v>2024-12-31</v>
      </c>
      <c r="H47" s="114">
        <f t="shared" si="34"/>
        <v>12</v>
      </c>
      <c r="I47" s="407" t="str">
        <f>I40</f>
        <v>CAD</v>
      </c>
      <c r="J47" s="461">
        <f t="shared" si="19"/>
        <v>1</v>
      </c>
      <c r="K47" s="468" t="s">
        <v>469</v>
      </c>
      <c r="L47" s="464" t="s">
        <v>449</v>
      </c>
      <c r="M47" s="217" t="s">
        <v>472</v>
      </c>
      <c r="N47" s="218" t="s">
        <v>471</v>
      </c>
      <c r="O47" s="219">
        <v>465850</v>
      </c>
      <c r="P47" s="125">
        <f t="shared" si="35"/>
        <v>465850</v>
      </c>
      <c r="Q47" s="311"/>
      <c r="R47" s="126" t="str">
        <f t="shared" si="36"/>
        <v>-</v>
      </c>
      <c r="S47" s="221"/>
      <c r="T47" s="125">
        <f t="shared" si="37"/>
        <v>0</v>
      </c>
      <c r="U47" s="127">
        <f t="shared" si="6"/>
        <v>0</v>
      </c>
      <c r="V47" s="128">
        <f>IFERROR(AVERAGE(U47:U49),"N/A")</f>
        <v>0</v>
      </c>
      <c r="W47" s="223">
        <v>0.6</v>
      </c>
      <c r="X47" s="129">
        <f t="shared" si="7"/>
        <v>279510</v>
      </c>
      <c r="Y47" s="124">
        <f t="shared" si="38"/>
        <v>465850</v>
      </c>
      <c r="Z47" s="130">
        <f t="shared" si="39"/>
        <v>745360</v>
      </c>
      <c r="AA47" s="221"/>
      <c r="AB47" s="225"/>
      <c r="AC47" s="225"/>
      <c r="AD47" s="225" t="s">
        <v>78</v>
      </c>
      <c r="AE47" s="225" t="s">
        <v>78</v>
      </c>
      <c r="AF47" s="125" t="str">
        <f t="shared" si="10"/>
        <v>-</v>
      </c>
      <c r="AG47" s="127" t="str">
        <f t="shared" si="21"/>
        <v>-</v>
      </c>
      <c r="AH47" s="128" t="str">
        <f>IFERROR(AVERAGE(AG47:AG49),"N/A")</f>
        <v>N/A</v>
      </c>
      <c r="AI47" s="223">
        <v>1.2</v>
      </c>
      <c r="AJ47" s="131">
        <f t="shared" si="11"/>
        <v>559020</v>
      </c>
      <c r="AK47" s="368" t="str">
        <f t="shared" si="12"/>
        <v>-</v>
      </c>
      <c r="AL47" s="375">
        <f t="shared" si="13"/>
        <v>465850</v>
      </c>
      <c r="AM47" s="376">
        <f t="shared" si="14"/>
        <v>1304380</v>
      </c>
      <c r="AN47" s="394"/>
      <c r="AO47" s="395"/>
      <c r="AP47" s="396">
        <f t="shared" si="22"/>
        <v>0</v>
      </c>
      <c r="AQ47" s="397">
        <f>IFERROR(AVERAGE(AP47:AP49),"N/A")</f>
        <v>0</v>
      </c>
      <c r="AR47" s="401"/>
      <c r="AS47" s="396">
        <f t="shared" si="23"/>
        <v>0</v>
      </c>
      <c r="AT47" s="397">
        <f>IFERROR(AVERAGE(AS47:AS49),"N/A")</f>
        <v>0</v>
      </c>
      <c r="AU47" s="388">
        <f t="shared" si="40"/>
        <v>465850</v>
      </c>
      <c r="AV47" s="389">
        <f t="shared" si="41"/>
        <v>1304380</v>
      </c>
      <c r="AW47" s="353"/>
      <c r="AX47" s="403" t="s">
        <v>358</v>
      </c>
      <c r="AY47" s="404"/>
    </row>
    <row r="48" spans="1:51" ht="15" customHeight="1">
      <c r="A48" s="1" t="str">
        <f t="shared" si="17"/>
        <v>TSX:HBM_2023_Tech</v>
      </c>
      <c r="B48" s="1" t="str">
        <f t="shared" si="0"/>
        <v>TSX:HBM_2023_NEO4</v>
      </c>
      <c r="C48" s="114" t="str">
        <f t="shared" si="24"/>
        <v>TSX:HBM</v>
      </c>
      <c r="D48" s="133" t="str">
        <f>_xll.ciqfunctions.udf.CIQ(C48,"IQ_Company_Name")</f>
        <v>Hudbay Minerals Inc.</v>
      </c>
      <c r="E48" s="114">
        <f t="shared" si="43"/>
        <v>2023</v>
      </c>
      <c r="F48" s="114" t="str">
        <f t="shared" si="32"/>
        <v>2023-01-01</v>
      </c>
      <c r="G48" s="330" t="str">
        <f t="shared" si="33"/>
        <v>2023-12-31</v>
      </c>
      <c r="H48" s="114">
        <f t="shared" si="34"/>
        <v>12</v>
      </c>
      <c r="I48" s="407" t="str">
        <f t="shared" si="26"/>
        <v>CAD</v>
      </c>
      <c r="J48" s="461">
        <f t="shared" si="19"/>
        <v>1</v>
      </c>
      <c r="K48" s="468" t="s">
        <v>469</v>
      </c>
      <c r="L48" s="465" t="str">
        <f t="shared" ref="L48:N49" si="44">L47</f>
        <v>NEO4</v>
      </c>
      <c r="M48" s="123" t="str">
        <f t="shared" si="44"/>
        <v>SVP, Exploration and Technical Services</v>
      </c>
      <c r="N48" s="132" t="str">
        <f t="shared" si="44"/>
        <v>Olivier Tavchandjian</v>
      </c>
      <c r="O48" s="219"/>
      <c r="P48" s="125">
        <f t="shared" si="35"/>
        <v>0</v>
      </c>
      <c r="Q48" s="311"/>
      <c r="R48" s="126" t="str">
        <f t="shared" si="36"/>
        <v>-</v>
      </c>
      <c r="S48" s="221"/>
      <c r="T48" s="125">
        <f t="shared" si="37"/>
        <v>0</v>
      </c>
      <c r="U48" s="127" t="str">
        <f t="shared" si="6"/>
        <v>-</v>
      </c>
      <c r="V48" s="128"/>
      <c r="W48" s="223"/>
      <c r="X48" s="129">
        <f t="shared" si="7"/>
        <v>0</v>
      </c>
      <c r="Y48" s="124" t="str">
        <f t="shared" si="38"/>
        <v>-</v>
      </c>
      <c r="Z48" s="130" t="str">
        <f t="shared" si="39"/>
        <v>-</v>
      </c>
      <c r="AA48" s="221"/>
      <c r="AB48" s="225"/>
      <c r="AC48" s="225"/>
      <c r="AD48" s="225" t="s">
        <v>78</v>
      </c>
      <c r="AE48" s="225" t="s">
        <v>78</v>
      </c>
      <c r="AF48" s="125" t="str">
        <f t="shared" si="10"/>
        <v>-</v>
      </c>
      <c r="AG48" s="127" t="str">
        <f t="shared" si="21"/>
        <v>-</v>
      </c>
      <c r="AH48" s="128"/>
      <c r="AI48" s="223" t="s">
        <v>78</v>
      </c>
      <c r="AJ48" s="131">
        <f t="shared" si="11"/>
        <v>0</v>
      </c>
      <c r="AK48" s="368" t="str">
        <f t="shared" si="12"/>
        <v>-</v>
      </c>
      <c r="AL48" s="375" t="str">
        <f t="shared" si="13"/>
        <v>-</v>
      </c>
      <c r="AM48" s="376" t="str">
        <f t="shared" si="14"/>
        <v>-</v>
      </c>
      <c r="AN48" s="394"/>
      <c r="AO48" s="395"/>
      <c r="AP48" s="396">
        <f t="shared" si="22"/>
        <v>0</v>
      </c>
      <c r="AQ48" s="397"/>
      <c r="AR48" s="401"/>
      <c r="AS48" s="396">
        <f t="shared" si="23"/>
        <v>0</v>
      </c>
      <c r="AT48" s="397"/>
      <c r="AU48" s="388" t="str">
        <f t="shared" si="40"/>
        <v>-</v>
      </c>
      <c r="AV48" s="389" t="str">
        <f t="shared" si="41"/>
        <v>-</v>
      </c>
      <c r="AW48" s="353"/>
      <c r="AX48" s="403"/>
      <c r="AY48" s="404"/>
    </row>
    <row r="49" spans="1:51" ht="15" customHeight="1">
      <c r="A49" s="1" t="str">
        <f t="shared" si="17"/>
        <v>TSX:HBM_2022_Tech</v>
      </c>
      <c r="B49" s="1" t="str">
        <f t="shared" si="0"/>
        <v>TSX:HBM_2022_NEO4</v>
      </c>
      <c r="C49" s="114" t="str">
        <f t="shared" si="24"/>
        <v>TSX:HBM</v>
      </c>
      <c r="D49" s="133" t="str">
        <f>_xll.ciqfunctions.udf.CIQ(C49,"IQ_Company_Name")</f>
        <v>Hudbay Minerals Inc.</v>
      </c>
      <c r="E49" s="114">
        <f t="shared" si="43"/>
        <v>2022</v>
      </c>
      <c r="F49" s="114" t="str">
        <f t="shared" si="32"/>
        <v>2022-01-01</v>
      </c>
      <c r="G49" s="330" t="str">
        <f t="shared" si="33"/>
        <v>2022-12-31</v>
      </c>
      <c r="H49" s="114">
        <f t="shared" si="34"/>
        <v>12</v>
      </c>
      <c r="I49" s="407" t="str">
        <f t="shared" si="26"/>
        <v>CAD</v>
      </c>
      <c r="J49" s="461">
        <f t="shared" si="19"/>
        <v>1</v>
      </c>
      <c r="K49" s="468" t="s">
        <v>469</v>
      </c>
      <c r="L49" s="122" t="str">
        <f t="shared" si="44"/>
        <v>NEO4</v>
      </c>
      <c r="M49" s="123" t="str">
        <f t="shared" si="44"/>
        <v>SVP, Exploration and Technical Services</v>
      </c>
      <c r="N49" s="132" t="str">
        <f t="shared" si="44"/>
        <v>Olivier Tavchandjian</v>
      </c>
      <c r="O49" s="219"/>
      <c r="P49" s="125">
        <f t="shared" si="35"/>
        <v>0</v>
      </c>
      <c r="Q49" s="311"/>
      <c r="R49" s="126" t="str">
        <f t="shared" si="36"/>
        <v>-</v>
      </c>
      <c r="S49" s="221"/>
      <c r="T49" s="125">
        <f t="shared" si="37"/>
        <v>0</v>
      </c>
      <c r="U49" s="127" t="str">
        <f t="shared" si="6"/>
        <v>-</v>
      </c>
      <c r="V49" s="128"/>
      <c r="W49" s="223"/>
      <c r="X49" s="129">
        <f t="shared" si="7"/>
        <v>0</v>
      </c>
      <c r="Y49" s="124" t="str">
        <f t="shared" si="38"/>
        <v>-</v>
      </c>
      <c r="Z49" s="130" t="str">
        <f t="shared" si="39"/>
        <v>-</v>
      </c>
      <c r="AA49" s="221"/>
      <c r="AB49" s="225"/>
      <c r="AC49" s="225"/>
      <c r="AD49" s="225" t="s">
        <v>78</v>
      </c>
      <c r="AE49" s="225" t="s">
        <v>78</v>
      </c>
      <c r="AF49" s="125" t="str">
        <f t="shared" si="10"/>
        <v>-</v>
      </c>
      <c r="AG49" s="127" t="str">
        <f t="shared" si="21"/>
        <v>-</v>
      </c>
      <c r="AH49" s="128"/>
      <c r="AI49" s="223" t="s">
        <v>78</v>
      </c>
      <c r="AJ49" s="131">
        <f t="shared" si="11"/>
        <v>0</v>
      </c>
      <c r="AK49" s="368" t="str">
        <f t="shared" si="12"/>
        <v>-</v>
      </c>
      <c r="AL49" s="375" t="str">
        <f t="shared" si="13"/>
        <v>-</v>
      </c>
      <c r="AM49" s="376" t="str">
        <f t="shared" si="14"/>
        <v>-</v>
      </c>
      <c r="AN49" s="394"/>
      <c r="AO49" s="395"/>
      <c r="AP49" s="396">
        <f t="shared" si="22"/>
        <v>0</v>
      </c>
      <c r="AQ49" s="397"/>
      <c r="AR49" s="401"/>
      <c r="AS49" s="396">
        <f t="shared" si="23"/>
        <v>0</v>
      </c>
      <c r="AT49" s="397"/>
      <c r="AU49" s="388" t="str">
        <f t="shared" si="40"/>
        <v>-</v>
      </c>
      <c r="AV49" s="389" t="str">
        <f t="shared" si="41"/>
        <v>-</v>
      </c>
      <c r="AW49" s="353"/>
      <c r="AX49" s="403"/>
      <c r="AY49" s="404"/>
    </row>
    <row r="50" spans="1:51" ht="15" customHeight="1">
      <c r="A50" s="1" t="str">
        <f t="shared" si="17"/>
        <v>TSX:HBM_2024_Region</v>
      </c>
      <c r="B50" s="1" t="str">
        <f t="shared" si="0"/>
        <v>TSX:HBM_2024_NEO5</v>
      </c>
      <c r="C50" s="114" t="str">
        <f>C43</f>
        <v>TSX:HBM</v>
      </c>
      <c r="D50" s="133" t="str">
        <f>_xll.ciqfunctions.udf.CIQ(C50,"IQ_Company_Name")</f>
        <v>Hudbay Minerals Inc.</v>
      </c>
      <c r="E50" s="114">
        <f t="shared" si="43"/>
        <v>2024</v>
      </c>
      <c r="F50" s="114" t="str">
        <f t="shared" si="29"/>
        <v>2024-01-01</v>
      </c>
      <c r="G50" s="330" t="str">
        <f t="shared" si="30"/>
        <v>2024-12-31</v>
      </c>
      <c r="H50" s="114">
        <f t="shared" si="18"/>
        <v>12</v>
      </c>
      <c r="I50" s="407" t="str">
        <f>I43</f>
        <v>CAD</v>
      </c>
      <c r="J50" s="461">
        <f t="shared" si="19"/>
        <v>1</v>
      </c>
      <c r="K50" s="468" t="s">
        <v>475</v>
      </c>
      <c r="L50" s="351" t="s">
        <v>450</v>
      </c>
      <c r="M50" s="217" t="s">
        <v>474</v>
      </c>
      <c r="N50" s="218" t="s">
        <v>473</v>
      </c>
      <c r="O50" s="219">
        <v>453500</v>
      </c>
      <c r="P50" s="125">
        <f t="shared" si="35"/>
        <v>453500</v>
      </c>
      <c r="Q50" s="311"/>
      <c r="R50" s="126" t="str">
        <f t="shared" si="4"/>
        <v>-</v>
      </c>
      <c r="S50" s="221"/>
      <c r="T50" s="125">
        <f t="shared" si="5"/>
        <v>0</v>
      </c>
      <c r="U50" s="127">
        <f t="shared" si="6"/>
        <v>0</v>
      </c>
      <c r="V50" s="128">
        <f>IFERROR(AVERAGE(U50:U52),"N/A")</f>
        <v>0</v>
      </c>
      <c r="W50" s="223">
        <v>0.6</v>
      </c>
      <c r="X50" s="129">
        <f t="shared" si="7"/>
        <v>272100</v>
      </c>
      <c r="Y50" s="124">
        <f t="shared" si="8"/>
        <v>453500</v>
      </c>
      <c r="Z50" s="130">
        <f t="shared" si="9"/>
        <v>725600</v>
      </c>
      <c r="AA50" s="221"/>
      <c r="AB50" s="225"/>
      <c r="AC50" s="225"/>
      <c r="AD50" s="225" t="s">
        <v>78</v>
      </c>
      <c r="AE50" s="225" t="s">
        <v>78</v>
      </c>
      <c r="AF50" s="125" t="str">
        <f t="shared" si="10"/>
        <v>-</v>
      </c>
      <c r="AG50" s="127" t="str">
        <f t="shared" si="21"/>
        <v>-</v>
      </c>
      <c r="AH50" s="128" t="str">
        <f>IFERROR(AVERAGE(AG50:AG52),"N/A")</f>
        <v>N/A</v>
      </c>
      <c r="AI50" s="223">
        <v>1.2</v>
      </c>
      <c r="AJ50" s="131">
        <f t="shared" si="11"/>
        <v>544200</v>
      </c>
      <c r="AK50" s="368" t="str">
        <f t="shared" si="12"/>
        <v>-</v>
      </c>
      <c r="AL50" s="375">
        <f t="shared" si="13"/>
        <v>453500</v>
      </c>
      <c r="AM50" s="376">
        <f t="shared" si="14"/>
        <v>1269800</v>
      </c>
      <c r="AN50" s="394"/>
      <c r="AO50" s="395"/>
      <c r="AP50" s="396">
        <f t="shared" si="22"/>
        <v>0</v>
      </c>
      <c r="AQ50" s="397">
        <f>IFERROR(AVERAGE(AP50:AP52),"N/A")</f>
        <v>0</v>
      </c>
      <c r="AR50" s="401"/>
      <c r="AS50" s="396">
        <f t="shared" si="23"/>
        <v>0</v>
      </c>
      <c r="AT50" s="397">
        <f>IFERROR(AVERAGE(AS50:AS52),"N/A")</f>
        <v>0</v>
      </c>
      <c r="AU50" s="388">
        <f t="shared" si="15"/>
        <v>453500</v>
      </c>
      <c r="AV50" s="389">
        <f t="shared" si="16"/>
        <v>1269800</v>
      </c>
      <c r="AW50" s="353"/>
      <c r="AX50" s="403" t="s">
        <v>358</v>
      </c>
      <c r="AY50" s="404"/>
    </row>
    <row r="51" spans="1:51" ht="15" customHeight="1">
      <c r="A51" s="1" t="str">
        <f t="shared" si="17"/>
        <v>TSX:HBM_2023_Region</v>
      </c>
      <c r="B51" s="1" t="str">
        <f t="shared" si="0"/>
        <v>TSX:HBM_2023_NEO5</v>
      </c>
      <c r="C51" s="114" t="str">
        <f t="shared" si="24"/>
        <v>TSX:HBM</v>
      </c>
      <c r="D51" s="133" t="str">
        <f>_xll.ciqfunctions.udf.CIQ(C51,"IQ_Company_Name")</f>
        <v>Hudbay Minerals Inc.</v>
      </c>
      <c r="E51" s="114">
        <f t="shared" si="43"/>
        <v>2023</v>
      </c>
      <c r="F51" s="114" t="str">
        <f t="shared" si="29"/>
        <v>2023-01-01</v>
      </c>
      <c r="G51" s="330" t="str">
        <f t="shared" si="30"/>
        <v>2023-12-31</v>
      </c>
      <c r="H51" s="114">
        <f t="shared" si="18"/>
        <v>12</v>
      </c>
      <c r="I51" s="407" t="str">
        <f t="shared" si="26"/>
        <v>CAD</v>
      </c>
      <c r="J51" s="461">
        <f t="shared" si="19"/>
        <v>1</v>
      </c>
      <c r="K51" s="468" t="s">
        <v>475</v>
      </c>
      <c r="L51" s="122" t="str">
        <f t="shared" ref="L51:N52" si="45">L50</f>
        <v>NEO5</v>
      </c>
      <c r="M51" s="123" t="str">
        <f t="shared" si="45"/>
        <v>SVP, Canada</v>
      </c>
      <c r="N51" s="492" t="str">
        <f>N50</f>
        <v>Rob Carter</v>
      </c>
      <c r="O51" s="219"/>
      <c r="P51" s="125">
        <f t="shared" si="3"/>
        <v>0</v>
      </c>
      <c r="Q51" s="311"/>
      <c r="R51" s="126" t="str">
        <f t="shared" si="4"/>
        <v>-</v>
      </c>
      <c r="S51" s="221"/>
      <c r="T51" s="125">
        <f t="shared" si="5"/>
        <v>0</v>
      </c>
      <c r="U51" s="127" t="str">
        <f t="shared" si="6"/>
        <v>-</v>
      </c>
      <c r="V51" s="128"/>
      <c r="W51" s="223"/>
      <c r="X51" s="129">
        <f t="shared" si="7"/>
        <v>0</v>
      </c>
      <c r="Y51" s="124" t="str">
        <f t="shared" si="8"/>
        <v>-</v>
      </c>
      <c r="Z51" s="130" t="str">
        <f t="shared" si="9"/>
        <v>-</v>
      </c>
      <c r="AA51" s="221"/>
      <c r="AB51" s="225"/>
      <c r="AC51" s="225"/>
      <c r="AD51" s="225" t="s">
        <v>78</v>
      </c>
      <c r="AE51" s="225" t="s">
        <v>78</v>
      </c>
      <c r="AF51" s="125" t="str">
        <f t="shared" si="10"/>
        <v>-</v>
      </c>
      <c r="AG51" s="127" t="str">
        <f t="shared" si="21"/>
        <v>-</v>
      </c>
      <c r="AH51" s="128"/>
      <c r="AI51" s="223" t="s">
        <v>78</v>
      </c>
      <c r="AJ51" s="131">
        <f t="shared" si="11"/>
        <v>0</v>
      </c>
      <c r="AK51" s="368" t="str">
        <f t="shared" si="12"/>
        <v>-</v>
      </c>
      <c r="AL51" s="375" t="str">
        <f t="shared" si="13"/>
        <v>-</v>
      </c>
      <c r="AM51" s="376" t="str">
        <f t="shared" si="14"/>
        <v>-</v>
      </c>
      <c r="AN51" s="394"/>
      <c r="AO51" s="395"/>
      <c r="AP51" s="396">
        <f t="shared" si="22"/>
        <v>0</v>
      </c>
      <c r="AQ51" s="397"/>
      <c r="AR51" s="401"/>
      <c r="AS51" s="396">
        <f t="shared" si="23"/>
        <v>0</v>
      </c>
      <c r="AT51" s="397"/>
      <c r="AU51" s="388" t="str">
        <f t="shared" si="15"/>
        <v>-</v>
      </c>
      <c r="AV51" s="389" t="str">
        <f t="shared" si="16"/>
        <v>-</v>
      </c>
      <c r="AW51" s="353"/>
      <c r="AX51" s="403"/>
      <c r="AY51" s="404"/>
    </row>
    <row r="52" spans="1:51" ht="15" customHeight="1">
      <c r="A52" s="1" t="str">
        <f t="shared" si="17"/>
        <v>TSX:HBM_2022_Region</v>
      </c>
      <c r="B52" s="1" t="str">
        <f t="shared" si="0"/>
        <v>TSX:HBM_2022_NEO5</v>
      </c>
      <c r="C52" s="114" t="str">
        <f t="shared" si="24"/>
        <v>TSX:HBM</v>
      </c>
      <c r="D52" s="133" t="str">
        <f>_xll.ciqfunctions.udf.CIQ(C52,"IQ_Company_Name")</f>
        <v>Hudbay Minerals Inc.</v>
      </c>
      <c r="E52" s="114">
        <f t="shared" si="43"/>
        <v>2022</v>
      </c>
      <c r="F52" s="114" t="str">
        <f t="shared" si="29"/>
        <v>2022-01-01</v>
      </c>
      <c r="G52" s="330" t="str">
        <f t="shared" si="30"/>
        <v>2022-12-31</v>
      </c>
      <c r="H52" s="114">
        <f t="shared" si="18"/>
        <v>12</v>
      </c>
      <c r="I52" s="407" t="str">
        <f t="shared" si="26"/>
        <v>CAD</v>
      </c>
      <c r="J52" s="461">
        <f t="shared" si="19"/>
        <v>1</v>
      </c>
      <c r="K52" s="468" t="s">
        <v>475</v>
      </c>
      <c r="L52" s="472" t="str">
        <f t="shared" si="45"/>
        <v>NEO5</v>
      </c>
      <c r="M52" s="473" t="str">
        <f t="shared" si="45"/>
        <v>SVP, Canada</v>
      </c>
      <c r="N52" s="474" t="str">
        <f t="shared" si="45"/>
        <v>Rob Carter</v>
      </c>
      <c r="O52" s="452"/>
      <c r="P52" s="420">
        <f t="shared" si="3"/>
        <v>0</v>
      </c>
      <c r="Q52" s="475"/>
      <c r="R52" s="329" t="str">
        <f t="shared" si="4"/>
        <v>-</v>
      </c>
      <c r="S52" s="476"/>
      <c r="T52" s="420">
        <f t="shared" si="5"/>
        <v>0</v>
      </c>
      <c r="U52" s="451" t="str">
        <f t="shared" si="6"/>
        <v>-</v>
      </c>
      <c r="V52" s="477"/>
      <c r="W52" s="478"/>
      <c r="X52" s="479">
        <f t="shared" si="7"/>
        <v>0</v>
      </c>
      <c r="Y52" s="480" t="str">
        <f t="shared" si="8"/>
        <v>-</v>
      </c>
      <c r="Z52" s="481" t="str">
        <f t="shared" si="9"/>
        <v>-</v>
      </c>
      <c r="AA52" s="476"/>
      <c r="AB52" s="446"/>
      <c r="AC52" s="446"/>
      <c r="AD52" s="446" t="s">
        <v>78</v>
      </c>
      <c r="AE52" s="446" t="s">
        <v>78</v>
      </c>
      <c r="AF52" s="420" t="str">
        <f t="shared" si="10"/>
        <v>-</v>
      </c>
      <c r="AG52" s="451" t="str">
        <f t="shared" si="21"/>
        <v>-</v>
      </c>
      <c r="AH52" s="477"/>
      <c r="AI52" s="478" t="s">
        <v>78</v>
      </c>
      <c r="AJ52" s="482"/>
      <c r="AK52" s="483"/>
      <c r="AL52" s="484" t="str">
        <f t="shared" si="13"/>
        <v>-</v>
      </c>
      <c r="AM52" s="485" t="str">
        <f t="shared" si="14"/>
        <v>-</v>
      </c>
      <c r="AN52" s="486"/>
      <c r="AO52" s="487"/>
      <c r="AP52" s="396">
        <f t="shared" si="22"/>
        <v>0</v>
      </c>
      <c r="AQ52" s="488"/>
      <c r="AR52" s="489"/>
      <c r="AS52" s="396">
        <f t="shared" si="23"/>
        <v>0</v>
      </c>
      <c r="AT52" s="488"/>
      <c r="AU52" s="390" t="str">
        <f t="shared" si="15"/>
        <v>-</v>
      </c>
      <c r="AV52" s="391" t="str">
        <f t="shared" si="16"/>
        <v>-</v>
      </c>
      <c r="AW52" s="490"/>
      <c r="AX52" s="405"/>
      <c r="AY52" s="406"/>
    </row>
    <row r="53" spans="1:51" ht="15" customHeight="1">
      <c r="A53" s="1" t="str">
        <f t="shared" si="17"/>
        <v>TSX:K_2024_</v>
      </c>
      <c r="B53" s="1" t="str">
        <f t="shared" si="0"/>
        <v>TSX:K_2024_CEO</v>
      </c>
      <c r="C53" s="412" t="str">
        <f>D5</f>
        <v>TSX:K</v>
      </c>
      <c r="D53" s="413" t="str">
        <f>_xll.ciqfunctions.udf.CIQ(C53,"IQ_Company_Name")</f>
        <v>Kinross Gold Corporation</v>
      </c>
      <c r="E53" s="414">
        <f>$F$9</f>
        <v>2024</v>
      </c>
      <c r="F53" s="415" t="str">
        <f t="shared" ref="F53:F116" si="46">E53&amp;"-01-01"</f>
        <v>2024-01-01</v>
      </c>
      <c r="G53" s="415" t="str">
        <f t="shared" ref="G53:G59" si="47">E53&amp;"-12-31"</f>
        <v>2024-12-31</v>
      </c>
      <c r="H53" s="416">
        <f>_xlfn.DAYS(G53,F53)/_xlfn.DAYS(E53&amp;"-12-31",E53&amp;"-01-01")*12</f>
        <v>12</v>
      </c>
      <c r="I53" s="414" t="s">
        <v>297</v>
      </c>
      <c r="J53" s="462">
        <f t="shared" si="19"/>
        <v>1.3701700000000001</v>
      </c>
      <c r="K53" s="469"/>
      <c r="L53" s="464" t="s">
        <v>79</v>
      </c>
      <c r="M53" s="217" t="s">
        <v>79</v>
      </c>
      <c r="N53" s="218" t="s">
        <v>347</v>
      </c>
      <c r="O53" s="219">
        <v>1181500</v>
      </c>
      <c r="P53" s="125">
        <f t="shared" ref="P53:P66" si="48">IFERROR(O53*(12/$H53)*$J53,"-")</f>
        <v>1618855.8550000002</v>
      </c>
      <c r="Q53" s="311" t="s">
        <v>78</v>
      </c>
      <c r="R53" s="442">
        <v>1700000</v>
      </c>
      <c r="S53" s="221">
        <v>2259619</v>
      </c>
      <c r="T53" s="125">
        <f>IFERROR(S53*(12/$H53)*$J53,"-")</f>
        <v>3096062.1652300004</v>
      </c>
      <c r="U53" s="127">
        <f t="shared" ref="U53:U116" si="49">IFERROR($T53/$P53,"-")</f>
        <v>1.9125002115954295</v>
      </c>
      <c r="V53" s="128">
        <f>IFERROR(AVERAGE(U53:U55),"N/A")</f>
        <v>1.5787500676332247</v>
      </c>
      <c r="W53" s="223">
        <v>1.5</v>
      </c>
      <c r="X53" s="129">
        <f t="shared" ref="X53:X116" si="50">IFERROR(IF(ISNUMBER($W53)=TRUE, $W53*$P53,$V53*$P53),"-")</f>
        <v>2428283.7825000002</v>
      </c>
      <c r="Y53" s="124">
        <f>IFERROR(IF(SUM(P53,T53)=0,"-",SUM(P53,T53)),"-")</f>
        <v>4714918.0202300008</v>
      </c>
      <c r="Z53" s="130">
        <f>IFERROR(IF(SUM(P53,X53)=0,"-",SUM(P53,X53)),"-")</f>
        <v>4047139.6375000002</v>
      </c>
      <c r="AA53" s="221">
        <v>1520590.5</v>
      </c>
      <c r="AB53" s="225">
        <v>1858499.5000000002</v>
      </c>
      <c r="AC53" s="225" t="s">
        <v>78</v>
      </c>
      <c r="AD53" s="225" t="s">
        <v>78</v>
      </c>
      <c r="AE53" s="225" t="s">
        <v>78</v>
      </c>
      <c r="AF53" s="125">
        <f t="shared" ref="AF53:AF102" si="51">IFERROR(IF(SUM(AA53:AE53)=0,IF(COUNTIF($AA53:$AE53,"=0")&gt;0,"$0","-"),SUM(AA53:AE53)),"-")</f>
        <v>3379090</v>
      </c>
      <c r="AG53" s="127">
        <f>IFERROR($AK53/$P53,"-")</f>
        <v>2.86</v>
      </c>
      <c r="AH53" s="128">
        <f>IFERROR(AVERAGE(AG53:AG55),"N/A")</f>
        <v>2.8733336276689747</v>
      </c>
      <c r="AI53" s="223" t="s">
        <v>78</v>
      </c>
      <c r="AJ53" s="131">
        <f t="shared" ref="AJ53:AJ116" si="52">IFERROR(IF(ISNUMBER($AI53)=TRUE, $AI53*$P53, $AH53*$P53), "-")</f>
        <v>4651512.9665203104</v>
      </c>
      <c r="AK53" s="368">
        <f t="shared" ref="AK53:AK66" si="53">IFERROR($AF53*$J53,"-")</f>
        <v>4629927.7453000005</v>
      </c>
      <c r="AL53" s="375">
        <f>IFERROR(IF(SUM(Y53,AK53)=0,"-",SUM(Y53,AK53)),"-")</f>
        <v>9344845.7655300014</v>
      </c>
      <c r="AM53" s="376">
        <f>IFERROR(IF(SUM($Z53,$AJ53)=0,"-",SUM($Z53,$AJ53)),"-")</f>
        <v>8698652.6040203106</v>
      </c>
      <c r="AN53" s="394">
        <v>531675</v>
      </c>
      <c r="AO53" s="395" t="s">
        <v>274</v>
      </c>
      <c r="AP53" s="396">
        <f t="shared" si="22"/>
        <v>728485.13475000008</v>
      </c>
      <c r="AQ53" s="409">
        <f>IFERROR(AVERAGE(AP53:AP55),"N/A")</f>
        <v>709464.55846666673</v>
      </c>
      <c r="AR53" s="401">
        <v>300233</v>
      </c>
      <c r="AS53" s="396">
        <f t="shared" si="23"/>
        <v>411370.24961000006</v>
      </c>
      <c r="AT53" s="409">
        <f>IFERROR(AVERAGE(AS53:AS55),"N/A")</f>
        <v>406331.51385333325</v>
      </c>
      <c r="AU53" s="124">
        <f>IFERROR(IF(SUM(AL53,AP53,AS53)=0,"-",SUM(AL53,AP53,AS53)),"-")</f>
        <v>10484701.14989</v>
      </c>
      <c r="AV53" s="126">
        <f>IFERROR(IF(SUM(AM53,AP53,AS53)=0,"-",SUM(AM53,AP53,AS53)),"-")</f>
        <v>9838507.9883803092</v>
      </c>
      <c r="AW53" s="353" t="s">
        <v>78</v>
      </c>
      <c r="AX53" s="403" t="s">
        <v>358</v>
      </c>
      <c r="AY53" s="404" t="s">
        <v>451</v>
      </c>
    </row>
    <row r="54" spans="1:51" ht="15" customHeight="1">
      <c r="A54" s="1" t="str">
        <f t="shared" si="17"/>
        <v>TSX:K_2023_</v>
      </c>
      <c r="B54" s="1" t="str">
        <f t="shared" si="0"/>
        <v>TSX:K_2023_CEO</v>
      </c>
      <c r="C54" s="114" t="str">
        <f>C53</f>
        <v>TSX:K</v>
      </c>
      <c r="D54" s="133" t="str">
        <f>_xll.ciqfunctions.udf.CIQ(C54,"IQ_Company_Name")</f>
        <v>Kinross Gold Corporation</v>
      </c>
      <c r="E54" s="328">
        <f>$F$10</f>
        <v>2023</v>
      </c>
      <c r="F54" s="330" t="str">
        <f t="shared" si="46"/>
        <v>2023-01-01</v>
      </c>
      <c r="G54" s="330" t="str">
        <f t="shared" si="47"/>
        <v>2023-12-31</v>
      </c>
      <c r="H54" s="114">
        <f t="shared" ref="H54:H117" si="54">_xlfn.DAYS(G54,F54)/_xlfn.DAYS(E54&amp;"-12-31",E54&amp;"-01-01")*12</f>
        <v>12</v>
      </c>
      <c r="I54" s="407" t="str">
        <f>I53</f>
        <v>USD</v>
      </c>
      <c r="J54" s="461">
        <f t="shared" si="19"/>
        <v>1.34954</v>
      </c>
      <c r="K54" s="468"/>
      <c r="L54" s="465" t="str">
        <f t="shared" ref="L54:N55" si="55">L53</f>
        <v>CEO</v>
      </c>
      <c r="M54" s="123" t="str">
        <f t="shared" si="55"/>
        <v>CEO</v>
      </c>
      <c r="N54" s="132" t="str">
        <f t="shared" si="55"/>
        <v>J. Paul Rollinson</v>
      </c>
      <c r="O54" s="219">
        <v>1187077</v>
      </c>
      <c r="P54" s="125">
        <f t="shared" si="48"/>
        <v>1602007.8945799998</v>
      </c>
      <c r="Q54" s="311" t="s">
        <v>78</v>
      </c>
      <c r="R54" s="126" t="str">
        <f t="shared" ref="R54:R66" si="56">IFERROR(IF((Q54*$J54)=0,"-",(Q54*$J54)),"-")</f>
        <v>-</v>
      </c>
      <c r="S54" s="221">
        <v>2069966</v>
      </c>
      <c r="T54" s="125">
        <f t="shared" ref="T54:T65" si="57">IFERROR(S54*(12/$H54)*$J54,"-")</f>
        <v>2793501.9156399998</v>
      </c>
      <c r="U54" s="127">
        <f t="shared" si="49"/>
        <v>1.7437504054075683</v>
      </c>
      <c r="V54" s="128"/>
      <c r="W54" s="223" t="s">
        <v>78</v>
      </c>
      <c r="X54" s="129">
        <f t="shared" si="50"/>
        <v>0</v>
      </c>
      <c r="Y54" s="124">
        <f t="shared" ref="Y54:Y117" si="58">IFERROR(IF(SUM(P54,T54)=0,"-",SUM(P54,T54)),"-")</f>
        <v>4395509.8102199994</v>
      </c>
      <c r="Z54" s="130">
        <f t="shared" ref="Z54:Z117" si="59">IFERROR(IF(SUM(P54,X54)=0,"-",SUM(P54,X54)),"-")</f>
        <v>1602007.8945799998</v>
      </c>
      <c r="AA54" s="221">
        <v>1549135.8</v>
      </c>
      <c r="AB54" s="225">
        <v>1893388.2000000002</v>
      </c>
      <c r="AC54" s="225" t="s">
        <v>78</v>
      </c>
      <c r="AD54" s="225" t="s">
        <v>78</v>
      </c>
      <c r="AE54" s="225" t="s">
        <v>78</v>
      </c>
      <c r="AF54" s="125">
        <f t="shared" si="51"/>
        <v>3442524</v>
      </c>
      <c r="AG54" s="127">
        <f t="shared" ref="AG54:AG116" si="60">IFERROR($AK54/$P54,"-")</f>
        <v>2.9000005896837364</v>
      </c>
      <c r="AH54" s="128"/>
      <c r="AI54" s="223" t="s">
        <v>78</v>
      </c>
      <c r="AJ54" s="131">
        <f t="shared" si="52"/>
        <v>0</v>
      </c>
      <c r="AK54" s="368">
        <f t="shared" si="53"/>
        <v>4645823.8389600003</v>
      </c>
      <c r="AL54" s="375">
        <f t="shared" ref="AL54:AL117" si="61">IFERROR(IF(SUM(Y54,AK54)=0,"-",SUM(Y54,AK54)),"-")</f>
        <v>9041333.6491799988</v>
      </c>
      <c r="AM54" s="376">
        <f t="shared" ref="AM54:AM117" si="62">IFERROR(IF(SUM($Z54,$AJ54)=0,"-",SUM($Z54,$AJ54)),"-")</f>
        <v>1602007.8945799998</v>
      </c>
      <c r="AN54" s="394">
        <v>534185</v>
      </c>
      <c r="AO54" s="395" t="s">
        <v>274</v>
      </c>
      <c r="AP54" s="396">
        <f t="shared" si="22"/>
        <v>720904.02489999996</v>
      </c>
      <c r="AQ54" s="397"/>
      <c r="AR54" s="401">
        <v>312030</v>
      </c>
      <c r="AS54" s="396">
        <f t="shared" si="23"/>
        <v>421096.96619999997</v>
      </c>
      <c r="AT54" s="397"/>
      <c r="AU54" s="124">
        <f t="shared" ref="AU54:AU117" si="63">IFERROR(IF(SUM(AL54,AP54,AS54)=0,"-",SUM(AL54,AP54,AS54)),"-")</f>
        <v>10183334.640279999</v>
      </c>
      <c r="AV54" s="126">
        <f t="shared" ref="AV54:AV117" si="64">IFERROR(IF(SUM(AM54,AP54,AS54)=0,"-",SUM(AM54,AP54,AS54)),"-")</f>
        <v>2744008.8856799998</v>
      </c>
      <c r="AW54" s="353" t="s">
        <v>78</v>
      </c>
      <c r="AX54" s="403" t="s">
        <v>358</v>
      </c>
      <c r="AY54" s="419" t="s">
        <v>451</v>
      </c>
    </row>
    <row r="55" spans="1:51" ht="15" customHeight="1">
      <c r="A55" s="1" t="str">
        <f t="shared" si="17"/>
        <v>TSX:K_2022_</v>
      </c>
      <c r="B55" s="1" t="str">
        <f t="shared" si="0"/>
        <v>TSX:K_2022_CEO</v>
      </c>
      <c r="C55" s="114" t="str">
        <f t="shared" ref="C55:C67" si="65">C54</f>
        <v>TSX:K</v>
      </c>
      <c r="D55" s="133" t="str">
        <f>_xll.ciqfunctions.udf.CIQ(C55,"IQ_Company_Name")</f>
        <v>Kinross Gold Corporation</v>
      </c>
      <c r="E55" s="328">
        <f>$F$11</f>
        <v>2022</v>
      </c>
      <c r="F55" s="114" t="str">
        <f t="shared" si="46"/>
        <v>2022-01-01</v>
      </c>
      <c r="G55" s="330" t="str">
        <f t="shared" si="47"/>
        <v>2022-12-31</v>
      </c>
      <c r="H55" s="114">
        <f t="shared" si="54"/>
        <v>12</v>
      </c>
      <c r="I55" s="407" t="str">
        <f>I54</f>
        <v>USD</v>
      </c>
      <c r="J55" s="461">
        <f t="shared" si="19"/>
        <v>1.30175</v>
      </c>
      <c r="K55" s="468"/>
      <c r="L55" s="465" t="str">
        <f t="shared" si="55"/>
        <v>CEO</v>
      </c>
      <c r="M55" s="123" t="str">
        <f t="shared" si="55"/>
        <v>CEO</v>
      </c>
      <c r="N55" s="132" t="str">
        <f t="shared" si="55"/>
        <v>J. Paul Rollinson</v>
      </c>
      <c r="O55" s="219">
        <v>1159131</v>
      </c>
      <c r="P55" s="125">
        <f t="shared" si="48"/>
        <v>1508898.7792499999</v>
      </c>
      <c r="Q55" s="311" t="s">
        <v>78</v>
      </c>
      <c r="R55" s="126" t="str">
        <f t="shared" si="56"/>
        <v>-</v>
      </c>
      <c r="S55" s="221">
        <v>1251861</v>
      </c>
      <c r="T55" s="125">
        <f t="shared" si="57"/>
        <v>1629610.05675</v>
      </c>
      <c r="U55" s="127">
        <f t="shared" si="49"/>
        <v>1.079999585896676</v>
      </c>
      <c r="V55" s="128"/>
      <c r="W55" s="223" t="s">
        <v>78</v>
      </c>
      <c r="X55" s="129">
        <f t="shared" si="50"/>
        <v>0</v>
      </c>
      <c r="Y55" s="124">
        <f t="shared" si="58"/>
        <v>3138508.8360000001</v>
      </c>
      <c r="Z55" s="130">
        <f t="shared" si="59"/>
        <v>1508898.7792499999</v>
      </c>
      <c r="AA55" s="221">
        <v>1491801.75</v>
      </c>
      <c r="AB55" s="225">
        <v>1823313.2500000002</v>
      </c>
      <c r="AC55" s="225" t="s">
        <v>78</v>
      </c>
      <c r="AD55" s="225" t="s">
        <v>78</v>
      </c>
      <c r="AE55" s="225" t="s">
        <v>78</v>
      </c>
      <c r="AF55" s="125">
        <f t="shared" si="51"/>
        <v>3315115</v>
      </c>
      <c r="AG55" s="127">
        <f t="shared" si="60"/>
        <v>2.8600002933231878</v>
      </c>
      <c r="AH55" s="128"/>
      <c r="AI55" s="223" t="s">
        <v>78</v>
      </c>
      <c r="AJ55" s="131">
        <f t="shared" si="52"/>
        <v>0</v>
      </c>
      <c r="AK55" s="368">
        <f t="shared" si="53"/>
        <v>4315450.9512499999</v>
      </c>
      <c r="AL55" s="375">
        <f t="shared" si="61"/>
        <v>7453959.7872500001</v>
      </c>
      <c r="AM55" s="376">
        <f t="shared" si="62"/>
        <v>1508898.7792499999</v>
      </c>
      <c r="AN55" s="394">
        <v>521609</v>
      </c>
      <c r="AO55" s="395" t="s">
        <v>274</v>
      </c>
      <c r="AP55" s="396">
        <f t="shared" si="22"/>
        <v>679004.51575000002</v>
      </c>
      <c r="AQ55" s="397"/>
      <c r="AR55" s="401">
        <v>296929</v>
      </c>
      <c r="AS55" s="396">
        <f t="shared" si="23"/>
        <v>386527.32574999996</v>
      </c>
      <c r="AT55" s="397"/>
      <c r="AU55" s="124">
        <f t="shared" si="63"/>
        <v>8519491.6287500001</v>
      </c>
      <c r="AV55" s="126">
        <f t="shared" ref="AV55:AV65" si="66">IFERROR(IF(SUM(AM55,AP55,AS55)=0,"-",SUM(AM55,AP55,AS55)),"-")</f>
        <v>2574430.6207499998</v>
      </c>
      <c r="AW55" s="353" t="s">
        <v>78</v>
      </c>
      <c r="AX55" s="403" t="s">
        <v>358</v>
      </c>
      <c r="AY55" s="419" t="s">
        <v>451</v>
      </c>
    </row>
    <row r="56" spans="1:51" ht="15" customHeight="1">
      <c r="A56" s="1" t="str">
        <f t="shared" si="17"/>
        <v>TSX:K_2024_</v>
      </c>
      <c r="B56" s="1" t="str">
        <f t="shared" si="0"/>
        <v>TSX:K_2024_CFO</v>
      </c>
      <c r="C56" s="114" t="str">
        <f t="shared" si="65"/>
        <v>TSX:K</v>
      </c>
      <c r="D56" s="133" t="str">
        <f>_xll.ciqfunctions.udf.CIQ(C56,"IQ_Company_Name")</f>
        <v>Kinross Gold Corporation</v>
      </c>
      <c r="E56" s="114">
        <f>E53</f>
        <v>2024</v>
      </c>
      <c r="F56" s="114" t="str">
        <f t="shared" si="46"/>
        <v>2024-01-01</v>
      </c>
      <c r="G56" s="330" t="str">
        <f t="shared" si="47"/>
        <v>2024-12-31</v>
      </c>
      <c r="H56" s="114">
        <f t="shared" si="54"/>
        <v>12</v>
      </c>
      <c r="I56" s="407" t="str">
        <f>I55</f>
        <v>USD</v>
      </c>
      <c r="J56" s="461">
        <f t="shared" si="19"/>
        <v>1.3701700000000001</v>
      </c>
      <c r="K56" s="468"/>
      <c r="L56" s="464" t="s">
        <v>106</v>
      </c>
      <c r="M56" s="217" t="s">
        <v>309</v>
      </c>
      <c r="N56" s="218" t="s">
        <v>348</v>
      </c>
      <c r="O56" s="219">
        <v>451750</v>
      </c>
      <c r="P56" s="125">
        <f t="shared" si="48"/>
        <v>618974.2975000001</v>
      </c>
      <c r="Q56" s="311" t="s">
        <v>78</v>
      </c>
      <c r="R56" s="442">
        <v>670000</v>
      </c>
      <c r="S56" s="221">
        <v>489888</v>
      </c>
      <c r="T56" s="125">
        <f t="shared" si="57"/>
        <v>671229.84096000006</v>
      </c>
      <c r="U56" s="127">
        <f t="shared" si="49"/>
        <v>1.0844228002213614</v>
      </c>
      <c r="V56" s="128">
        <f>IFERROR(AVERAGE(U56:U58),"N/A")</f>
        <v>0.96822427790849686</v>
      </c>
      <c r="W56" s="223">
        <v>0.9</v>
      </c>
      <c r="X56" s="129">
        <f t="shared" si="50"/>
        <v>557076.86775000009</v>
      </c>
      <c r="Y56" s="124">
        <f t="shared" si="58"/>
        <v>1290204.13846</v>
      </c>
      <c r="Z56" s="130">
        <f t="shared" si="59"/>
        <v>1176051.1652500001</v>
      </c>
      <c r="AA56" s="221">
        <v>423463.5</v>
      </c>
      <c r="AB56" s="225">
        <v>517566.50000000006</v>
      </c>
      <c r="AC56" s="225" t="s">
        <v>78</v>
      </c>
      <c r="AD56" s="225" t="s">
        <v>78</v>
      </c>
      <c r="AE56" s="225" t="s">
        <v>78</v>
      </c>
      <c r="AF56" s="125">
        <f t="shared" si="51"/>
        <v>941030</v>
      </c>
      <c r="AG56" s="127">
        <f t="shared" si="60"/>
        <v>2.0830769230769226</v>
      </c>
      <c r="AH56" s="128">
        <f>IFERROR(AVERAGE(AG56:AG58),"N/A")</f>
        <v>2.0110262825515424</v>
      </c>
      <c r="AI56" s="223" t="s">
        <v>78</v>
      </c>
      <c r="AJ56" s="131">
        <f t="shared" si="52"/>
        <v>1244773.5804963775</v>
      </c>
      <c r="AK56" s="368">
        <f t="shared" si="53"/>
        <v>1289371.0751</v>
      </c>
      <c r="AL56" s="375">
        <f t="shared" si="61"/>
        <v>2579575.2135600001</v>
      </c>
      <c r="AM56" s="376">
        <f t="shared" si="62"/>
        <v>2420824.7457463779</v>
      </c>
      <c r="AN56" s="394">
        <v>145916</v>
      </c>
      <c r="AO56" s="395" t="s">
        <v>274</v>
      </c>
      <c r="AP56" s="396">
        <f t="shared" si="22"/>
        <v>199929.72572000002</v>
      </c>
      <c r="AQ56" s="397">
        <f>IFERROR(AVERAGE(AP56:AP58),"N/A")</f>
        <v>180527.77742333335</v>
      </c>
      <c r="AR56" s="401">
        <v>79205</v>
      </c>
      <c r="AS56" s="396">
        <f t="shared" si="23"/>
        <v>108524.31485000001</v>
      </c>
      <c r="AT56" s="397">
        <f>IFERROR(AVERAGE(AS56:AS58),"N/A")</f>
        <v>91589.249970000004</v>
      </c>
      <c r="AU56" s="124">
        <f t="shared" si="63"/>
        <v>2888029.2541300002</v>
      </c>
      <c r="AV56" s="126">
        <f t="shared" si="66"/>
        <v>2729278.786316378</v>
      </c>
      <c r="AW56" s="353" t="s">
        <v>356</v>
      </c>
      <c r="AX56" s="403" t="s">
        <v>358</v>
      </c>
      <c r="AY56" s="419" t="s">
        <v>451</v>
      </c>
    </row>
    <row r="57" spans="1:51" ht="15" customHeight="1">
      <c r="A57" s="1" t="str">
        <f t="shared" si="17"/>
        <v>TSX:K_2023_</v>
      </c>
      <c r="B57" s="1" t="str">
        <f t="shared" si="0"/>
        <v>TSX:K_2023_CFO</v>
      </c>
      <c r="C57" s="114" t="str">
        <f t="shared" si="65"/>
        <v>TSX:K</v>
      </c>
      <c r="D57" s="133" t="str">
        <f>_xll.ciqfunctions.udf.CIQ(C57,"IQ_Company_Name")</f>
        <v>Kinross Gold Corporation</v>
      </c>
      <c r="E57" s="114">
        <f>E54</f>
        <v>2023</v>
      </c>
      <c r="F57" s="114" t="str">
        <f t="shared" si="46"/>
        <v>2023-01-01</v>
      </c>
      <c r="G57" s="330" t="str">
        <f t="shared" si="47"/>
        <v>2023-12-31</v>
      </c>
      <c r="H57" s="114">
        <f t="shared" si="54"/>
        <v>12</v>
      </c>
      <c r="I57" s="407" t="str">
        <f>I56</f>
        <v>USD</v>
      </c>
      <c r="J57" s="461">
        <f t="shared" si="19"/>
        <v>1.34954</v>
      </c>
      <c r="K57" s="468"/>
      <c r="L57" s="465" t="str">
        <f t="shared" ref="L57:N58" si="67">L56</f>
        <v>CFO</v>
      </c>
      <c r="M57" s="123" t="str">
        <f t="shared" si="67"/>
        <v>EVP &amp; CFO</v>
      </c>
      <c r="N57" s="132" t="str">
        <f t="shared" si="67"/>
        <v>Andrea S. Freeborough</v>
      </c>
      <c r="O57" s="219">
        <v>457441</v>
      </c>
      <c r="P57" s="125">
        <f t="shared" si="48"/>
        <v>617334.92713999993</v>
      </c>
      <c r="Q57" s="311" t="s">
        <v>78</v>
      </c>
      <c r="R57" s="126" t="str">
        <f t="shared" si="56"/>
        <v>-</v>
      </c>
      <c r="S57" s="221">
        <v>478597</v>
      </c>
      <c r="T57" s="125">
        <f t="shared" si="57"/>
        <v>645885.79538000003</v>
      </c>
      <c r="U57" s="127">
        <f t="shared" si="49"/>
        <v>1.0462485872495033</v>
      </c>
      <c r="V57" s="128"/>
      <c r="W57" s="223" t="s">
        <v>78</v>
      </c>
      <c r="X57" s="129">
        <f t="shared" si="50"/>
        <v>0</v>
      </c>
      <c r="Y57" s="124">
        <f t="shared" si="58"/>
        <v>1263220.7225199998</v>
      </c>
      <c r="Z57" s="130">
        <f t="shared" si="59"/>
        <v>617334.92713999993</v>
      </c>
      <c r="AA57" s="221">
        <v>413755.2</v>
      </c>
      <c r="AB57" s="225">
        <v>505700.80000000005</v>
      </c>
      <c r="AC57" s="225" t="s">
        <v>78</v>
      </c>
      <c r="AD57" s="225" t="s">
        <v>78</v>
      </c>
      <c r="AE57" s="225" t="s">
        <v>78</v>
      </c>
      <c r="AF57" s="125">
        <f t="shared" si="51"/>
        <v>919456</v>
      </c>
      <c r="AG57" s="127">
        <f t="shared" si="60"/>
        <v>2.0099991037095495</v>
      </c>
      <c r="AH57" s="128"/>
      <c r="AI57" s="223" t="s">
        <v>78</v>
      </c>
      <c r="AJ57" s="131">
        <f t="shared" si="52"/>
        <v>0</v>
      </c>
      <c r="AK57" s="368">
        <f t="shared" si="53"/>
        <v>1240842.6502399999</v>
      </c>
      <c r="AL57" s="375">
        <f t="shared" si="61"/>
        <v>2504063.3727599997</v>
      </c>
      <c r="AM57" s="376">
        <f t="shared" si="62"/>
        <v>617334.92713999993</v>
      </c>
      <c r="AN57" s="394">
        <v>130370</v>
      </c>
      <c r="AO57" s="395" t="s">
        <v>274</v>
      </c>
      <c r="AP57" s="396">
        <f t="shared" si="22"/>
        <v>175939.52979999999</v>
      </c>
      <c r="AQ57" s="397"/>
      <c r="AR57" s="401">
        <v>63539</v>
      </c>
      <c r="AS57" s="396">
        <f t="shared" si="23"/>
        <v>85748.422059999997</v>
      </c>
      <c r="AT57" s="397"/>
      <c r="AU57" s="124">
        <f t="shared" si="63"/>
        <v>2765751.3246199996</v>
      </c>
      <c r="AV57" s="126">
        <f t="shared" si="66"/>
        <v>879022.87899999996</v>
      </c>
      <c r="AW57" s="353" t="s">
        <v>78</v>
      </c>
      <c r="AX57" s="403" t="s">
        <v>358</v>
      </c>
      <c r="AY57" s="419" t="s">
        <v>451</v>
      </c>
    </row>
    <row r="58" spans="1:51" ht="15" customHeight="1">
      <c r="A58" s="1" t="str">
        <f t="shared" si="17"/>
        <v>TSX:K_2022_</v>
      </c>
      <c r="B58" s="1" t="str">
        <f t="shared" si="0"/>
        <v>TSX:K_2022_CFO</v>
      </c>
      <c r="C58" s="114" t="str">
        <f t="shared" si="65"/>
        <v>TSX:K</v>
      </c>
      <c r="D58" s="133" t="str">
        <f>_xll.ciqfunctions.udf.CIQ(C58,"IQ_Company_Name")</f>
        <v>Kinross Gold Corporation</v>
      </c>
      <c r="E58" s="114">
        <f>E55</f>
        <v>2022</v>
      </c>
      <c r="F58" s="114" t="str">
        <f t="shared" si="46"/>
        <v>2022-01-01</v>
      </c>
      <c r="G58" s="330" t="str">
        <f t="shared" si="47"/>
        <v>2022-12-31</v>
      </c>
      <c r="H58" s="114">
        <f t="shared" si="54"/>
        <v>12</v>
      </c>
      <c r="I58" s="407" t="str">
        <f t="shared" ref="I58:I67" si="68">I57</f>
        <v>USD</v>
      </c>
      <c r="J58" s="461">
        <f t="shared" si="19"/>
        <v>1.30175</v>
      </c>
      <c r="K58" s="468"/>
      <c r="L58" s="465" t="str">
        <f t="shared" si="67"/>
        <v>CFO</v>
      </c>
      <c r="M58" s="123" t="str">
        <f t="shared" si="67"/>
        <v>EVP &amp; CFO</v>
      </c>
      <c r="N58" s="132" t="str">
        <f t="shared" si="67"/>
        <v>Andrea S. Freeborough</v>
      </c>
      <c r="O58" s="219">
        <v>446671</v>
      </c>
      <c r="P58" s="125">
        <f t="shared" si="48"/>
        <v>581453.97424999997</v>
      </c>
      <c r="Q58" s="311" t="s">
        <v>78</v>
      </c>
      <c r="R58" s="126" t="str">
        <f t="shared" si="56"/>
        <v>-</v>
      </c>
      <c r="S58" s="221">
        <v>345724</v>
      </c>
      <c r="T58" s="125">
        <f t="shared" si="57"/>
        <v>450046.217</v>
      </c>
      <c r="U58" s="127">
        <f t="shared" si="49"/>
        <v>0.77400144625462597</v>
      </c>
      <c r="V58" s="128"/>
      <c r="W58" s="223" t="s">
        <v>78</v>
      </c>
      <c r="X58" s="129">
        <f t="shared" si="50"/>
        <v>0</v>
      </c>
      <c r="Y58" s="124">
        <f t="shared" si="58"/>
        <v>1031500.1912499999</v>
      </c>
      <c r="Z58" s="130">
        <f t="shared" si="59"/>
        <v>581453.97424999997</v>
      </c>
      <c r="AA58" s="221">
        <v>389944.35000000003</v>
      </c>
      <c r="AB58" s="225">
        <v>476598.65</v>
      </c>
      <c r="AC58" s="225" t="s">
        <v>78</v>
      </c>
      <c r="AD58" s="225" t="s">
        <v>78</v>
      </c>
      <c r="AE58" s="225" t="s">
        <v>78</v>
      </c>
      <c r="AF58" s="125">
        <f t="shared" si="51"/>
        <v>866543</v>
      </c>
      <c r="AG58" s="127">
        <f t="shared" si="60"/>
        <v>1.9400028208681557</v>
      </c>
      <c r="AH58" s="128"/>
      <c r="AI58" s="223" t="s">
        <v>78</v>
      </c>
      <c r="AJ58" s="131">
        <f t="shared" si="52"/>
        <v>0</v>
      </c>
      <c r="AK58" s="368">
        <f t="shared" si="53"/>
        <v>1128022.3502499999</v>
      </c>
      <c r="AL58" s="375">
        <f t="shared" si="61"/>
        <v>2159522.5414999998</v>
      </c>
      <c r="AM58" s="376">
        <f t="shared" si="62"/>
        <v>581453.97424999997</v>
      </c>
      <c r="AN58" s="394">
        <v>127301</v>
      </c>
      <c r="AO58" s="395" t="s">
        <v>274</v>
      </c>
      <c r="AP58" s="396">
        <f t="shared" si="22"/>
        <v>165714.07675000001</v>
      </c>
      <c r="AQ58" s="397"/>
      <c r="AR58" s="401">
        <v>61836</v>
      </c>
      <c r="AS58" s="396">
        <f t="shared" si="23"/>
        <v>80495.012999999992</v>
      </c>
      <c r="AT58" s="397"/>
      <c r="AU58" s="124">
        <f t="shared" si="63"/>
        <v>2405731.6312499996</v>
      </c>
      <c r="AV58" s="126">
        <f t="shared" si="66"/>
        <v>827663.06400000001</v>
      </c>
      <c r="AW58" s="353" t="s">
        <v>78</v>
      </c>
      <c r="AX58" s="403" t="s">
        <v>358</v>
      </c>
      <c r="AY58" s="419" t="s">
        <v>451</v>
      </c>
    </row>
    <row r="59" spans="1:51" ht="15" customHeight="1">
      <c r="A59" s="1" t="str">
        <f t="shared" si="17"/>
        <v>TSX:K_2024_</v>
      </c>
      <c r="B59" s="1" t="str">
        <f t="shared" si="0"/>
        <v>TSX:K_2024_NEO1</v>
      </c>
      <c r="C59" s="114" t="str">
        <f t="shared" si="65"/>
        <v>TSX:K</v>
      </c>
      <c r="D59" s="133" t="str">
        <f>_xll.ciqfunctions.udf.CIQ(C59,"IQ_Company_Name")</f>
        <v>Kinross Gold Corporation</v>
      </c>
      <c r="E59" s="114">
        <f t="shared" ref="E59:E122" si="69">E56</f>
        <v>2024</v>
      </c>
      <c r="F59" s="330" t="str">
        <f t="shared" si="46"/>
        <v>2024-01-01</v>
      </c>
      <c r="G59" s="330" t="str">
        <f t="shared" si="47"/>
        <v>2024-12-31</v>
      </c>
      <c r="H59" s="114">
        <f t="shared" si="54"/>
        <v>12</v>
      </c>
      <c r="I59" s="407" t="str">
        <f t="shared" si="68"/>
        <v>USD</v>
      </c>
      <c r="J59" s="461">
        <f t="shared" si="19"/>
        <v>1.3701700000000001</v>
      </c>
      <c r="K59" s="468"/>
      <c r="L59" s="464" t="s">
        <v>107</v>
      </c>
      <c r="M59" s="217" t="s">
        <v>352</v>
      </c>
      <c r="N59" s="218" t="s">
        <v>349</v>
      </c>
      <c r="O59" s="219">
        <v>625500</v>
      </c>
      <c r="P59" s="125">
        <f t="shared" si="48"/>
        <v>857041.33500000008</v>
      </c>
      <c r="Q59" s="311" t="s">
        <v>78</v>
      </c>
      <c r="R59" s="442">
        <v>900000</v>
      </c>
      <c r="S59" s="221">
        <v>977517</v>
      </c>
      <c r="T59" s="125">
        <f t="shared" si="57"/>
        <v>1339364.4678900002</v>
      </c>
      <c r="U59" s="127">
        <f t="shared" si="49"/>
        <v>1.5627769784172663</v>
      </c>
      <c r="V59" s="128">
        <f>IFERROR(AVERAGE(U59:U61),"N/A")</f>
        <v>1.4304419462208926</v>
      </c>
      <c r="W59" s="223">
        <v>1.4</v>
      </c>
      <c r="X59" s="129">
        <f t="shared" si="50"/>
        <v>1199857.8689999999</v>
      </c>
      <c r="Y59" s="124">
        <f t="shared" si="58"/>
        <v>2196405.8028900004</v>
      </c>
      <c r="Z59" s="130">
        <f t="shared" si="59"/>
        <v>2056899.2039999999</v>
      </c>
      <c r="AA59" s="221">
        <v>721201.5</v>
      </c>
      <c r="AB59" s="225">
        <v>881468.50000000012</v>
      </c>
      <c r="AC59" s="225" t="s">
        <v>78</v>
      </c>
      <c r="AD59" s="225" t="s">
        <v>78</v>
      </c>
      <c r="AE59" s="225" t="s">
        <v>78</v>
      </c>
      <c r="AF59" s="125">
        <f t="shared" si="51"/>
        <v>1602670</v>
      </c>
      <c r="AG59" s="127">
        <f t="shared" si="60"/>
        <v>2.5622222222222222</v>
      </c>
      <c r="AH59" s="128">
        <f>IFERROR(AVERAGE(AG59:AG61),"N/A")</f>
        <v>2.4377252506651943</v>
      </c>
      <c r="AI59" s="223" t="s">
        <v>78</v>
      </c>
      <c r="AJ59" s="131">
        <f t="shared" si="52"/>
        <v>2089231.3031933079</v>
      </c>
      <c r="AK59" s="368">
        <f t="shared" si="53"/>
        <v>2195930.3539</v>
      </c>
      <c r="AL59" s="375">
        <f t="shared" si="61"/>
        <v>4392336.1567900004</v>
      </c>
      <c r="AM59" s="376">
        <f t="shared" si="62"/>
        <v>4146130.5071933079</v>
      </c>
      <c r="AN59" s="394">
        <v>281475</v>
      </c>
      <c r="AO59" s="395" t="s">
        <v>274</v>
      </c>
      <c r="AP59" s="396">
        <f t="shared" si="22"/>
        <v>385668.60075000004</v>
      </c>
      <c r="AQ59" s="397">
        <f>IFERROR(AVERAGE(AP59:AP61),"N/A")</f>
        <v>378221.23824666667</v>
      </c>
      <c r="AR59" s="401">
        <v>105108</v>
      </c>
      <c r="AS59" s="396">
        <f t="shared" si="23"/>
        <v>144015.82836000001</v>
      </c>
      <c r="AT59" s="397">
        <f>IFERROR(AVERAGE(AS59:AS61),"N/A")</f>
        <v>163070.30056999999</v>
      </c>
      <c r="AU59" s="124">
        <f t="shared" si="63"/>
        <v>4922020.5859000003</v>
      </c>
      <c r="AV59" s="126">
        <f t="shared" si="66"/>
        <v>4675814.9363033073</v>
      </c>
      <c r="AW59" s="353" t="s">
        <v>355</v>
      </c>
      <c r="AX59" s="403" t="s">
        <v>358</v>
      </c>
      <c r="AY59" s="419" t="s">
        <v>451</v>
      </c>
    </row>
    <row r="60" spans="1:51" ht="15" customHeight="1">
      <c r="A60" s="1" t="str">
        <f t="shared" si="17"/>
        <v>TSX:K_2023_</v>
      </c>
      <c r="B60" s="1" t="str">
        <f t="shared" si="0"/>
        <v>TSX:K_2023_NEO1</v>
      </c>
      <c r="C60" s="114" t="str">
        <f t="shared" si="65"/>
        <v>TSX:K</v>
      </c>
      <c r="D60" s="133" t="str">
        <f>_xll.ciqfunctions.udf.CIQ(C60,"IQ_Company_Name")</f>
        <v>Kinross Gold Corporation</v>
      </c>
      <c r="E60" s="114">
        <f t="shared" si="69"/>
        <v>2023</v>
      </c>
      <c r="F60" s="330" t="str">
        <f>E60&amp;"-01-01"</f>
        <v>2023-01-01</v>
      </c>
      <c r="G60" s="330" t="str">
        <f>E60&amp;"-12-31"</f>
        <v>2023-12-31</v>
      </c>
      <c r="H60" s="114">
        <f t="shared" si="54"/>
        <v>12</v>
      </c>
      <c r="I60" s="407" t="str">
        <f t="shared" si="68"/>
        <v>USD</v>
      </c>
      <c r="J60" s="461">
        <f t="shared" si="19"/>
        <v>1.34954</v>
      </c>
      <c r="K60" s="468"/>
      <c r="L60" s="465" t="str">
        <f t="shared" ref="L60:N61" si="70">L59</f>
        <v>NEO1</v>
      </c>
      <c r="M60" s="123" t="str">
        <f t="shared" si="70"/>
        <v>President</v>
      </c>
      <c r="N60" s="132" t="str">
        <f t="shared" si="70"/>
        <v>Geoffrey P. Gold</v>
      </c>
      <c r="O60" s="219">
        <v>635124</v>
      </c>
      <c r="P60" s="125">
        <f t="shared" si="48"/>
        <v>857125.24295999995</v>
      </c>
      <c r="Q60" s="311" t="s">
        <v>78</v>
      </c>
      <c r="R60" s="126" t="str">
        <f t="shared" si="56"/>
        <v>-</v>
      </c>
      <c r="S60" s="221">
        <v>950494</v>
      </c>
      <c r="T60" s="125">
        <f t="shared" si="57"/>
        <v>1282729.67276</v>
      </c>
      <c r="U60" s="127">
        <f t="shared" si="49"/>
        <v>1.4965487054496445</v>
      </c>
      <c r="V60" s="128"/>
      <c r="W60" s="223" t="s">
        <v>78</v>
      </c>
      <c r="X60" s="129">
        <f t="shared" si="50"/>
        <v>0</v>
      </c>
      <c r="Y60" s="124">
        <f t="shared" si="58"/>
        <v>2139854.9157199999</v>
      </c>
      <c r="Z60" s="130">
        <f t="shared" si="59"/>
        <v>857125.24295999995</v>
      </c>
      <c r="AA60" s="221">
        <v>700496.55</v>
      </c>
      <c r="AB60" s="225">
        <v>856162.45000000007</v>
      </c>
      <c r="AC60" s="225" t="s">
        <v>78</v>
      </c>
      <c r="AD60" s="225" t="s">
        <v>78</v>
      </c>
      <c r="AE60" s="225" t="s">
        <v>78</v>
      </c>
      <c r="AF60" s="125">
        <f t="shared" si="51"/>
        <v>1556659</v>
      </c>
      <c r="AG60" s="127">
        <f t="shared" si="60"/>
        <v>2.4509528847910018</v>
      </c>
      <c r="AH60" s="128"/>
      <c r="AI60" s="223" t="s">
        <v>78</v>
      </c>
      <c r="AJ60" s="131">
        <f t="shared" si="52"/>
        <v>0</v>
      </c>
      <c r="AK60" s="368">
        <f t="shared" si="53"/>
        <v>2100773.5868600002</v>
      </c>
      <c r="AL60" s="375">
        <f t="shared" si="61"/>
        <v>4240628.5025800001</v>
      </c>
      <c r="AM60" s="376">
        <f t="shared" si="62"/>
        <v>857125.24295999995</v>
      </c>
      <c r="AN60" s="394">
        <v>285806</v>
      </c>
      <c r="AO60" s="395" t="s">
        <v>274</v>
      </c>
      <c r="AP60" s="396">
        <f t="shared" si="22"/>
        <v>385706.62923999998</v>
      </c>
      <c r="AQ60" s="397"/>
      <c r="AR60" s="401">
        <v>128015</v>
      </c>
      <c r="AS60" s="396">
        <f t="shared" si="23"/>
        <v>172761.36309999999</v>
      </c>
      <c r="AT60" s="397"/>
      <c r="AU60" s="124">
        <f t="shared" si="63"/>
        <v>4799096.4949199995</v>
      </c>
      <c r="AV60" s="126">
        <f t="shared" si="66"/>
        <v>1415593.2352999998</v>
      </c>
      <c r="AW60" s="353" t="s">
        <v>78</v>
      </c>
      <c r="AX60" s="403" t="s">
        <v>358</v>
      </c>
      <c r="AY60" s="419" t="s">
        <v>451</v>
      </c>
    </row>
    <row r="61" spans="1:51" ht="15" customHeight="1">
      <c r="A61" s="1" t="str">
        <f t="shared" si="17"/>
        <v>TSX:K_2022_</v>
      </c>
      <c r="B61" s="1" t="str">
        <f t="shared" si="0"/>
        <v>TSX:K_2022_NEO1</v>
      </c>
      <c r="C61" s="114" t="str">
        <f t="shared" si="65"/>
        <v>TSX:K</v>
      </c>
      <c r="D61" s="133" t="str">
        <f>_xll.ciqfunctions.udf.CIQ(C61,"IQ_Company_Name")</f>
        <v>Kinross Gold Corporation</v>
      </c>
      <c r="E61" s="114">
        <f t="shared" si="69"/>
        <v>2022</v>
      </c>
      <c r="F61" s="114" t="str">
        <f t="shared" si="46"/>
        <v>2022-01-01</v>
      </c>
      <c r="G61" s="330" t="str">
        <f t="shared" ref="G61:G75" si="71">E61&amp;"-12-31"</f>
        <v>2022-12-31</v>
      </c>
      <c r="H61" s="114">
        <f t="shared" si="54"/>
        <v>12</v>
      </c>
      <c r="I61" s="407" t="str">
        <f t="shared" si="68"/>
        <v>USD</v>
      </c>
      <c r="J61" s="461">
        <f t="shared" si="19"/>
        <v>1.30175</v>
      </c>
      <c r="K61" s="468"/>
      <c r="L61" s="465" t="str">
        <f t="shared" si="70"/>
        <v>NEO1</v>
      </c>
      <c r="M61" s="123" t="str">
        <f t="shared" si="70"/>
        <v>President</v>
      </c>
      <c r="N61" s="132" t="str">
        <f t="shared" si="70"/>
        <v>Geoffrey P. Gold</v>
      </c>
      <c r="O61" s="219">
        <v>620172</v>
      </c>
      <c r="P61" s="125">
        <f t="shared" si="48"/>
        <v>807308.90099999995</v>
      </c>
      <c r="Q61" s="311" t="s">
        <v>78</v>
      </c>
      <c r="R61" s="126" t="str">
        <f t="shared" si="56"/>
        <v>-</v>
      </c>
      <c r="S61" s="221">
        <v>764052</v>
      </c>
      <c r="T61" s="125">
        <f t="shared" si="57"/>
        <v>994604.69099999999</v>
      </c>
      <c r="U61" s="127">
        <f t="shared" si="49"/>
        <v>1.2320001547957664</v>
      </c>
      <c r="V61" s="128"/>
      <c r="W61" s="223" t="s">
        <v>78</v>
      </c>
      <c r="X61" s="129">
        <f t="shared" si="50"/>
        <v>0</v>
      </c>
      <c r="Y61" s="124">
        <f t="shared" si="58"/>
        <v>1801913.5919999999</v>
      </c>
      <c r="Z61" s="130">
        <f t="shared" si="59"/>
        <v>807308.90099999995</v>
      </c>
      <c r="AA61" s="221">
        <v>641878.20000000007</v>
      </c>
      <c r="AB61" s="225">
        <v>784517.8</v>
      </c>
      <c r="AC61" s="225" t="s">
        <v>78</v>
      </c>
      <c r="AD61" s="225" t="s">
        <v>78</v>
      </c>
      <c r="AE61" s="225" t="s">
        <v>78</v>
      </c>
      <c r="AF61" s="125">
        <f t="shared" si="51"/>
        <v>1426396</v>
      </c>
      <c r="AG61" s="127">
        <f t="shared" si="60"/>
        <v>2.3000006449823598</v>
      </c>
      <c r="AH61" s="128"/>
      <c r="AI61" s="223" t="s">
        <v>78</v>
      </c>
      <c r="AJ61" s="131">
        <f t="shared" si="52"/>
        <v>0</v>
      </c>
      <c r="AK61" s="368">
        <f t="shared" si="53"/>
        <v>1856810.993</v>
      </c>
      <c r="AL61" s="375">
        <f t="shared" si="61"/>
        <v>3658724.585</v>
      </c>
      <c r="AM61" s="376">
        <f t="shared" si="62"/>
        <v>807308.90099999995</v>
      </c>
      <c r="AN61" s="394">
        <v>279077</v>
      </c>
      <c r="AO61" s="395" t="s">
        <v>274</v>
      </c>
      <c r="AP61" s="396">
        <f t="shared" si="22"/>
        <v>363288.48475</v>
      </c>
      <c r="AQ61" s="397"/>
      <c r="AR61" s="401">
        <v>132463</v>
      </c>
      <c r="AS61" s="396">
        <f t="shared" si="23"/>
        <v>172433.71025</v>
      </c>
      <c r="AT61" s="397"/>
      <c r="AU61" s="124">
        <f t="shared" si="63"/>
        <v>4194446.7799999993</v>
      </c>
      <c r="AV61" s="126">
        <f t="shared" si="66"/>
        <v>1343031.0959999999</v>
      </c>
      <c r="AW61" s="353" t="s">
        <v>78</v>
      </c>
      <c r="AX61" s="403" t="s">
        <v>358</v>
      </c>
      <c r="AY61" s="419" t="s">
        <v>451</v>
      </c>
    </row>
    <row r="62" spans="1:51" ht="15" customHeight="1">
      <c r="A62" s="1" t="str">
        <f t="shared" si="17"/>
        <v>TSX:K_2024_COO</v>
      </c>
      <c r="B62" s="1" t="str">
        <f t="shared" si="0"/>
        <v>TSX:K_2024_NEO2</v>
      </c>
      <c r="C62" s="114" t="str">
        <f t="shared" si="65"/>
        <v>TSX:K</v>
      </c>
      <c r="D62" s="133" t="str">
        <f>_xll.ciqfunctions.udf.CIQ(C62,"IQ_Company_Name")</f>
        <v>Kinross Gold Corporation</v>
      </c>
      <c r="E62" s="114">
        <f t="shared" si="69"/>
        <v>2024</v>
      </c>
      <c r="F62" s="114" t="str">
        <f t="shared" si="46"/>
        <v>2024-01-01</v>
      </c>
      <c r="G62" s="330" t="str">
        <f t="shared" si="71"/>
        <v>2024-12-31</v>
      </c>
      <c r="H62" s="114">
        <f t="shared" si="54"/>
        <v>12</v>
      </c>
      <c r="I62" s="407" t="str">
        <f t="shared" si="68"/>
        <v>USD</v>
      </c>
      <c r="J62" s="461">
        <f t="shared" si="19"/>
        <v>1.3701700000000001</v>
      </c>
      <c r="K62" s="468" t="s">
        <v>277</v>
      </c>
      <c r="L62" s="464" t="s">
        <v>108</v>
      </c>
      <c r="M62" s="217" t="s">
        <v>353</v>
      </c>
      <c r="N62" s="218" t="s">
        <v>350</v>
      </c>
      <c r="O62" s="219">
        <v>451750</v>
      </c>
      <c r="P62" s="125">
        <f t="shared" si="48"/>
        <v>618974.2975000001</v>
      </c>
      <c r="Q62" s="311" t="s">
        <v>78</v>
      </c>
      <c r="R62" s="442">
        <v>670000</v>
      </c>
      <c r="S62" s="221">
        <v>523465</v>
      </c>
      <c r="T62" s="125">
        <f t="shared" si="57"/>
        <v>717236.03905000002</v>
      </c>
      <c r="U62" s="127">
        <f t="shared" si="49"/>
        <v>1.158749308245711</v>
      </c>
      <c r="V62" s="128">
        <f>IFERROR(AVERAGE(U62:U64),"N/A")</f>
        <v>1.0098414601315573</v>
      </c>
      <c r="W62" s="223">
        <v>0.9</v>
      </c>
      <c r="X62" s="129">
        <f t="shared" si="50"/>
        <v>557076.86775000009</v>
      </c>
      <c r="Y62" s="124">
        <f t="shared" si="58"/>
        <v>1336210.3365500001</v>
      </c>
      <c r="Z62" s="130">
        <f t="shared" si="59"/>
        <v>1176051.1652500001</v>
      </c>
      <c r="AA62" s="221">
        <v>439101</v>
      </c>
      <c r="AB62" s="225">
        <v>536679</v>
      </c>
      <c r="AC62" s="225" t="s">
        <v>78</v>
      </c>
      <c r="AD62" s="225" t="s">
        <v>78</v>
      </c>
      <c r="AE62" s="225" t="s">
        <v>78</v>
      </c>
      <c r="AF62" s="125">
        <f t="shared" si="51"/>
        <v>975780</v>
      </c>
      <c r="AG62" s="127">
        <f t="shared" si="60"/>
        <v>2.16</v>
      </c>
      <c r="AH62" s="128">
        <f>IFERROR(AVERAGE(AG62:AG64),"N/A")</f>
        <v>2.153827654803584</v>
      </c>
      <c r="AI62" s="223" t="s">
        <v>78</v>
      </c>
      <c r="AJ62" s="131">
        <f t="shared" si="52"/>
        <v>1333163.959568121</v>
      </c>
      <c r="AK62" s="368">
        <f t="shared" si="53"/>
        <v>1336984.4826000002</v>
      </c>
      <c r="AL62" s="375">
        <f t="shared" si="61"/>
        <v>2673194.8191500003</v>
      </c>
      <c r="AM62" s="376">
        <f t="shared" si="62"/>
        <v>2509215.1248181211</v>
      </c>
      <c r="AN62" s="394">
        <v>128750</v>
      </c>
      <c r="AO62" s="395" t="s">
        <v>274</v>
      </c>
      <c r="AP62" s="396">
        <f t="shared" si="22"/>
        <v>176409.38750000001</v>
      </c>
      <c r="AQ62" s="397">
        <f>IFERROR(AVERAGE(AP62:AP64),"N/A")</f>
        <v>169084.18682333335</v>
      </c>
      <c r="AR62" s="401">
        <v>97423</v>
      </c>
      <c r="AS62" s="396">
        <f t="shared" si="23"/>
        <v>133486.07191</v>
      </c>
      <c r="AT62" s="397">
        <f>IFERROR(AVERAGE(AS62:AS64),"N/A")</f>
        <v>487819.11757666664</v>
      </c>
      <c r="AU62" s="124">
        <f t="shared" si="63"/>
        <v>2983090.2785600005</v>
      </c>
      <c r="AV62" s="126">
        <f t="shared" si="66"/>
        <v>2819110.5842281212</v>
      </c>
      <c r="AW62" s="353" t="s">
        <v>78</v>
      </c>
      <c r="AX62" s="403" t="s">
        <v>358</v>
      </c>
      <c r="AY62" s="419" t="s">
        <v>451</v>
      </c>
    </row>
    <row r="63" spans="1:51" ht="15" customHeight="1">
      <c r="A63" s="1" t="str">
        <f t="shared" si="17"/>
        <v>TSX:K_2023_COO</v>
      </c>
      <c r="B63" s="1" t="str">
        <f t="shared" si="0"/>
        <v>TSX:K_2023_NEO2</v>
      </c>
      <c r="C63" s="114" t="str">
        <f t="shared" si="65"/>
        <v>TSX:K</v>
      </c>
      <c r="D63" s="133" t="str">
        <f>_xll.ciqfunctions.udf.CIQ(C63,"IQ_Company_Name")</f>
        <v>Kinross Gold Corporation</v>
      </c>
      <c r="E63" s="114">
        <f t="shared" si="69"/>
        <v>2023</v>
      </c>
      <c r="F63" s="114" t="str">
        <f t="shared" si="46"/>
        <v>2023-01-01</v>
      </c>
      <c r="G63" s="330" t="str">
        <f t="shared" si="71"/>
        <v>2023-12-31</v>
      </c>
      <c r="H63" s="114">
        <f t="shared" si="54"/>
        <v>12</v>
      </c>
      <c r="I63" s="407" t="str">
        <f t="shared" si="68"/>
        <v>USD</v>
      </c>
      <c r="J63" s="461">
        <f t="shared" si="19"/>
        <v>1.34954</v>
      </c>
      <c r="K63" s="468" t="s">
        <v>277</v>
      </c>
      <c r="L63" s="465" t="str">
        <f t="shared" ref="L63:N64" si="72">L62</f>
        <v>NEO2</v>
      </c>
      <c r="M63" s="123" t="str">
        <f t="shared" si="72"/>
        <v>EVP &amp; COO</v>
      </c>
      <c r="N63" s="132" t="str">
        <f t="shared" si="72"/>
        <v>Claude J.S. Schimper</v>
      </c>
      <c r="O63" s="219">
        <v>453660</v>
      </c>
      <c r="P63" s="125">
        <f t="shared" si="48"/>
        <v>612232.31640000001</v>
      </c>
      <c r="Q63" s="311" t="s">
        <v>78</v>
      </c>
      <c r="R63" s="126" t="str">
        <f t="shared" si="56"/>
        <v>-</v>
      </c>
      <c r="S63" s="221">
        <v>479746</v>
      </c>
      <c r="T63" s="125">
        <f t="shared" si="57"/>
        <v>647436.41683999996</v>
      </c>
      <c r="U63" s="127">
        <f t="shared" si="49"/>
        <v>1.0575012123616805</v>
      </c>
      <c r="V63" s="128"/>
      <c r="W63" s="223" t="s">
        <v>78</v>
      </c>
      <c r="X63" s="129">
        <f t="shared" si="50"/>
        <v>0</v>
      </c>
      <c r="Y63" s="124">
        <f t="shared" si="58"/>
        <v>1259668.73324</v>
      </c>
      <c r="Z63" s="130">
        <f t="shared" si="59"/>
        <v>612232.31640000001</v>
      </c>
      <c r="AA63" s="221">
        <v>449123.4</v>
      </c>
      <c r="AB63" s="225">
        <v>548928.60000000009</v>
      </c>
      <c r="AC63" s="225" t="s">
        <v>78</v>
      </c>
      <c r="AD63" s="225" t="s">
        <v>78</v>
      </c>
      <c r="AE63" s="225" t="s">
        <v>78</v>
      </c>
      <c r="AF63" s="125">
        <f t="shared" si="51"/>
        <v>998052.00000000012</v>
      </c>
      <c r="AG63" s="127">
        <f t="shared" si="60"/>
        <v>2.2000000000000002</v>
      </c>
      <c r="AH63" s="128"/>
      <c r="AI63" s="223" t="s">
        <v>78</v>
      </c>
      <c r="AJ63" s="131">
        <f t="shared" si="52"/>
        <v>0</v>
      </c>
      <c r="AK63" s="368">
        <f t="shared" si="53"/>
        <v>1346911.09608</v>
      </c>
      <c r="AL63" s="375">
        <f t="shared" si="61"/>
        <v>2606579.82932</v>
      </c>
      <c r="AM63" s="376">
        <f t="shared" si="62"/>
        <v>612232.31640000001</v>
      </c>
      <c r="AN63" s="394">
        <v>129293</v>
      </c>
      <c r="AO63" s="395" t="s">
        <v>274</v>
      </c>
      <c r="AP63" s="396">
        <f t="shared" si="22"/>
        <v>174486.07522</v>
      </c>
      <c r="AQ63" s="397"/>
      <c r="AR63" s="401">
        <v>156583</v>
      </c>
      <c r="AS63" s="396">
        <f t="shared" si="23"/>
        <v>211315.02181999999</v>
      </c>
      <c r="AT63" s="397"/>
      <c r="AU63" s="124">
        <f t="shared" si="63"/>
        <v>2992380.9263599999</v>
      </c>
      <c r="AV63" s="126">
        <f t="shared" si="66"/>
        <v>998033.41344000003</v>
      </c>
      <c r="AW63" s="425" t="s">
        <v>802</v>
      </c>
      <c r="AX63" s="403" t="s">
        <v>358</v>
      </c>
      <c r="AY63" s="419" t="s">
        <v>451</v>
      </c>
    </row>
    <row r="64" spans="1:51" ht="15" customHeight="1">
      <c r="A64" s="1" t="str">
        <f t="shared" si="17"/>
        <v>TSX:K_2022_COO</v>
      </c>
      <c r="B64" s="1" t="str">
        <f t="shared" si="0"/>
        <v>TSX:K_2022_NEO2</v>
      </c>
      <c r="C64" s="114" t="str">
        <f t="shared" si="65"/>
        <v>TSX:K</v>
      </c>
      <c r="D64" s="133" t="str">
        <f>_xll.ciqfunctions.udf.CIQ(C64,"IQ_Company_Name")</f>
        <v>Kinross Gold Corporation</v>
      </c>
      <c r="E64" s="114">
        <f t="shared" si="69"/>
        <v>2022</v>
      </c>
      <c r="F64" s="114" t="str">
        <f t="shared" si="46"/>
        <v>2022-01-01</v>
      </c>
      <c r="G64" s="330" t="str">
        <f t="shared" si="71"/>
        <v>2022-12-31</v>
      </c>
      <c r="H64" s="114">
        <f t="shared" si="54"/>
        <v>12</v>
      </c>
      <c r="I64" s="407" t="str">
        <f t="shared" si="68"/>
        <v>USD</v>
      </c>
      <c r="J64" s="461">
        <f t="shared" si="19"/>
        <v>1.30175</v>
      </c>
      <c r="K64" s="468" t="s">
        <v>277</v>
      </c>
      <c r="L64" s="465" t="str">
        <f t="shared" si="72"/>
        <v>NEO2</v>
      </c>
      <c r="M64" s="123" t="str">
        <f t="shared" si="72"/>
        <v>EVP &amp; COO</v>
      </c>
      <c r="N64" s="132" t="str">
        <f t="shared" si="72"/>
        <v>Claude J.S. Schimper</v>
      </c>
      <c r="O64" s="219">
        <v>421588</v>
      </c>
      <c r="P64" s="125">
        <f t="shared" si="48"/>
        <v>548802.179</v>
      </c>
      <c r="Q64" s="311" t="s">
        <v>78</v>
      </c>
      <c r="R64" s="126" t="str">
        <f t="shared" si="56"/>
        <v>-</v>
      </c>
      <c r="S64" s="221">
        <f>398239-75000*0.7383</f>
        <v>342866.5</v>
      </c>
      <c r="T64" s="125">
        <f t="shared" si="57"/>
        <v>446326.46637499996</v>
      </c>
      <c r="U64" s="127">
        <f t="shared" si="49"/>
        <v>0.8132738597872804</v>
      </c>
      <c r="V64" s="128"/>
      <c r="W64" s="223" t="s">
        <v>78</v>
      </c>
      <c r="X64" s="129">
        <f t="shared" si="50"/>
        <v>0</v>
      </c>
      <c r="Y64" s="124">
        <f t="shared" si="58"/>
        <v>995128.64537499996</v>
      </c>
      <c r="Z64" s="130">
        <f t="shared" si="59"/>
        <v>548802.179</v>
      </c>
      <c r="AA64" s="221">
        <v>398682</v>
      </c>
      <c r="AB64" s="225">
        <v>487278.00000000006</v>
      </c>
      <c r="AC64" s="225" t="s">
        <v>78</v>
      </c>
      <c r="AD64" s="225" t="s">
        <v>78</v>
      </c>
      <c r="AE64" s="225" t="s">
        <v>78</v>
      </c>
      <c r="AF64" s="125">
        <f t="shared" si="51"/>
        <v>885960</v>
      </c>
      <c r="AG64" s="127">
        <f t="shared" si="60"/>
        <v>2.1014829644107516</v>
      </c>
      <c r="AH64" s="128"/>
      <c r="AI64" s="223" t="s">
        <v>78</v>
      </c>
      <c r="AJ64" s="131">
        <f t="shared" si="52"/>
        <v>0</v>
      </c>
      <c r="AK64" s="368">
        <f t="shared" si="53"/>
        <v>1153298.43</v>
      </c>
      <c r="AL64" s="375">
        <f t="shared" si="61"/>
        <v>2148427.075375</v>
      </c>
      <c r="AM64" s="376">
        <f t="shared" si="62"/>
        <v>548802.179</v>
      </c>
      <c r="AN64" s="394">
        <v>120113</v>
      </c>
      <c r="AO64" s="395" t="s">
        <v>274</v>
      </c>
      <c r="AP64" s="396">
        <f t="shared" si="22"/>
        <v>156357.09774999999</v>
      </c>
      <c r="AQ64" s="397"/>
      <c r="AR64" s="401">
        <v>859348</v>
      </c>
      <c r="AS64" s="396">
        <f t="shared" si="23"/>
        <v>1118656.2590000001</v>
      </c>
      <c r="AT64" s="397"/>
      <c r="AU64" s="124">
        <f t="shared" si="63"/>
        <v>3423440.4321250003</v>
      </c>
      <c r="AV64" s="126">
        <f t="shared" si="66"/>
        <v>1823815.53575</v>
      </c>
      <c r="AW64" s="353" t="s">
        <v>357</v>
      </c>
      <c r="AX64" s="403" t="s">
        <v>358</v>
      </c>
      <c r="AY64" s="419" t="s">
        <v>451</v>
      </c>
    </row>
    <row r="65" spans="1:51" ht="15" customHeight="1">
      <c r="A65" s="1" t="str">
        <f t="shared" si="17"/>
        <v>TSX:K_2024_Tech</v>
      </c>
      <c r="B65" s="1" t="str">
        <f t="shared" si="0"/>
        <v>TSX:K_2024_NEO3</v>
      </c>
      <c r="C65" s="114" t="str">
        <f t="shared" si="65"/>
        <v>TSX:K</v>
      </c>
      <c r="D65" s="133" t="str">
        <f>_xll.ciqfunctions.udf.CIQ(C65,"IQ_Company_Name")</f>
        <v>Kinross Gold Corporation</v>
      </c>
      <c r="E65" s="114">
        <f t="shared" si="69"/>
        <v>2024</v>
      </c>
      <c r="F65" s="114" t="str">
        <f t="shared" si="46"/>
        <v>2024-01-01</v>
      </c>
      <c r="G65" s="330" t="str">
        <f t="shared" si="71"/>
        <v>2024-12-31</v>
      </c>
      <c r="H65" s="114">
        <f t="shared" si="54"/>
        <v>12</v>
      </c>
      <c r="I65" s="407" t="str">
        <f t="shared" si="68"/>
        <v>USD</v>
      </c>
      <c r="J65" s="461">
        <f t="shared" si="19"/>
        <v>1.3701700000000001</v>
      </c>
      <c r="K65" s="468" t="s">
        <v>469</v>
      </c>
      <c r="L65" s="464" t="s">
        <v>109</v>
      </c>
      <c r="M65" s="217" t="s">
        <v>354</v>
      </c>
      <c r="N65" s="218" t="s">
        <v>351</v>
      </c>
      <c r="O65" s="219">
        <v>354450</v>
      </c>
      <c r="P65" s="125">
        <f t="shared" si="48"/>
        <v>485656.75650000002</v>
      </c>
      <c r="Q65" s="311" t="s">
        <v>78</v>
      </c>
      <c r="R65" s="442">
        <v>535000</v>
      </c>
      <c r="S65" s="221">
        <v>338943</v>
      </c>
      <c r="T65" s="125">
        <f t="shared" si="57"/>
        <v>464409.53031000006</v>
      </c>
      <c r="U65" s="127">
        <f t="shared" si="49"/>
        <v>0.95625052898857399</v>
      </c>
      <c r="V65" s="128">
        <f>IFERROR(AVERAGE(U65:U67),"N/A")</f>
        <v>0.95625052898857399</v>
      </c>
      <c r="W65" s="223">
        <v>0.75</v>
      </c>
      <c r="X65" s="129">
        <f t="shared" si="50"/>
        <v>364242.56737499998</v>
      </c>
      <c r="Y65" s="124">
        <f t="shared" si="58"/>
        <v>950066.28681000008</v>
      </c>
      <c r="Z65" s="130">
        <f t="shared" si="59"/>
        <v>849899.323875</v>
      </c>
      <c r="AA65" s="221">
        <v>338145.3</v>
      </c>
      <c r="AB65" s="225">
        <v>413288.7</v>
      </c>
      <c r="AC65" s="225" t="s">
        <v>78</v>
      </c>
      <c r="AD65" s="225" t="s">
        <v>78</v>
      </c>
      <c r="AE65" s="225" t="s">
        <v>78</v>
      </c>
      <c r="AF65" s="125">
        <f t="shared" si="51"/>
        <v>751434</v>
      </c>
      <c r="AG65" s="127">
        <f t="shared" si="60"/>
        <v>2.12</v>
      </c>
      <c r="AH65" s="128">
        <f>IFERROR(AVERAGE(AG65:AG67),"N/A")</f>
        <v>2.12</v>
      </c>
      <c r="AI65" s="223" t="s">
        <v>78</v>
      </c>
      <c r="AJ65" s="131">
        <f t="shared" si="52"/>
        <v>1029592.3237800001</v>
      </c>
      <c r="AK65" s="368">
        <f t="shared" si="53"/>
        <v>1029592.3237800001</v>
      </c>
      <c r="AL65" s="375">
        <f t="shared" si="61"/>
        <v>1979658.6105900002</v>
      </c>
      <c r="AM65" s="376">
        <f t="shared" si="62"/>
        <v>1879491.647655</v>
      </c>
      <c r="AN65" s="394">
        <v>93044</v>
      </c>
      <c r="AO65" s="395" t="s">
        <v>274</v>
      </c>
      <c r="AP65" s="396">
        <f t="shared" si="22"/>
        <v>127486.09748000001</v>
      </c>
      <c r="AQ65" s="397">
        <f>IFERROR(AVERAGE(AP65:AP67),"N/A")</f>
        <v>127486.09748000001</v>
      </c>
      <c r="AR65" s="401">
        <v>89138</v>
      </c>
      <c r="AS65" s="396">
        <f t="shared" si="23"/>
        <v>122134.21346000001</v>
      </c>
      <c r="AT65" s="397">
        <f>IFERROR(AVERAGE(AS65:AS67),"N/A")</f>
        <v>122134.21346000001</v>
      </c>
      <c r="AU65" s="124">
        <f t="shared" si="63"/>
        <v>2229278.9215300004</v>
      </c>
      <c r="AV65" s="126">
        <f t="shared" si="66"/>
        <v>2129111.9585950002</v>
      </c>
      <c r="AW65" s="353" t="s">
        <v>78</v>
      </c>
      <c r="AX65" s="403" t="s">
        <v>358</v>
      </c>
      <c r="AY65" s="419" t="s">
        <v>451</v>
      </c>
    </row>
    <row r="66" spans="1:51" ht="15" customHeight="1">
      <c r="A66" s="1" t="str">
        <f t="shared" si="17"/>
        <v>TSX:K_2023_Tech</v>
      </c>
      <c r="B66" s="1" t="str">
        <f t="shared" si="0"/>
        <v>TSX:K_2023_NEO3</v>
      </c>
      <c r="C66" s="114" t="str">
        <f t="shared" si="65"/>
        <v>TSX:K</v>
      </c>
      <c r="D66" s="133" t="str">
        <f>_xll.ciqfunctions.udf.CIQ(C66,"IQ_Company_Name")</f>
        <v>Kinross Gold Corporation</v>
      </c>
      <c r="E66" s="114">
        <f t="shared" si="69"/>
        <v>2023</v>
      </c>
      <c r="F66" s="114" t="str">
        <f t="shared" si="46"/>
        <v>2023-01-01</v>
      </c>
      <c r="G66" s="330" t="str">
        <f t="shared" si="71"/>
        <v>2023-12-31</v>
      </c>
      <c r="H66" s="114">
        <f t="shared" si="54"/>
        <v>12</v>
      </c>
      <c r="I66" s="407" t="str">
        <f t="shared" si="68"/>
        <v>USD</v>
      </c>
      <c r="J66" s="461">
        <f t="shared" si="19"/>
        <v>1.34954</v>
      </c>
      <c r="K66" s="468" t="s">
        <v>469</v>
      </c>
      <c r="L66" s="465" t="str">
        <f t="shared" ref="L66:N67" si="73">L65</f>
        <v>NEO3</v>
      </c>
      <c r="M66" s="123" t="str">
        <f t="shared" si="73"/>
        <v>SVP, Technical Services</v>
      </c>
      <c r="N66" s="132" t="str">
        <f t="shared" si="73"/>
        <v>William D. Dunford</v>
      </c>
      <c r="O66" s="219" t="s">
        <v>78</v>
      </c>
      <c r="P66" s="125" t="str">
        <f t="shared" si="48"/>
        <v>-</v>
      </c>
      <c r="Q66" s="311" t="s">
        <v>78</v>
      </c>
      <c r="R66" s="126" t="str">
        <f t="shared" si="56"/>
        <v>-</v>
      </c>
      <c r="S66" s="221"/>
      <c r="T66" s="125"/>
      <c r="U66" s="127" t="str">
        <f t="shared" si="49"/>
        <v>-</v>
      </c>
      <c r="V66" s="128"/>
      <c r="W66" s="223" t="s">
        <v>78</v>
      </c>
      <c r="X66" s="129" t="str">
        <f t="shared" si="50"/>
        <v>-</v>
      </c>
      <c r="Y66" s="124" t="str">
        <f t="shared" ref="Y66:Y76" si="74">IFERROR(IF(SUM(P66,T66)=0,"-",SUM(P66,T66)),"-")</f>
        <v>-</v>
      </c>
      <c r="Z66" s="130" t="str">
        <f t="shared" si="59"/>
        <v>-</v>
      </c>
      <c r="AA66" s="221" t="s">
        <v>78</v>
      </c>
      <c r="AB66" s="225" t="s">
        <v>78</v>
      </c>
      <c r="AC66" s="225" t="s">
        <v>78</v>
      </c>
      <c r="AD66" s="225" t="s">
        <v>78</v>
      </c>
      <c r="AE66" s="225" t="s">
        <v>78</v>
      </c>
      <c r="AF66" s="125" t="str">
        <f t="shared" si="51"/>
        <v>-</v>
      </c>
      <c r="AG66" s="127" t="str">
        <f t="shared" si="60"/>
        <v>-</v>
      </c>
      <c r="AH66" s="128"/>
      <c r="AI66" s="223" t="s">
        <v>78</v>
      </c>
      <c r="AJ66" s="131" t="str">
        <f t="shared" si="52"/>
        <v>-</v>
      </c>
      <c r="AK66" s="368" t="str">
        <f t="shared" si="53"/>
        <v>-</v>
      </c>
      <c r="AL66" s="375" t="str">
        <f t="shared" si="61"/>
        <v>-</v>
      </c>
      <c r="AM66" s="376" t="str">
        <f t="shared" si="62"/>
        <v>-</v>
      </c>
      <c r="AN66" s="394" t="s">
        <v>78</v>
      </c>
      <c r="AO66" s="395"/>
      <c r="AP66" s="396" t="str">
        <f t="shared" si="22"/>
        <v>-</v>
      </c>
      <c r="AQ66" s="397"/>
      <c r="AR66" s="401" t="s">
        <v>78</v>
      </c>
      <c r="AS66" s="396" t="str">
        <f t="shared" si="23"/>
        <v>-</v>
      </c>
      <c r="AT66" s="397"/>
      <c r="AU66" s="124"/>
      <c r="AV66" s="126"/>
      <c r="AW66" s="403" t="s">
        <v>452</v>
      </c>
      <c r="AX66" s="403" t="s">
        <v>358</v>
      </c>
      <c r="AY66" s="419" t="s">
        <v>451</v>
      </c>
    </row>
    <row r="67" spans="1:51" ht="15" customHeight="1">
      <c r="A67" s="1" t="str">
        <f t="shared" si="17"/>
        <v>TSX:K_2022_Tech</v>
      </c>
      <c r="B67" s="1" t="str">
        <f t="shared" si="0"/>
        <v>TSX:K_2022_NEO3</v>
      </c>
      <c r="C67" s="203" t="str">
        <f t="shared" si="65"/>
        <v>TSX:K</v>
      </c>
      <c r="D67" s="205" t="str">
        <f>_xll.ciqfunctions.udf.CIQ(C67,"IQ_Company_Name")</f>
        <v>Kinross Gold Corporation</v>
      </c>
      <c r="E67" s="204">
        <f t="shared" si="69"/>
        <v>2022</v>
      </c>
      <c r="F67" s="204" t="str">
        <f t="shared" si="46"/>
        <v>2022-01-01</v>
      </c>
      <c r="G67" s="331" t="str">
        <f t="shared" si="71"/>
        <v>2022-12-31</v>
      </c>
      <c r="H67" s="204">
        <f t="shared" si="54"/>
        <v>12</v>
      </c>
      <c r="I67" s="408" t="str">
        <f t="shared" si="68"/>
        <v>USD</v>
      </c>
      <c r="J67" s="463">
        <f t="shared" si="19"/>
        <v>1.30175</v>
      </c>
      <c r="K67" s="470" t="s">
        <v>469</v>
      </c>
      <c r="L67" s="466" t="str">
        <f t="shared" si="73"/>
        <v>NEO3</v>
      </c>
      <c r="M67" s="206" t="str">
        <f t="shared" si="73"/>
        <v>SVP, Technical Services</v>
      </c>
      <c r="N67" s="207" t="str">
        <f t="shared" si="73"/>
        <v>William D. Dunford</v>
      </c>
      <c r="O67" s="220"/>
      <c r="P67" s="209"/>
      <c r="Q67" s="312"/>
      <c r="R67" s="329"/>
      <c r="S67" s="222"/>
      <c r="T67" s="209"/>
      <c r="U67" s="211"/>
      <c r="V67" s="212"/>
      <c r="W67" s="224"/>
      <c r="X67" s="213"/>
      <c r="Y67" s="208"/>
      <c r="Z67" s="214"/>
      <c r="AA67" s="222"/>
      <c r="AB67" s="226"/>
      <c r="AC67" s="226"/>
      <c r="AD67" s="226"/>
      <c r="AE67" s="226"/>
      <c r="AF67" s="420"/>
      <c r="AG67" s="211"/>
      <c r="AH67" s="212"/>
      <c r="AI67" s="224"/>
      <c r="AJ67" s="215"/>
      <c r="AK67" s="369"/>
      <c r="AL67" s="377"/>
      <c r="AM67" s="378"/>
      <c r="AN67" s="398" t="s">
        <v>78</v>
      </c>
      <c r="AO67" s="399"/>
      <c r="AP67" s="396" t="str">
        <f t="shared" si="22"/>
        <v>-</v>
      </c>
      <c r="AQ67" s="400"/>
      <c r="AR67" s="402" t="s">
        <v>78</v>
      </c>
      <c r="AS67" s="396" t="str">
        <f t="shared" si="23"/>
        <v>-</v>
      </c>
      <c r="AT67" s="400"/>
      <c r="AU67" s="208"/>
      <c r="AV67" s="210"/>
      <c r="AW67" s="354"/>
      <c r="AX67" s="405" t="s">
        <v>358</v>
      </c>
      <c r="AY67" s="419" t="s">
        <v>451</v>
      </c>
    </row>
    <row r="68" spans="1:51" ht="15" customHeight="1">
      <c r="A68" s="1" t="str">
        <f t="shared" si="17"/>
        <v>TSX:LUN_2024_</v>
      </c>
      <c r="B68" s="1" t="str">
        <f t="shared" si="0"/>
        <v>TSX:LUN_2024_CEO</v>
      </c>
      <c r="C68" s="216" t="str">
        <f>D6</f>
        <v>TSX:LUN</v>
      </c>
      <c r="D68" s="133" t="str">
        <f>_xll.ciqfunctions.udf.CIQ(C68,"IQ_Company_Name")</f>
        <v>Lundin Mining Corporation</v>
      </c>
      <c r="E68" s="328">
        <f>$F$9</f>
        <v>2024</v>
      </c>
      <c r="F68" s="330" t="str">
        <f t="shared" si="46"/>
        <v>2024-01-01</v>
      </c>
      <c r="G68" s="330" t="str">
        <f t="shared" si="71"/>
        <v>2024-12-31</v>
      </c>
      <c r="H68" s="114">
        <f t="shared" si="54"/>
        <v>12</v>
      </c>
      <c r="I68" s="328" t="s">
        <v>297</v>
      </c>
      <c r="J68" s="461">
        <f t="shared" si="19"/>
        <v>1.3701700000000001</v>
      </c>
      <c r="K68" s="468"/>
      <c r="L68" s="464" t="s">
        <v>79</v>
      </c>
      <c r="M68" s="217" t="s">
        <v>272</v>
      </c>
      <c r="N68" s="218" t="s">
        <v>359</v>
      </c>
      <c r="O68" s="219">
        <v>620620</v>
      </c>
      <c r="P68" s="443">
        <v>850000</v>
      </c>
      <c r="Q68" s="311" t="s">
        <v>78</v>
      </c>
      <c r="R68" s="442">
        <v>850000</v>
      </c>
      <c r="S68" s="221">
        <v>1463932</v>
      </c>
      <c r="T68" s="125">
        <f>IFERROR(S68*(12/$H68)*$J68,"-")</f>
        <v>2005835.7084400002</v>
      </c>
      <c r="U68" s="127">
        <f t="shared" si="49"/>
        <v>2.3598067158117648</v>
      </c>
      <c r="V68" s="128">
        <f>IFERROR(AVERAGE(U68:U70),"N/A")</f>
        <v>1.6330075070077759</v>
      </c>
      <c r="W68" s="223">
        <v>1.2</v>
      </c>
      <c r="X68" s="129">
        <f t="shared" si="50"/>
        <v>1020000</v>
      </c>
      <c r="Y68" s="124">
        <f t="shared" si="74"/>
        <v>2855835.7084400002</v>
      </c>
      <c r="Z68" s="130">
        <f t="shared" si="59"/>
        <v>1870000</v>
      </c>
      <c r="AA68" s="221" t="s">
        <v>78</v>
      </c>
      <c r="AB68" s="225">
        <f>915876</f>
        <v>915876</v>
      </c>
      <c r="AC68" s="225">
        <v>916534</v>
      </c>
      <c r="AD68" s="225" t="s">
        <v>78</v>
      </c>
      <c r="AE68" s="225" t="s">
        <v>78</v>
      </c>
      <c r="AF68" s="125">
        <f t="shared" si="51"/>
        <v>1832410</v>
      </c>
      <c r="AG68" s="127">
        <f t="shared" si="60"/>
        <v>2.9537802467058825</v>
      </c>
      <c r="AH68" s="128">
        <f>IFERROR(AVERAGE(AG68:AG70),"N/A")</f>
        <v>3.5038333223657778</v>
      </c>
      <c r="AI68" s="223">
        <v>3</v>
      </c>
      <c r="AJ68" s="131">
        <f t="shared" si="52"/>
        <v>2550000</v>
      </c>
      <c r="AK68" s="368">
        <f t="shared" ref="AK68:AK99" si="75">IFERROR($AF68*$J68,"-")</f>
        <v>2510713.2097</v>
      </c>
      <c r="AL68" s="375">
        <f t="shared" si="61"/>
        <v>5366548.9181399997</v>
      </c>
      <c r="AM68" s="376">
        <f t="shared" si="62"/>
        <v>4420000</v>
      </c>
      <c r="AN68" s="394" t="s">
        <v>801</v>
      </c>
      <c r="AO68" s="395" t="s">
        <v>801</v>
      </c>
      <c r="AP68" s="396" t="str">
        <f t="shared" si="22"/>
        <v>-</v>
      </c>
      <c r="AQ68" s="409" t="str">
        <f>IFERROR(AVERAGE(AP68:AP70),"N/A")</f>
        <v>N/A</v>
      </c>
      <c r="AR68" s="401">
        <v>33403</v>
      </c>
      <c r="AS68" s="396">
        <f t="shared" si="23"/>
        <v>45767.788510000006</v>
      </c>
      <c r="AT68" s="409">
        <f>IFERROR(AVERAGE(AS68:AS70),"N/A")</f>
        <v>44137.124945000003</v>
      </c>
      <c r="AU68" s="386">
        <f>IFERROR(IF(SUM(AL68,AP68,AS68)=0,"-",SUM(AL68,AP68,AS68)),"-")</f>
        <v>5412316.7066500001</v>
      </c>
      <c r="AV68" s="387">
        <f t="shared" si="64"/>
        <v>4465767.7885100003</v>
      </c>
      <c r="AW68" s="353" t="s">
        <v>376</v>
      </c>
      <c r="AX68" s="418" t="s">
        <v>358</v>
      </c>
      <c r="AY68" s="404" t="s">
        <v>451</v>
      </c>
    </row>
    <row r="69" spans="1:51" ht="15" customHeight="1">
      <c r="A69" s="1" t="str">
        <f t="shared" si="17"/>
        <v>TSX:LUN_2023_</v>
      </c>
      <c r="B69" s="1" t="str">
        <f t="shared" si="0"/>
        <v>TSX:LUN_2023_CEO</v>
      </c>
      <c r="C69" s="114" t="str">
        <f>C68</f>
        <v>TSX:LUN</v>
      </c>
      <c r="D69" s="133" t="str">
        <f>_xll.ciqfunctions.udf.CIQ(C69,"IQ_Company_Name")</f>
        <v>Lundin Mining Corporation</v>
      </c>
      <c r="E69" s="328">
        <f>$F$10</f>
        <v>2023</v>
      </c>
      <c r="F69" s="330" t="str">
        <f t="shared" si="46"/>
        <v>2023-01-01</v>
      </c>
      <c r="G69" s="330" t="str">
        <f t="shared" si="71"/>
        <v>2023-12-31</v>
      </c>
      <c r="H69" s="114">
        <f t="shared" si="54"/>
        <v>12</v>
      </c>
      <c r="I69" s="407" t="str">
        <f t="shared" ref="I69:I127" si="76">I68</f>
        <v>USD</v>
      </c>
      <c r="J69" s="461">
        <f t="shared" si="19"/>
        <v>1.34954</v>
      </c>
      <c r="K69" s="468"/>
      <c r="L69" s="465" t="str">
        <f t="shared" ref="L69:N70" si="77">L68</f>
        <v>CEO</v>
      </c>
      <c r="M69" s="123" t="str">
        <f t="shared" si="77"/>
        <v>President &amp; CEO</v>
      </c>
      <c r="N69" s="132" t="str">
        <f t="shared" si="77"/>
        <v>Jack Lundin</v>
      </c>
      <c r="O69" s="219">
        <v>358198</v>
      </c>
      <c r="P69" s="125">
        <f t="shared" ref="P69:P131" si="78">IFERROR(O69*(12/$H69)*$J69,"-")</f>
        <v>483402.52892000001</v>
      </c>
      <c r="Q69" s="311" t="s">
        <v>78</v>
      </c>
      <c r="R69" s="126" t="str">
        <f t="shared" ref="R69:R132" si="79">IFERROR(IF((Q69*$J69)=0,"-",(Q69*$J69)),"-")</f>
        <v>-</v>
      </c>
      <c r="S69" s="221">
        <v>324602</v>
      </c>
      <c r="T69" s="125">
        <f t="shared" ref="T69:T127" si="80">IFERROR(S69*(12/$H69)*$J69,"-")</f>
        <v>438063.38308</v>
      </c>
      <c r="U69" s="127">
        <f t="shared" si="49"/>
        <v>0.90620829820378668</v>
      </c>
      <c r="V69" s="128"/>
      <c r="W69" s="223" t="s">
        <v>78</v>
      </c>
      <c r="X69" s="129">
        <f t="shared" si="50"/>
        <v>0</v>
      </c>
      <c r="Y69" s="124">
        <f t="shared" si="74"/>
        <v>921465.91200000001</v>
      </c>
      <c r="Z69" s="130">
        <f t="shared" si="59"/>
        <v>483402.52892000001</v>
      </c>
      <c r="AA69" s="426">
        <f>1092544*0.33</f>
        <v>360539.52</v>
      </c>
      <c r="AB69" s="426">
        <f>1092544*0.67</f>
        <v>732004.4800000001</v>
      </c>
      <c r="AC69" s="225">
        <v>359550</v>
      </c>
      <c r="AD69" s="225" t="s">
        <v>78</v>
      </c>
      <c r="AE69" s="225" t="s">
        <v>78</v>
      </c>
      <c r="AF69" s="125">
        <f t="shared" si="51"/>
        <v>1452094</v>
      </c>
      <c r="AG69" s="127">
        <f t="shared" si="60"/>
        <v>4.0538863980256732</v>
      </c>
      <c r="AH69" s="128"/>
      <c r="AI69" s="223" t="s">
        <v>78</v>
      </c>
      <c r="AJ69" s="131">
        <f t="shared" si="52"/>
        <v>0</v>
      </c>
      <c r="AK69" s="368">
        <f t="shared" si="75"/>
        <v>1959658.93676</v>
      </c>
      <c r="AL69" s="375">
        <f t="shared" si="61"/>
        <v>2881124.84876</v>
      </c>
      <c r="AM69" s="376">
        <f t="shared" si="62"/>
        <v>483402.52892000001</v>
      </c>
      <c r="AN69" s="394" t="s">
        <v>801</v>
      </c>
      <c r="AO69" s="395" t="s">
        <v>801</v>
      </c>
      <c r="AP69" s="396" t="str">
        <f t="shared" si="22"/>
        <v>-</v>
      </c>
      <c r="AQ69" s="397"/>
      <c r="AR69" s="401">
        <v>31497</v>
      </c>
      <c r="AS69" s="396">
        <f t="shared" si="23"/>
        <v>42506.461380000001</v>
      </c>
      <c r="AT69" s="397"/>
      <c r="AU69" s="388">
        <f>IFERROR(IF(SUM(AL69,AP69,AS69)=0,"-",SUM(AL69,AP69,AS69)),"-")</f>
        <v>2923631.3101400002</v>
      </c>
      <c r="AV69" s="389">
        <f t="shared" si="64"/>
        <v>525908.99030000006</v>
      </c>
      <c r="AW69" s="353" t="s">
        <v>367</v>
      </c>
      <c r="AX69" s="403" t="s">
        <v>358</v>
      </c>
      <c r="AY69" s="404" t="s">
        <v>451</v>
      </c>
    </row>
    <row r="70" spans="1:51" ht="15" customHeight="1">
      <c r="A70" s="1" t="str">
        <f t="shared" si="17"/>
        <v>TSX:LUN_2022_</v>
      </c>
      <c r="B70" s="1" t="str">
        <f t="shared" si="0"/>
        <v>TSX:LUN_2022_CEO</v>
      </c>
      <c r="C70" s="114" t="str">
        <f>C69</f>
        <v>TSX:LUN</v>
      </c>
      <c r="D70" s="133" t="str">
        <f>_xll.ciqfunctions.udf.CIQ(C70,"IQ_Company_Name")</f>
        <v>Lundin Mining Corporation</v>
      </c>
      <c r="E70" s="328">
        <f>$F$11</f>
        <v>2022</v>
      </c>
      <c r="F70" s="114" t="str">
        <f t="shared" si="46"/>
        <v>2022-01-01</v>
      </c>
      <c r="G70" s="330" t="str">
        <f t="shared" si="71"/>
        <v>2022-12-31</v>
      </c>
      <c r="H70" s="114">
        <f t="shared" si="54"/>
        <v>12</v>
      </c>
      <c r="I70" s="407" t="str">
        <f t="shared" si="76"/>
        <v>USD</v>
      </c>
      <c r="J70" s="461">
        <f t="shared" si="19"/>
        <v>1.30175</v>
      </c>
      <c r="K70" s="468"/>
      <c r="L70" s="465" t="str">
        <f t="shared" si="77"/>
        <v>CEO</v>
      </c>
      <c r="M70" s="123" t="str">
        <f t="shared" si="77"/>
        <v>President &amp; CEO</v>
      </c>
      <c r="N70" s="132" t="str">
        <f t="shared" si="77"/>
        <v>Jack Lundin</v>
      </c>
      <c r="O70" s="219" t="s">
        <v>78</v>
      </c>
      <c r="P70" s="125" t="str">
        <f t="shared" si="78"/>
        <v>-</v>
      </c>
      <c r="Q70" s="311" t="s">
        <v>78</v>
      </c>
      <c r="R70" s="126" t="str">
        <f t="shared" si="79"/>
        <v>-</v>
      </c>
      <c r="S70" s="221" t="s">
        <v>78</v>
      </c>
      <c r="T70" s="125" t="str">
        <f t="shared" si="80"/>
        <v>-</v>
      </c>
      <c r="U70" s="127" t="str">
        <f t="shared" si="49"/>
        <v>-</v>
      </c>
      <c r="V70" s="128"/>
      <c r="W70" s="223" t="s">
        <v>78</v>
      </c>
      <c r="X70" s="129" t="str">
        <f t="shared" si="50"/>
        <v>-</v>
      </c>
      <c r="Y70" s="124" t="str">
        <f t="shared" si="74"/>
        <v>-</v>
      </c>
      <c r="Z70" s="130" t="str">
        <f t="shared" si="59"/>
        <v>-</v>
      </c>
      <c r="AA70" s="221" t="s">
        <v>78</v>
      </c>
      <c r="AB70" s="225" t="s">
        <v>78</v>
      </c>
      <c r="AC70" s="225" t="s">
        <v>78</v>
      </c>
      <c r="AD70" s="225" t="s">
        <v>78</v>
      </c>
      <c r="AE70" s="225" t="s">
        <v>78</v>
      </c>
      <c r="AF70" s="125" t="str">
        <f t="shared" si="51"/>
        <v>-</v>
      </c>
      <c r="AG70" s="127" t="str">
        <f t="shared" si="60"/>
        <v>-</v>
      </c>
      <c r="AH70" s="128"/>
      <c r="AI70" s="223" t="s">
        <v>78</v>
      </c>
      <c r="AJ70" s="131" t="str">
        <f t="shared" si="52"/>
        <v>-</v>
      </c>
      <c r="AK70" s="368" t="str">
        <f t="shared" si="75"/>
        <v>-</v>
      </c>
      <c r="AL70" s="375" t="str">
        <f t="shared" si="61"/>
        <v>-</v>
      </c>
      <c r="AM70" s="376" t="str">
        <f t="shared" si="62"/>
        <v>-</v>
      </c>
      <c r="AN70" s="394" t="s">
        <v>78</v>
      </c>
      <c r="AO70" s="395" t="s">
        <v>78</v>
      </c>
      <c r="AP70" s="396" t="str">
        <f t="shared" si="22"/>
        <v>-</v>
      </c>
      <c r="AQ70" s="397"/>
      <c r="AR70" s="401" t="s">
        <v>78</v>
      </c>
      <c r="AS70" s="396" t="str">
        <f t="shared" si="23"/>
        <v>-</v>
      </c>
      <c r="AT70" s="397"/>
      <c r="AU70" s="388" t="str">
        <f>IFERROR(IF(SUM(AL70,AP70,AS70)=0,"-",SUM(AL70,AP70,AS70)),"-")</f>
        <v>-</v>
      </c>
      <c r="AV70" s="389" t="str">
        <f t="shared" si="64"/>
        <v>-</v>
      </c>
      <c r="AW70" s="353" t="s">
        <v>375</v>
      </c>
      <c r="AX70" s="403" t="s">
        <v>358</v>
      </c>
      <c r="AY70" s="404" t="s">
        <v>451</v>
      </c>
    </row>
    <row r="71" spans="1:51" ht="15" customHeight="1">
      <c r="A71" s="1" t="str">
        <f t="shared" si="17"/>
        <v>TSX:LUN_2024_</v>
      </c>
      <c r="B71" s="1" t="str">
        <f t="shared" si="0"/>
        <v>TSX:LUN_2024_CFO</v>
      </c>
      <c r="C71" s="114" t="str">
        <f>C70</f>
        <v>TSX:LUN</v>
      </c>
      <c r="D71" s="133" t="str">
        <f>_xll.ciqfunctions.udf.CIQ(C71,"IQ_Company_Name")</f>
        <v>Lundin Mining Corporation</v>
      </c>
      <c r="E71" s="114">
        <f t="shared" si="69"/>
        <v>2024</v>
      </c>
      <c r="F71" s="114" t="str">
        <f t="shared" si="46"/>
        <v>2024-01-01</v>
      </c>
      <c r="G71" s="330" t="str">
        <f t="shared" si="71"/>
        <v>2024-12-31</v>
      </c>
      <c r="H71" s="114">
        <f t="shared" si="54"/>
        <v>12</v>
      </c>
      <c r="I71" s="407" t="str">
        <f t="shared" si="76"/>
        <v>USD</v>
      </c>
      <c r="J71" s="461">
        <f t="shared" si="19"/>
        <v>1.3701700000000001</v>
      </c>
      <c r="K71" s="468"/>
      <c r="L71" s="464" t="s">
        <v>106</v>
      </c>
      <c r="M71" s="217" t="s">
        <v>106</v>
      </c>
      <c r="N71" s="218" t="s">
        <v>360</v>
      </c>
      <c r="O71" s="219">
        <v>529352</v>
      </c>
      <c r="P71" s="443">
        <v>725000</v>
      </c>
      <c r="Q71" s="311" t="s">
        <v>78</v>
      </c>
      <c r="R71" s="442">
        <v>758000</v>
      </c>
      <c r="S71" s="221">
        <v>1009055</v>
      </c>
      <c r="T71" s="125">
        <f t="shared" si="80"/>
        <v>1382576.8893500001</v>
      </c>
      <c r="U71" s="127">
        <f t="shared" si="49"/>
        <v>1.907002606</v>
      </c>
      <c r="V71" s="128">
        <f>IFERROR(AVERAGE(U71:U73),"N/A")</f>
        <v>1.085287528607257</v>
      </c>
      <c r="W71" s="223">
        <v>0.8</v>
      </c>
      <c r="X71" s="129">
        <f t="shared" si="50"/>
        <v>580000</v>
      </c>
      <c r="Y71" s="124">
        <f t="shared" si="74"/>
        <v>2107576.8893499998</v>
      </c>
      <c r="Z71" s="130">
        <f t="shared" si="59"/>
        <v>1305000</v>
      </c>
      <c r="AA71" s="221" t="s">
        <v>78</v>
      </c>
      <c r="AB71" s="225">
        <f>435613</f>
        <v>435613</v>
      </c>
      <c r="AC71" s="225">
        <v>435910</v>
      </c>
      <c r="AD71" s="225" t="s">
        <v>78</v>
      </c>
      <c r="AE71" s="225" t="s">
        <v>78</v>
      </c>
      <c r="AF71" s="125">
        <f t="shared" si="51"/>
        <v>871523</v>
      </c>
      <c r="AG71" s="127">
        <f t="shared" si="60"/>
        <v>1.6470823019448275</v>
      </c>
      <c r="AH71" s="128">
        <f>IFERROR(AVERAGE(AG71:AG73),"N/A")</f>
        <v>1.5817898742619654</v>
      </c>
      <c r="AI71" s="223" t="s">
        <v>78</v>
      </c>
      <c r="AJ71" s="131">
        <f t="shared" si="52"/>
        <v>1146797.658839925</v>
      </c>
      <c r="AK71" s="368">
        <f t="shared" si="75"/>
        <v>1194134.66891</v>
      </c>
      <c r="AL71" s="375">
        <f t="shared" si="61"/>
        <v>3301711.5582599998</v>
      </c>
      <c r="AM71" s="376">
        <f t="shared" si="62"/>
        <v>2451797.6588399252</v>
      </c>
      <c r="AN71" s="394" t="s">
        <v>801</v>
      </c>
      <c r="AO71" s="395" t="s">
        <v>801</v>
      </c>
      <c r="AP71" s="396" t="str">
        <f t="shared" si="22"/>
        <v>-</v>
      </c>
      <c r="AQ71" s="397" t="str">
        <f>IFERROR(AVERAGE(AP71:AP73),"N/A")</f>
        <v>N/A</v>
      </c>
      <c r="AR71" s="401">
        <v>102270</v>
      </c>
      <c r="AS71" s="396">
        <f t="shared" si="23"/>
        <v>140127.28590000002</v>
      </c>
      <c r="AT71" s="397">
        <f>IFERROR(AVERAGE(AS71:AS73),"N/A")</f>
        <v>103202.93799217632</v>
      </c>
      <c r="AU71" s="388">
        <f>IFERROR(IF(SUM(AL71,AP71,AS71)=0,"-",SUM(AL71,AP71,AS71)),"-")</f>
        <v>3441838.8441599999</v>
      </c>
      <c r="AV71" s="389">
        <f t="shared" si="64"/>
        <v>2591924.9447399252</v>
      </c>
      <c r="AW71" s="353" t="s">
        <v>78</v>
      </c>
      <c r="AX71" s="403" t="s">
        <v>358</v>
      </c>
      <c r="AY71" s="404" t="s">
        <v>451</v>
      </c>
    </row>
    <row r="72" spans="1:51" ht="15" customHeight="1">
      <c r="A72" s="1" t="str">
        <f t="shared" si="17"/>
        <v>TSX:LUN_2023_</v>
      </c>
      <c r="B72" s="1" t="str">
        <f t="shared" si="0"/>
        <v>TSX:LUN_2023_CFO</v>
      </c>
      <c r="C72" s="114" t="str">
        <f>C71</f>
        <v>TSX:LUN</v>
      </c>
      <c r="D72" s="133" t="str">
        <f>_xll.ciqfunctions.udf.CIQ(C72,"IQ_Company_Name")</f>
        <v>Lundin Mining Corporation</v>
      </c>
      <c r="E72" s="114">
        <f t="shared" si="69"/>
        <v>2023</v>
      </c>
      <c r="F72" s="114" t="str">
        <f t="shared" si="46"/>
        <v>2023-01-01</v>
      </c>
      <c r="G72" s="330" t="str">
        <f t="shared" si="71"/>
        <v>2023-12-31</v>
      </c>
      <c r="H72" s="114">
        <f t="shared" si="54"/>
        <v>12</v>
      </c>
      <c r="I72" s="407" t="str">
        <f t="shared" si="76"/>
        <v>USD</v>
      </c>
      <c r="J72" s="461">
        <f t="shared" si="19"/>
        <v>1.34954</v>
      </c>
      <c r="K72" s="468"/>
      <c r="L72" s="465" t="str">
        <f t="shared" ref="L72:N73" si="81">L71</f>
        <v>CFO</v>
      </c>
      <c r="M72" s="123" t="str">
        <f t="shared" si="81"/>
        <v>CFO</v>
      </c>
      <c r="N72" s="132" t="str">
        <f t="shared" si="81"/>
        <v>Teitur Poulsen</v>
      </c>
      <c r="O72" s="219">
        <v>518770</v>
      </c>
      <c r="P72" s="125">
        <f t="shared" si="78"/>
        <v>700100.86580000003</v>
      </c>
      <c r="Q72" s="311" t="s">
        <v>78</v>
      </c>
      <c r="R72" s="126" t="str">
        <f t="shared" si="79"/>
        <v>-</v>
      </c>
      <c r="S72" s="221">
        <v>463188</v>
      </c>
      <c r="T72" s="125">
        <f t="shared" si="80"/>
        <v>625090.73352000001</v>
      </c>
      <c r="U72" s="127">
        <f t="shared" si="49"/>
        <v>0.89285810667540522</v>
      </c>
      <c r="V72" s="128"/>
      <c r="W72" s="223" t="s">
        <v>78</v>
      </c>
      <c r="X72" s="129">
        <f t="shared" si="50"/>
        <v>0</v>
      </c>
      <c r="Y72" s="124">
        <f t="shared" si="74"/>
        <v>1325191.59932</v>
      </c>
      <c r="Z72" s="130">
        <f t="shared" si="59"/>
        <v>700100.86580000003</v>
      </c>
      <c r="AA72" s="426">
        <f>0.33*621702</f>
        <v>205161.66</v>
      </c>
      <c r="AB72" s="426">
        <f>0.67*621702</f>
        <v>416540.34</v>
      </c>
      <c r="AC72" s="225">
        <v>204450</v>
      </c>
      <c r="AD72" s="225" t="s">
        <v>78</v>
      </c>
      <c r="AE72" s="225" t="s">
        <v>78</v>
      </c>
      <c r="AF72" s="125">
        <f t="shared" si="51"/>
        <v>826152</v>
      </c>
      <c r="AG72" s="127">
        <f t="shared" si="60"/>
        <v>1.5925207702835553</v>
      </c>
      <c r="AH72" s="128"/>
      <c r="AI72" s="223" t="s">
        <v>78</v>
      </c>
      <c r="AJ72" s="131">
        <f t="shared" si="52"/>
        <v>0</v>
      </c>
      <c r="AK72" s="368">
        <f t="shared" si="75"/>
        <v>1114925.1700800001</v>
      </c>
      <c r="AL72" s="375">
        <f t="shared" si="61"/>
        <v>2440116.7694000001</v>
      </c>
      <c r="AM72" s="376">
        <f t="shared" si="62"/>
        <v>700100.86580000003</v>
      </c>
      <c r="AN72" s="394" t="s">
        <v>801</v>
      </c>
      <c r="AO72" s="395" t="s">
        <v>801</v>
      </c>
      <c r="AP72" s="396" t="str">
        <f t="shared" si="22"/>
        <v>-</v>
      </c>
      <c r="AQ72" s="397"/>
      <c r="AR72" s="401">
        <v>81339</v>
      </c>
      <c r="AS72" s="396">
        <f t="shared" si="23"/>
        <v>109770.23406</v>
      </c>
      <c r="AT72" s="397"/>
      <c r="AU72" s="388">
        <f>IFERROR(IF(SUM(AL72,AP72,AS72)=0,"-",SUM(AL72,AP72,AS72)),"-")</f>
        <v>2549887.0034600003</v>
      </c>
      <c r="AV72" s="389">
        <f t="shared" si="64"/>
        <v>809871.09986000007</v>
      </c>
      <c r="AW72" s="353" t="s">
        <v>78</v>
      </c>
      <c r="AX72" s="403" t="s">
        <v>358</v>
      </c>
      <c r="AY72" s="404" t="s">
        <v>451</v>
      </c>
    </row>
    <row r="73" spans="1:51" ht="15" customHeight="1">
      <c r="A73" s="1" t="str">
        <f t="shared" si="17"/>
        <v>TSX:LUN_2022_</v>
      </c>
      <c r="B73" s="1" t="str">
        <f t="shared" si="0"/>
        <v>TSX:LUN_2022_CFO</v>
      </c>
      <c r="C73" s="114" t="str">
        <f t="shared" ref="C73:C132" si="82">C72</f>
        <v>TSX:LUN</v>
      </c>
      <c r="D73" s="133" t="str">
        <f>_xll.ciqfunctions.udf.CIQ(C73,"IQ_Company_Name")</f>
        <v>Lundin Mining Corporation</v>
      </c>
      <c r="E73" s="114">
        <f t="shared" si="69"/>
        <v>2022</v>
      </c>
      <c r="F73" s="448" t="s">
        <v>368</v>
      </c>
      <c r="G73" s="330" t="str">
        <f t="shared" si="71"/>
        <v>2022-12-31</v>
      </c>
      <c r="H73" s="114">
        <f t="shared" si="54"/>
        <v>3.9890109890109891</v>
      </c>
      <c r="I73" s="407" t="str">
        <f t="shared" si="76"/>
        <v>USD</v>
      </c>
      <c r="J73" s="461">
        <f t="shared" si="19"/>
        <v>1.30175</v>
      </c>
      <c r="K73" s="468"/>
      <c r="L73" s="465" t="str">
        <f t="shared" si="81"/>
        <v>CFO</v>
      </c>
      <c r="M73" s="123" t="str">
        <f t="shared" si="81"/>
        <v>CFO</v>
      </c>
      <c r="N73" s="132" t="str">
        <f t="shared" si="81"/>
        <v>Teitur Poulsen</v>
      </c>
      <c r="O73" s="219">
        <v>192190</v>
      </c>
      <c r="P73" s="125">
        <f t="shared" si="78"/>
        <v>752617.62834710744</v>
      </c>
      <c r="Q73" s="311" t="s">
        <v>78</v>
      </c>
      <c r="R73" s="126" t="str">
        <f t="shared" si="79"/>
        <v>-</v>
      </c>
      <c r="S73" s="221">
        <v>87639</v>
      </c>
      <c r="T73" s="125">
        <f t="shared" si="80"/>
        <v>343195.04828925617</v>
      </c>
      <c r="U73" s="127">
        <f t="shared" si="49"/>
        <v>0.45600187314636553</v>
      </c>
      <c r="V73" s="128"/>
      <c r="W73" s="223" t="s">
        <v>78</v>
      </c>
      <c r="X73" s="129">
        <f t="shared" si="50"/>
        <v>0</v>
      </c>
      <c r="Y73" s="124">
        <f t="shared" si="74"/>
        <v>1095812.6766363636</v>
      </c>
      <c r="Z73" s="130">
        <f t="shared" si="59"/>
        <v>752617.62834710744</v>
      </c>
      <c r="AA73" s="426">
        <v>663079.5</v>
      </c>
      <c r="AB73" s="422" t="s">
        <v>78</v>
      </c>
      <c r="AC73" s="422">
        <v>207492</v>
      </c>
      <c r="AD73" s="225" t="s">
        <v>78</v>
      </c>
      <c r="AE73" s="225" t="s">
        <v>78</v>
      </c>
      <c r="AF73" s="125">
        <f t="shared" si="51"/>
        <v>870571.5</v>
      </c>
      <c r="AG73" s="127">
        <f t="shared" si="60"/>
        <v>1.5057665505575126</v>
      </c>
      <c r="AH73" s="128"/>
      <c r="AI73" s="223" t="s">
        <v>78</v>
      </c>
      <c r="AJ73" s="131">
        <f t="shared" si="52"/>
        <v>0</v>
      </c>
      <c r="AK73" s="368">
        <f t="shared" si="75"/>
        <v>1133266.450125</v>
      </c>
      <c r="AL73" s="375">
        <f t="shared" si="61"/>
        <v>2229079.1267613638</v>
      </c>
      <c r="AM73" s="376">
        <f t="shared" si="62"/>
        <v>752617.62834710744</v>
      </c>
      <c r="AN73" s="394" t="s">
        <v>801</v>
      </c>
      <c r="AO73" s="395" t="s">
        <v>801</v>
      </c>
      <c r="AP73" s="396" t="str">
        <f t="shared" si="22"/>
        <v>-</v>
      </c>
      <c r="AQ73" s="397"/>
      <c r="AR73" s="401">
        <v>15248</v>
      </c>
      <c r="AS73" s="396">
        <f t="shared" si="23"/>
        <v>59711.294016528926</v>
      </c>
      <c r="AT73" s="397"/>
      <c r="AU73" s="388">
        <f t="shared" si="63"/>
        <v>2288790.4207778927</v>
      </c>
      <c r="AV73" s="389">
        <f t="shared" si="64"/>
        <v>812328.92236363632</v>
      </c>
      <c r="AW73" s="353" t="s">
        <v>374</v>
      </c>
      <c r="AX73" s="403" t="s">
        <v>358</v>
      </c>
      <c r="AY73" s="404" t="s">
        <v>451</v>
      </c>
    </row>
    <row r="74" spans="1:51" ht="15" customHeight="1">
      <c r="A74" s="1" t="str">
        <f t="shared" si="17"/>
        <v>TSX:LUN_2024_COO</v>
      </c>
      <c r="B74" s="1" t="str">
        <f t="shared" si="0"/>
        <v>TSX:LUN_2024_NEO1</v>
      </c>
      <c r="C74" s="114" t="str">
        <f t="shared" si="82"/>
        <v>TSX:LUN</v>
      </c>
      <c r="D74" s="133" t="str">
        <f>_xll.ciqfunctions.udf.CIQ(C74,"IQ_Company_Name")</f>
        <v>Lundin Mining Corporation</v>
      </c>
      <c r="E74" s="114">
        <f t="shared" si="69"/>
        <v>2024</v>
      </c>
      <c r="F74" s="330" t="str">
        <f t="shared" si="46"/>
        <v>2024-01-01</v>
      </c>
      <c r="G74" s="330" t="str">
        <f t="shared" si="71"/>
        <v>2024-12-31</v>
      </c>
      <c r="H74" s="114">
        <f t="shared" si="54"/>
        <v>12</v>
      </c>
      <c r="I74" s="407" t="str">
        <f t="shared" si="76"/>
        <v>USD</v>
      </c>
      <c r="J74" s="461">
        <f t="shared" si="19"/>
        <v>1.3701700000000001</v>
      </c>
      <c r="K74" s="468" t="s">
        <v>277</v>
      </c>
      <c r="L74" s="464" t="s">
        <v>107</v>
      </c>
      <c r="M74" s="217" t="s">
        <v>277</v>
      </c>
      <c r="N74" s="218" t="s">
        <v>361</v>
      </c>
      <c r="O74" s="219">
        <v>562287</v>
      </c>
      <c r="P74" s="443">
        <f>IFERROR(562287*(12/$H74)*$J74,"-")</f>
        <v>770428.77879000001</v>
      </c>
      <c r="Q74" s="311" t="s">
        <v>78</v>
      </c>
      <c r="R74" s="442">
        <f>IFERROR(IF((595462*$J74)=0,"-",(595462*$J74)),"-")</f>
        <v>815884.1685400001</v>
      </c>
      <c r="S74" s="221">
        <v>790576</v>
      </c>
      <c r="T74" s="125">
        <f t="shared" si="80"/>
        <v>1083223.51792</v>
      </c>
      <c r="U74" s="127">
        <f t="shared" si="49"/>
        <v>1.4060008500996821</v>
      </c>
      <c r="V74" s="128">
        <f>IFERROR(AVERAGE(U74:U76),"N/A")</f>
        <v>0.95688569381526711</v>
      </c>
      <c r="W74" s="223">
        <v>0.8</v>
      </c>
      <c r="X74" s="129">
        <f t="shared" si="50"/>
        <v>616343.02303200006</v>
      </c>
      <c r="Y74" s="124">
        <f t="shared" si="74"/>
        <v>1853652.2967099999</v>
      </c>
      <c r="Z74" s="130">
        <f t="shared" si="59"/>
        <v>1386771.8018220002</v>
      </c>
      <c r="AA74" s="221" t="s">
        <v>78</v>
      </c>
      <c r="AB74" s="221">
        <f>468351</f>
        <v>468351</v>
      </c>
      <c r="AC74" s="225">
        <v>468695</v>
      </c>
      <c r="AD74" s="225" t="s">
        <v>78</v>
      </c>
      <c r="AE74" s="225" t="s">
        <v>78</v>
      </c>
      <c r="AF74" s="125">
        <f t="shared" si="51"/>
        <v>937046</v>
      </c>
      <c r="AG74" s="127">
        <f t="shared" si="60"/>
        <v>1.6664905999960873</v>
      </c>
      <c r="AH74" s="128">
        <f>IFERROR(AVERAGE(AG74:AG76),"N/A")</f>
        <v>1.5106870335458706</v>
      </c>
      <c r="AI74" s="223" t="s">
        <v>78</v>
      </c>
      <c r="AJ74" s="131">
        <f t="shared" si="52"/>
        <v>1163876.7663886328</v>
      </c>
      <c r="AK74" s="368">
        <f t="shared" si="75"/>
        <v>1283912.31782</v>
      </c>
      <c r="AL74" s="375">
        <f t="shared" si="61"/>
        <v>3137564.6145299999</v>
      </c>
      <c r="AM74" s="376">
        <f t="shared" si="62"/>
        <v>2550648.568210633</v>
      </c>
      <c r="AN74" s="394" t="s">
        <v>801</v>
      </c>
      <c r="AO74" s="395" t="s">
        <v>801</v>
      </c>
      <c r="AP74" s="396" t="str">
        <f t="shared" si="22"/>
        <v>-</v>
      </c>
      <c r="AQ74" s="397" t="str">
        <f>IFERROR(AVERAGE(AP74:AP76),"N/A")</f>
        <v>N/A</v>
      </c>
      <c r="AR74" s="401">
        <v>1466</v>
      </c>
      <c r="AS74" s="396">
        <f t="shared" si="23"/>
        <v>2008.6692200000002</v>
      </c>
      <c r="AT74" s="397">
        <f>IFERROR(AVERAGE(AS74:AS76),"N/A")</f>
        <v>2822.5967524561406</v>
      </c>
      <c r="AU74" s="388">
        <f t="shared" si="63"/>
        <v>3139573.2837499999</v>
      </c>
      <c r="AV74" s="389">
        <f t="shared" si="64"/>
        <v>2552657.237430633</v>
      </c>
      <c r="AW74" s="353" t="s">
        <v>78</v>
      </c>
      <c r="AX74" s="403" t="s">
        <v>358</v>
      </c>
      <c r="AY74" s="404" t="s">
        <v>451</v>
      </c>
    </row>
    <row r="75" spans="1:51" ht="15" customHeight="1">
      <c r="A75" s="1" t="str">
        <f t="shared" si="17"/>
        <v>TSX:LUN_2023_COO</v>
      </c>
      <c r="B75" s="1" t="str">
        <f t="shared" si="0"/>
        <v>TSX:LUN_2023_NEO1</v>
      </c>
      <c r="C75" s="114" t="str">
        <f t="shared" si="82"/>
        <v>TSX:LUN</v>
      </c>
      <c r="D75" s="133" t="str">
        <f>_xll.ciqfunctions.udf.CIQ(C75,"IQ_Company_Name")</f>
        <v>Lundin Mining Corporation</v>
      </c>
      <c r="E75" s="114">
        <f t="shared" si="69"/>
        <v>2023</v>
      </c>
      <c r="F75" s="330" t="str">
        <f t="shared" si="46"/>
        <v>2023-01-01</v>
      </c>
      <c r="G75" s="330" t="str">
        <f t="shared" si="71"/>
        <v>2023-12-31</v>
      </c>
      <c r="H75" s="114">
        <f t="shared" si="54"/>
        <v>12</v>
      </c>
      <c r="I75" s="407" t="str">
        <f t="shared" si="76"/>
        <v>USD</v>
      </c>
      <c r="J75" s="461">
        <f t="shared" si="19"/>
        <v>1.34954</v>
      </c>
      <c r="K75" s="468" t="s">
        <v>277</v>
      </c>
      <c r="L75" s="465" t="str">
        <f t="shared" ref="L75:N76" si="83">L74</f>
        <v>NEO1</v>
      </c>
      <c r="M75" s="123" t="str">
        <f t="shared" si="83"/>
        <v>COO</v>
      </c>
      <c r="N75" s="132" t="str">
        <f t="shared" si="83"/>
        <v>Juan Andres Morel</v>
      </c>
      <c r="O75" s="219">
        <v>609060</v>
      </c>
      <c r="P75" s="125">
        <f t="shared" si="78"/>
        <v>821950.83239999996</v>
      </c>
      <c r="Q75" s="311" t="s">
        <v>78</v>
      </c>
      <c r="R75" s="126" t="str">
        <f t="shared" si="79"/>
        <v>-</v>
      </c>
      <c r="S75" s="221">
        <v>566426</v>
      </c>
      <c r="T75" s="125">
        <f t="shared" si="80"/>
        <v>764414.54403999995</v>
      </c>
      <c r="U75" s="127">
        <f t="shared" si="49"/>
        <v>0.93000032837487279</v>
      </c>
      <c r="V75" s="128"/>
      <c r="W75" s="223" t="s">
        <v>78</v>
      </c>
      <c r="X75" s="129">
        <f t="shared" si="50"/>
        <v>0</v>
      </c>
      <c r="Y75" s="124">
        <f t="shared" si="74"/>
        <v>1586365.3764399998</v>
      </c>
      <c r="Z75" s="130">
        <f t="shared" si="59"/>
        <v>821950.83239999996</v>
      </c>
      <c r="AA75" s="426">
        <f>0.33*730480</f>
        <v>241058.40000000002</v>
      </c>
      <c r="AB75" s="426">
        <f>0.67*730480</f>
        <v>489421.60000000003</v>
      </c>
      <c r="AC75" s="225">
        <v>240264</v>
      </c>
      <c r="AD75" s="225" t="s">
        <v>78</v>
      </c>
      <c r="AE75" s="225" t="s">
        <v>78</v>
      </c>
      <c r="AF75" s="125">
        <f t="shared" si="51"/>
        <v>970744</v>
      </c>
      <c r="AG75" s="127">
        <f t="shared" si="60"/>
        <v>1.5938396873871212</v>
      </c>
      <c r="AH75" s="128"/>
      <c r="AI75" s="223" t="s">
        <v>78</v>
      </c>
      <c r="AJ75" s="131">
        <f t="shared" si="52"/>
        <v>0</v>
      </c>
      <c r="AK75" s="368">
        <f t="shared" si="75"/>
        <v>1310057.85776</v>
      </c>
      <c r="AL75" s="375">
        <f t="shared" si="61"/>
        <v>2896423.2341999998</v>
      </c>
      <c r="AM75" s="376">
        <f t="shared" si="62"/>
        <v>821950.83239999996</v>
      </c>
      <c r="AN75" s="394" t="s">
        <v>801</v>
      </c>
      <c r="AO75" s="395" t="s">
        <v>801</v>
      </c>
      <c r="AP75" s="396" t="str">
        <f t="shared" si="22"/>
        <v>-</v>
      </c>
      <c r="AQ75" s="397"/>
      <c r="AR75" s="401">
        <v>1446</v>
      </c>
      <c r="AS75" s="396">
        <f t="shared" si="23"/>
        <v>1951.4348399999999</v>
      </c>
      <c r="AT75" s="397"/>
      <c r="AU75" s="388">
        <f t="shared" si="63"/>
        <v>2898374.6690399996</v>
      </c>
      <c r="AV75" s="389">
        <f t="shared" si="64"/>
        <v>823902.26723999996</v>
      </c>
      <c r="AW75" s="353" t="s">
        <v>78</v>
      </c>
      <c r="AX75" s="403" t="s">
        <v>358</v>
      </c>
      <c r="AY75" s="404" t="s">
        <v>451</v>
      </c>
    </row>
    <row r="76" spans="1:51" ht="15" customHeight="1">
      <c r="A76" s="1" t="str">
        <f t="shared" si="17"/>
        <v>TSX:LUN_2022_COO</v>
      </c>
      <c r="B76" s="1" t="str">
        <f t="shared" si="0"/>
        <v>TSX:LUN_2022_NEO1</v>
      </c>
      <c r="C76" s="114" t="str">
        <f t="shared" si="82"/>
        <v>TSX:LUN</v>
      </c>
      <c r="D76" s="133" t="str">
        <f>_xll.ciqfunctions.udf.CIQ(C76,"IQ_Company_Name")</f>
        <v>Lundin Mining Corporation</v>
      </c>
      <c r="E76" s="114">
        <f t="shared" si="69"/>
        <v>2022</v>
      </c>
      <c r="F76" s="448" t="s">
        <v>369</v>
      </c>
      <c r="G76" s="330" t="str">
        <f t="shared" ref="G76:G139" si="84">E76&amp;"-12-31"</f>
        <v>2022-12-31</v>
      </c>
      <c r="H76" s="114">
        <f t="shared" si="54"/>
        <v>5.0109890109890109</v>
      </c>
      <c r="I76" s="407" t="str">
        <f t="shared" si="76"/>
        <v>USD</v>
      </c>
      <c r="J76" s="461">
        <f t="shared" si="19"/>
        <v>1.30175</v>
      </c>
      <c r="K76" s="468" t="s">
        <v>277</v>
      </c>
      <c r="L76" s="465" t="str">
        <f t="shared" si="83"/>
        <v>NEO1</v>
      </c>
      <c r="M76" s="123" t="str">
        <f t="shared" si="83"/>
        <v>COO</v>
      </c>
      <c r="N76" s="132" t="str">
        <f t="shared" si="83"/>
        <v>Juan Andres Morel</v>
      </c>
      <c r="O76" s="219">
        <v>231519</v>
      </c>
      <c r="P76" s="125">
        <f t="shared" si="78"/>
        <v>721725.45001973677</v>
      </c>
      <c r="Q76" s="311" t="s">
        <v>78</v>
      </c>
      <c r="R76" s="126" t="str">
        <f t="shared" si="79"/>
        <v>-</v>
      </c>
      <c r="S76" s="221">
        <v>123783</v>
      </c>
      <c r="T76" s="125">
        <f t="shared" si="80"/>
        <v>385874.77217763156</v>
      </c>
      <c r="U76" s="127">
        <f t="shared" si="49"/>
        <v>0.53465590297124643</v>
      </c>
      <c r="V76" s="128"/>
      <c r="W76" s="223" t="s">
        <v>78</v>
      </c>
      <c r="X76" s="129">
        <f t="shared" si="50"/>
        <v>0</v>
      </c>
      <c r="Y76" s="124">
        <f t="shared" si="74"/>
        <v>1107600.2221973683</v>
      </c>
      <c r="Z76" s="130">
        <f t="shared" si="59"/>
        <v>721725.45001973677</v>
      </c>
      <c r="AA76" s="426">
        <v>500410</v>
      </c>
      <c r="AB76" s="422" t="s">
        <v>78</v>
      </c>
      <c r="AC76" s="422">
        <v>204672</v>
      </c>
      <c r="AD76" s="225" t="s">
        <v>78</v>
      </c>
      <c r="AE76" s="225" t="s">
        <v>78</v>
      </c>
      <c r="AF76" s="125">
        <f t="shared" si="51"/>
        <v>705082</v>
      </c>
      <c r="AG76" s="127">
        <f t="shared" si="60"/>
        <v>1.2717308132544032</v>
      </c>
      <c r="AH76" s="128"/>
      <c r="AI76" s="223" t="s">
        <v>78</v>
      </c>
      <c r="AJ76" s="131">
        <f t="shared" si="52"/>
        <v>0</v>
      </c>
      <c r="AK76" s="368">
        <f t="shared" si="75"/>
        <v>917840.49349999998</v>
      </c>
      <c r="AL76" s="375">
        <f t="shared" si="61"/>
        <v>2025440.7156973681</v>
      </c>
      <c r="AM76" s="376">
        <f t="shared" si="62"/>
        <v>721725.45001973677</v>
      </c>
      <c r="AN76" s="394" t="s">
        <v>801</v>
      </c>
      <c r="AO76" s="395" t="s">
        <v>801</v>
      </c>
      <c r="AP76" s="396" t="str">
        <f t="shared" si="22"/>
        <v>-</v>
      </c>
      <c r="AQ76" s="397"/>
      <c r="AR76" s="401">
        <v>1446</v>
      </c>
      <c r="AS76" s="396">
        <f t="shared" si="23"/>
        <v>4507.6861973684217</v>
      </c>
      <c r="AT76" s="397"/>
      <c r="AU76" s="388">
        <f t="shared" si="63"/>
        <v>2029948.4018947366</v>
      </c>
      <c r="AV76" s="389">
        <f t="shared" si="64"/>
        <v>726233.1362171052</v>
      </c>
      <c r="AW76" s="353" t="s">
        <v>373</v>
      </c>
      <c r="AX76" s="403" t="s">
        <v>358</v>
      </c>
      <c r="AY76" s="404" t="s">
        <v>451</v>
      </c>
    </row>
    <row r="77" spans="1:51" ht="15" customHeight="1">
      <c r="A77" s="1" t="str">
        <f t="shared" si="17"/>
        <v>TSX:LUN_2024_Region</v>
      </c>
      <c r="B77" s="1" t="str">
        <f t="shared" si="0"/>
        <v>TSX:LUN_2024_NEO2</v>
      </c>
      <c r="C77" s="114" t="str">
        <f t="shared" si="82"/>
        <v>TSX:LUN</v>
      </c>
      <c r="D77" s="133" t="str">
        <f>_xll.ciqfunctions.udf.CIQ(C77,"IQ_Company_Name")</f>
        <v>Lundin Mining Corporation</v>
      </c>
      <c r="E77" s="114">
        <f t="shared" si="69"/>
        <v>2024</v>
      </c>
      <c r="F77" s="114" t="str">
        <f t="shared" si="46"/>
        <v>2024-01-01</v>
      </c>
      <c r="G77" s="330" t="str">
        <f t="shared" si="84"/>
        <v>2024-12-31</v>
      </c>
      <c r="H77" s="114">
        <f t="shared" si="54"/>
        <v>12</v>
      </c>
      <c r="I77" s="407" t="str">
        <f t="shared" si="76"/>
        <v>USD</v>
      </c>
      <c r="J77" s="461">
        <f t="shared" si="19"/>
        <v>1.3701700000000001</v>
      </c>
      <c r="K77" s="468" t="s">
        <v>475</v>
      </c>
      <c r="L77" s="464" t="s">
        <v>108</v>
      </c>
      <c r="M77" s="217" t="s">
        <v>366</v>
      </c>
      <c r="N77" s="218" t="s">
        <v>362</v>
      </c>
      <c r="O77" s="219">
        <v>547606</v>
      </c>
      <c r="P77" s="443">
        <v>750000</v>
      </c>
      <c r="Q77" s="311" t="s">
        <v>78</v>
      </c>
      <c r="R77" s="126" t="str">
        <f t="shared" si="79"/>
        <v>-</v>
      </c>
      <c r="S77" s="221">
        <v>809726</v>
      </c>
      <c r="T77" s="125">
        <f t="shared" si="80"/>
        <v>1109462.27342</v>
      </c>
      <c r="U77" s="127">
        <f t="shared" si="49"/>
        <v>1.4792830312266667</v>
      </c>
      <c r="V77" s="128">
        <f>IFERROR(AVERAGE(U77:U79),"N/A")</f>
        <v>0.9255384886356478</v>
      </c>
      <c r="W77" s="223">
        <v>0.75</v>
      </c>
      <c r="X77" s="129">
        <f t="shared" si="50"/>
        <v>562500</v>
      </c>
      <c r="Y77" s="124">
        <f t="shared" si="58"/>
        <v>1859462.27342</v>
      </c>
      <c r="Z77" s="130">
        <f t="shared" si="59"/>
        <v>1312500</v>
      </c>
      <c r="AA77" s="221" t="s">
        <v>78</v>
      </c>
      <c r="AB77" s="225" t="s">
        <v>78</v>
      </c>
      <c r="AC77" s="225" t="s">
        <v>78</v>
      </c>
      <c r="AD77" s="225" t="s">
        <v>78</v>
      </c>
      <c r="AE77" s="225" t="s">
        <v>78</v>
      </c>
      <c r="AF77" s="125" t="str">
        <f t="shared" si="51"/>
        <v>-</v>
      </c>
      <c r="AG77" s="127" t="str">
        <f t="shared" si="60"/>
        <v>-</v>
      </c>
      <c r="AH77" s="128">
        <f>IFERROR(AVERAGE(AG77:AG79),"N/A")</f>
        <v>1.4728276053409559</v>
      </c>
      <c r="AI77" s="223" t="s">
        <v>78</v>
      </c>
      <c r="AJ77" s="131">
        <f t="shared" si="52"/>
        <v>1104620.7040057168</v>
      </c>
      <c r="AK77" s="368" t="str">
        <f t="shared" si="75"/>
        <v>-</v>
      </c>
      <c r="AL77" s="375">
        <f t="shared" si="61"/>
        <v>1859462.27342</v>
      </c>
      <c r="AM77" s="376">
        <f t="shared" si="62"/>
        <v>2417120.7040057168</v>
      </c>
      <c r="AN77" s="394" t="s">
        <v>801</v>
      </c>
      <c r="AO77" s="395" t="s">
        <v>801</v>
      </c>
      <c r="AP77" s="396" t="str">
        <f t="shared" si="22"/>
        <v>-</v>
      </c>
      <c r="AQ77" s="397" t="str">
        <f>IFERROR(AVERAGE(AP77:AP79),"N/A")</f>
        <v>N/A</v>
      </c>
      <c r="AR77" s="401">
        <v>102092</v>
      </c>
      <c r="AS77" s="396">
        <f t="shared" si="23"/>
        <v>139883.39564</v>
      </c>
      <c r="AT77" s="397">
        <f>IFERROR(AVERAGE(AS77:AS79),"N/A")</f>
        <v>85796.016594649132</v>
      </c>
      <c r="AU77" s="388">
        <f t="shared" si="63"/>
        <v>1999345.66906</v>
      </c>
      <c r="AV77" s="389">
        <f t="shared" si="64"/>
        <v>2557004.0996457171</v>
      </c>
      <c r="AW77" s="353" t="s">
        <v>364</v>
      </c>
      <c r="AX77" s="403" t="s">
        <v>358</v>
      </c>
      <c r="AY77" s="404" t="s">
        <v>451</v>
      </c>
    </row>
    <row r="78" spans="1:51" ht="15" customHeight="1">
      <c r="A78" s="1" t="str">
        <f t="shared" si="17"/>
        <v>TSX:LUN_2023_Region</v>
      </c>
      <c r="B78" s="1" t="str">
        <f t="shared" si="0"/>
        <v>TSX:LUN_2023_NEO2</v>
      </c>
      <c r="C78" s="114" t="str">
        <f t="shared" si="82"/>
        <v>TSX:LUN</v>
      </c>
      <c r="D78" s="133" t="str">
        <f>_xll.ciqfunctions.udf.CIQ(C78,"IQ_Company_Name")</f>
        <v>Lundin Mining Corporation</v>
      </c>
      <c r="E78" s="114">
        <f t="shared" si="69"/>
        <v>2023</v>
      </c>
      <c r="F78" s="114" t="str">
        <f t="shared" si="46"/>
        <v>2023-01-01</v>
      </c>
      <c r="G78" s="330" t="str">
        <f t="shared" si="84"/>
        <v>2023-12-31</v>
      </c>
      <c r="H78" s="114">
        <f t="shared" si="54"/>
        <v>12</v>
      </c>
      <c r="I78" s="407" t="str">
        <f t="shared" si="76"/>
        <v>USD</v>
      </c>
      <c r="J78" s="461">
        <f t="shared" si="19"/>
        <v>1.34954</v>
      </c>
      <c r="K78" s="468" t="s">
        <v>475</v>
      </c>
      <c r="L78" s="465" t="str">
        <f t="shared" ref="L78:N79" si="85">L77</f>
        <v>NEO2</v>
      </c>
      <c r="M78" s="123" t="str">
        <f t="shared" si="85"/>
        <v>EVP, Josemaría Project</v>
      </c>
      <c r="N78" s="132" t="str">
        <f t="shared" si="85"/>
        <v>David Dicaire</v>
      </c>
      <c r="O78" s="219">
        <v>555825</v>
      </c>
      <c r="P78" s="125">
        <f t="shared" si="78"/>
        <v>750108.07050000003</v>
      </c>
      <c r="Q78" s="311" t="s">
        <v>78</v>
      </c>
      <c r="R78" s="126" t="str">
        <f t="shared" si="79"/>
        <v>-</v>
      </c>
      <c r="S78" s="221">
        <v>463188</v>
      </c>
      <c r="T78" s="125">
        <f t="shared" si="80"/>
        <v>625090.73352000001</v>
      </c>
      <c r="U78" s="127">
        <f t="shared" si="49"/>
        <v>0.83333423289704489</v>
      </c>
      <c r="V78" s="128"/>
      <c r="W78" s="223" t="s">
        <v>78</v>
      </c>
      <c r="X78" s="129">
        <f t="shared" si="50"/>
        <v>0</v>
      </c>
      <c r="Y78" s="124">
        <f t="shared" si="58"/>
        <v>1375198.8040200002</v>
      </c>
      <c r="Z78" s="130">
        <f t="shared" si="59"/>
        <v>750108.07050000003</v>
      </c>
      <c r="AA78" s="426">
        <f>0.33*602646</f>
        <v>198873.18000000002</v>
      </c>
      <c r="AB78" s="426">
        <f>0.67*602646</f>
        <v>403772.82</v>
      </c>
      <c r="AC78" s="225">
        <v>198246</v>
      </c>
      <c r="AD78" s="225" t="s">
        <v>78</v>
      </c>
      <c r="AE78" s="225" t="s">
        <v>78</v>
      </c>
      <c r="AF78" s="125">
        <f t="shared" si="51"/>
        <v>800892</v>
      </c>
      <c r="AG78" s="127">
        <f t="shared" si="60"/>
        <v>1.4409067602212926</v>
      </c>
      <c r="AH78" s="128"/>
      <c r="AI78" s="223" t="s">
        <v>78</v>
      </c>
      <c r="AJ78" s="131">
        <f t="shared" si="52"/>
        <v>0</v>
      </c>
      <c r="AK78" s="368">
        <f t="shared" si="75"/>
        <v>1080835.7896799999</v>
      </c>
      <c r="AL78" s="375">
        <f t="shared" si="61"/>
        <v>2456034.5937000001</v>
      </c>
      <c r="AM78" s="376">
        <f t="shared" si="62"/>
        <v>750108.07050000003</v>
      </c>
      <c r="AN78" s="394" t="s">
        <v>801</v>
      </c>
      <c r="AO78" s="395" t="s">
        <v>801</v>
      </c>
      <c r="AP78" s="396" t="str">
        <f t="shared" si="22"/>
        <v>-</v>
      </c>
      <c r="AQ78" s="397"/>
      <c r="AR78" s="401">
        <v>78036</v>
      </c>
      <c r="AS78" s="396">
        <f t="shared" si="23"/>
        <v>105312.70344</v>
      </c>
      <c r="AT78" s="397"/>
      <c r="AU78" s="388">
        <f t="shared" si="63"/>
        <v>2561347.2971399999</v>
      </c>
      <c r="AV78" s="389">
        <f t="shared" si="64"/>
        <v>855420.77393999998</v>
      </c>
      <c r="AW78" s="353" t="s">
        <v>78</v>
      </c>
      <c r="AX78" s="403" t="s">
        <v>358</v>
      </c>
      <c r="AY78" s="404" t="s">
        <v>451</v>
      </c>
    </row>
    <row r="79" spans="1:51" ht="15" customHeight="1">
      <c r="A79" s="1" t="str">
        <f t="shared" si="17"/>
        <v>TSX:LUN_2022_Region</v>
      </c>
      <c r="B79" s="1" t="str">
        <f t="shared" si="0"/>
        <v>TSX:LUN_2022_NEO2</v>
      </c>
      <c r="C79" s="114" t="str">
        <f t="shared" si="82"/>
        <v>TSX:LUN</v>
      </c>
      <c r="D79" s="133" t="str">
        <f>_xll.ciqfunctions.udf.CIQ(C79,"IQ_Company_Name")</f>
        <v>Lundin Mining Corporation</v>
      </c>
      <c r="E79" s="114">
        <f t="shared" si="69"/>
        <v>2022</v>
      </c>
      <c r="F79" s="448" t="s">
        <v>369</v>
      </c>
      <c r="G79" s="330" t="str">
        <f t="shared" si="84"/>
        <v>2022-12-31</v>
      </c>
      <c r="H79" s="114">
        <f t="shared" si="54"/>
        <v>5.0109890109890109</v>
      </c>
      <c r="I79" s="407" t="str">
        <f t="shared" si="76"/>
        <v>USD</v>
      </c>
      <c r="J79" s="461">
        <f t="shared" si="19"/>
        <v>1.30175</v>
      </c>
      <c r="K79" s="468" t="s">
        <v>475</v>
      </c>
      <c r="L79" s="465" t="str">
        <f t="shared" si="85"/>
        <v>NEO2</v>
      </c>
      <c r="M79" s="123" t="str">
        <f t="shared" si="85"/>
        <v>EVP, Josemaría Project</v>
      </c>
      <c r="N79" s="132" t="str">
        <f t="shared" si="85"/>
        <v>David Dicaire</v>
      </c>
      <c r="O79" s="219">
        <v>240238</v>
      </c>
      <c r="P79" s="125">
        <f t="shared" si="78"/>
        <v>748905.61319736845</v>
      </c>
      <c r="Q79" s="311" t="s">
        <v>78</v>
      </c>
      <c r="R79" s="126" t="str">
        <f t="shared" si="79"/>
        <v>-</v>
      </c>
      <c r="S79" s="221">
        <v>111470</v>
      </c>
      <c r="T79" s="125">
        <f t="shared" si="80"/>
        <v>347490.85782894737</v>
      </c>
      <c r="U79" s="127">
        <f t="shared" si="49"/>
        <v>0.46399820178323159</v>
      </c>
      <c r="V79" s="128"/>
      <c r="W79" s="223" t="s">
        <v>78</v>
      </c>
      <c r="X79" s="129">
        <f t="shared" si="50"/>
        <v>0</v>
      </c>
      <c r="Y79" s="124">
        <f t="shared" si="58"/>
        <v>1096396.4710263158</v>
      </c>
      <c r="Z79" s="130">
        <f t="shared" si="59"/>
        <v>748905.61319736845</v>
      </c>
      <c r="AA79" s="221">
        <v>657594</v>
      </c>
      <c r="AB79" s="225" t="s">
        <v>78</v>
      </c>
      <c r="AC79" s="225">
        <v>208098</v>
      </c>
      <c r="AD79" s="225" t="s">
        <v>78</v>
      </c>
      <c r="AE79" s="225" t="s">
        <v>78</v>
      </c>
      <c r="AF79" s="125">
        <f t="shared" si="51"/>
        <v>865692</v>
      </c>
      <c r="AG79" s="127">
        <f t="shared" si="60"/>
        <v>1.5047484504606192</v>
      </c>
      <c r="AH79" s="128"/>
      <c r="AI79" s="223" t="s">
        <v>78</v>
      </c>
      <c r="AJ79" s="131">
        <f t="shared" si="52"/>
        <v>0</v>
      </c>
      <c r="AK79" s="368">
        <f t="shared" si="75"/>
        <v>1126914.561</v>
      </c>
      <c r="AL79" s="375">
        <f t="shared" si="61"/>
        <v>2223311.032026316</v>
      </c>
      <c r="AM79" s="376">
        <f t="shared" si="62"/>
        <v>748905.61319736845</v>
      </c>
      <c r="AN79" s="394" t="s">
        <v>801</v>
      </c>
      <c r="AO79" s="395" t="s">
        <v>801</v>
      </c>
      <c r="AP79" s="396" t="str">
        <f t="shared" si="22"/>
        <v>-</v>
      </c>
      <c r="AQ79" s="397"/>
      <c r="AR79" s="401">
        <v>3911</v>
      </c>
      <c r="AS79" s="396">
        <f t="shared" si="23"/>
        <v>12191.950703947368</v>
      </c>
      <c r="AT79" s="397"/>
      <c r="AU79" s="388">
        <f t="shared" si="63"/>
        <v>2235502.9827302634</v>
      </c>
      <c r="AV79" s="389">
        <f t="shared" si="64"/>
        <v>761097.56390131579</v>
      </c>
      <c r="AW79" s="353" t="s">
        <v>372</v>
      </c>
      <c r="AX79" s="403" t="s">
        <v>358</v>
      </c>
      <c r="AY79" s="404" t="s">
        <v>451</v>
      </c>
    </row>
    <row r="80" spans="1:51" ht="15" customHeight="1">
      <c r="A80" s="1" t="str">
        <f t="shared" si="17"/>
        <v>TSX:LUN_2024_Legal</v>
      </c>
      <c r="B80" s="1" t="str">
        <f t="shared" si="0"/>
        <v>TSX:LUN_2024_NEO3</v>
      </c>
      <c r="C80" s="114" t="str">
        <f t="shared" si="82"/>
        <v>TSX:LUN</v>
      </c>
      <c r="D80" s="133" t="str">
        <f>_xll.ciqfunctions.udf.CIQ(C80,"IQ_Company_Name")</f>
        <v>Lundin Mining Corporation</v>
      </c>
      <c r="E80" s="114">
        <f t="shared" si="69"/>
        <v>2024</v>
      </c>
      <c r="F80" s="114" t="str">
        <f t="shared" si="46"/>
        <v>2024-01-01</v>
      </c>
      <c r="G80" s="330" t="str">
        <f t="shared" si="84"/>
        <v>2024-12-31</v>
      </c>
      <c r="H80" s="114">
        <f t="shared" si="54"/>
        <v>12</v>
      </c>
      <c r="I80" s="407" t="str">
        <f t="shared" si="76"/>
        <v>USD</v>
      </c>
      <c r="J80" s="461">
        <f t="shared" si="19"/>
        <v>1.3701700000000001</v>
      </c>
      <c r="K80" s="468" t="s">
        <v>468</v>
      </c>
      <c r="L80" s="464" t="s">
        <v>109</v>
      </c>
      <c r="M80" s="217" t="s">
        <v>365</v>
      </c>
      <c r="N80" s="218" t="s">
        <v>363</v>
      </c>
      <c r="O80" s="219">
        <v>449037</v>
      </c>
      <c r="P80" s="443">
        <v>615000</v>
      </c>
      <c r="Q80" s="311" t="s">
        <v>78</v>
      </c>
      <c r="R80" s="442">
        <v>630000</v>
      </c>
      <c r="S80" s="221">
        <v>813377</v>
      </c>
      <c r="T80" s="125">
        <f t="shared" si="80"/>
        <v>1114464.7640900002</v>
      </c>
      <c r="U80" s="127">
        <f t="shared" si="49"/>
        <v>1.8121378277886182</v>
      </c>
      <c r="V80" s="128">
        <f>IFERROR(AVERAGE(U80:U82),"N/A")</f>
        <v>1.3288333403015002</v>
      </c>
      <c r="W80" s="223">
        <v>0.75</v>
      </c>
      <c r="X80" s="129">
        <f t="shared" si="50"/>
        <v>461250</v>
      </c>
      <c r="Y80" s="124">
        <f t="shared" si="58"/>
        <v>1729464.7640900002</v>
      </c>
      <c r="Z80" s="130">
        <f t="shared" si="59"/>
        <v>1076250</v>
      </c>
      <c r="AA80" s="221" t="s">
        <v>78</v>
      </c>
      <c r="AB80" s="221">
        <f>339458</f>
        <v>339458</v>
      </c>
      <c r="AC80" s="225">
        <v>339661</v>
      </c>
      <c r="AD80" s="225" t="s">
        <v>78</v>
      </c>
      <c r="AE80" s="225" t="s">
        <v>78</v>
      </c>
      <c r="AF80" s="125">
        <f t="shared" si="51"/>
        <v>679119</v>
      </c>
      <c r="AG80" s="127">
        <f t="shared" si="60"/>
        <v>1.5130219190731709</v>
      </c>
      <c r="AH80" s="128">
        <f>IFERROR(AVERAGE(AG80:AG82),"N/A")</f>
        <v>1.4269230749863508</v>
      </c>
      <c r="AI80" s="223" t="s">
        <v>78</v>
      </c>
      <c r="AJ80" s="131">
        <f t="shared" si="52"/>
        <v>877557.69111660577</v>
      </c>
      <c r="AK80" s="368">
        <f t="shared" si="75"/>
        <v>930508.4802300001</v>
      </c>
      <c r="AL80" s="375">
        <f t="shared" si="61"/>
        <v>2659973.2443200005</v>
      </c>
      <c r="AM80" s="376">
        <f t="shared" si="62"/>
        <v>1953807.6911166059</v>
      </c>
      <c r="AN80" s="394" t="s">
        <v>801</v>
      </c>
      <c r="AO80" s="395" t="s">
        <v>801</v>
      </c>
      <c r="AP80" s="396" t="str">
        <f t="shared" si="22"/>
        <v>-</v>
      </c>
      <c r="AQ80" s="397" t="str">
        <f>IFERROR(AVERAGE(AP80:AP82),"N/A")</f>
        <v>N/A</v>
      </c>
      <c r="AR80" s="401">
        <v>205055</v>
      </c>
      <c r="AS80" s="396">
        <f t="shared" si="23"/>
        <v>280960.20935000002</v>
      </c>
      <c r="AT80" s="397">
        <f>IFERROR(AVERAGE(AS80:AS82),"N/A")</f>
        <v>347606.57691823231</v>
      </c>
      <c r="AU80" s="388">
        <f t="shared" si="63"/>
        <v>2940933.4536700007</v>
      </c>
      <c r="AV80" s="389">
        <f t="shared" si="64"/>
        <v>2234767.900466606</v>
      </c>
      <c r="AW80" s="353" t="s">
        <v>78</v>
      </c>
      <c r="AX80" s="403" t="s">
        <v>358</v>
      </c>
      <c r="AY80" s="404" t="s">
        <v>451</v>
      </c>
    </row>
    <row r="81" spans="1:51" ht="15" customHeight="1">
      <c r="A81" s="1" t="str">
        <f t="shared" si="17"/>
        <v>TSX:LUN_2023_Legal</v>
      </c>
      <c r="B81" s="1" t="str">
        <f t="shared" si="0"/>
        <v>TSX:LUN_2023_NEO3</v>
      </c>
      <c r="C81" s="114" t="str">
        <f t="shared" si="82"/>
        <v>TSX:LUN</v>
      </c>
      <c r="D81" s="133" t="str">
        <f>_xll.ciqfunctions.udf.CIQ(C81,"IQ_Company_Name")</f>
        <v>Lundin Mining Corporation</v>
      </c>
      <c r="E81" s="114">
        <f t="shared" si="69"/>
        <v>2023</v>
      </c>
      <c r="F81" s="448" t="s">
        <v>370</v>
      </c>
      <c r="G81" s="330" t="str">
        <f t="shared" si="84"/>
        <v>2023-12-31</v>
      </c>
      <c r="H81" s="114">
        <f t="shared" si="54"/>
        <v>3.2637362637362637</v>
      </c>
      <c r="I81" s="407" t="str">
        <f t="shared" si="76"/>
        <v>USD</v>
      </c>
      <c r="J81" s="461">
        <f t="shared" si="19"/>
        <v>1.34954</v>
      </c>
      <c r="K81" s="468" t="s">
        <v>468</v>
      </c>
      <c r="L81" s="465" t="str">
        <f t="shared" ref="L81:N82" si="86">L80</f>
        <v>NEO3</v>
      </c>
      <c r="M81" s="123" t="str">
        <f t="shared" si="86"/>
        <v>General Counsel</v>
      </c>
      <c r="N81" s="132" t="str">
        <f t="shared" si="86"/>
        <v>Peter Brady</v>
      </c>
      <c r="O81" s="219">
        <v>122709</v>
      </c>
      <c r="P81" s="125">
        <f t="shared" si="78"/>
        <v>608875.31520242419</v>
      </c>
      <c r="Q81" s="311" t="s">
        <v>78</v>
      </c>
      <c r="R81" s="126" t="str">
        <f t="shared" si="79"/>
        <v>-</v>
      </c>
      <c r="S81" s="221">
        <v>103754</v>
      </c>
      <c r="T81" s="125">
        <f t="shared" si="80"/>
        <v>514821.64677010104</v>
      </c>
      <c r="U81" s="127">
        <f t="shared" si="49"/>
        <v>0.84552885281438217</v>
      </c>
      <c r="V81" s="128"/>
      <c r="W81" s="223" t="s">
        <v>78</v>
      </c>
      <c r="X81" s="129">
        <f t="shared" si="50"/>
        <v>0</v>
      </c>
      <c r="Y81" s="124">
        <f t="shared" si="58"/>
        <v>1123696.9619725253</v>
      </c>
      <c r="Z81" s="130">
        <f t="shared" si="59"/>
        <v>608875.31520242419</v>
      </c>
      <c r="AA81" s="426">
        <f>0.33*987814-37000*6.71</f>
        <v>77708.62</v>
      </c>
      <c r="AB81" s="426">
        <f>0.67*987814-37000*6.71</f>
        <v>413565.38</v>
      </c>
      <c r="AC81" s="225">
        <v>113669</v>
      </c>
      <c r="AD81" s="225" t="s">
        <v>78</v>
      </c>
      <c r="AE81" s="225" t="s">
        <v>78</v>
      </c>
      <c r="AF81" s="125">
        <f t="shared" si="51"/>
        <v>604943</v>
      </c>
      <c r="AG81" s="127">
        <f t="shared" si="60"/>
        <v>1.3408242308995311</v>
      </c>
      <c r="AH81" s="128"/>
      <c r="AI81" s="223" t="s">
        <v>78</v>
      </c>
      <c r="AJ81" s="131">
        <f t="shared" si="52"/>
        <v>0</v>
      </c>
      <c r="AK81" s="368">
        <f t="shared" si="75"/>
        <v>816394.77622</v>
      </c>
      <c r="AL81" s="375">
        <f t="shared" si="61"/>
        <v>1940091.7381925252</v>
      </c>
      <c r="AM81" s="376">
        <f t="shared" si="62"/>
        <v>608875.31520242419</v>
      </c>
      <c r="AN81" s="394" t="s">
        <v>801</v>
      </c>
      <c r="AO81" s="395" t="s">
        <v>801</v>
      </c>
      <c r="AP81" s="396" t="str">
        <f t="shared" si="22"/>
        <v>-</v>
      </c>
      <c r="AQ81" s="397"/>
      <c r="AR81" s="401">
        <v>83486</v>
      </c>
      <c r="AS81" s="396">
        <f t="shared" si="23"/>
        <v>414252.94448646461</v>
      </c>
      <c r="AT81" s="397"/>
      <c r="AU81" s="388">
        <f t="shared" si="63"/>
        <v>2354344.6826789901</v>
      </c>
      <c r="AV81" s="389">
        <f t="shared" si="64"/>
        <v>1023128.2596888888</v>
      </c>
      <c r="AW81" s="353" t="s">
        <v>371</v>
      </c>
      <c r="AX81" s="403" t="s">
        <v>358</v>
      </c>
      <c r="AY81" s="404" t="s">
        <v>451</v>
      </c>
    </row>
    <row r="82" spans="1:51" ht="15" customHeight="1">
      <c r="A82" s="1" t="str">
        <f t="shared" si="17"/>
        <v>TSX:LUN_2022_Legal</v>
      </c>
      <c r="B82" s="1" t="str">
        <f t="shared" si="0"/>
        <v>TSX:LUN_2022_NEO3</v>
      </c>
      <c r="C82" s="203" t="str">
        <f t="shared" si="82"/>
        <v>TSX:LUN</v>
      </c>
      <c r="D82" s="205" t="str">
        <f>_xll.ciqfunctions.udf.CIQ(C82,"IQ_Company_Name")</f>
        <v>Lundin Mining Corporation</v>
      </c>
      <c r="E82" s="204">
        <f t="shared" si="69"/>
        <v>2022</v>
      </c>
      <c r="F82" s="204" t="str">
        <f t="shared" si="46"/>
        <v>2022-01-01</v>
      </c>
      <c r="G82" s="331" t="str">
        <f t="shared" si="84"/>
        <v>2022-12-31</v>
      </c>
      <c r="H82" s="204">
        <f t="shared" si="54"/>
        <v>12</v>
      </c>
      <c r="I82" s="408" t="str">
        <f t="shared" si="76"/>
        <v>USD</v>
      </c>
      <c r="J82" s="463">
        <f t="shared" si="19"/>
        <v>1.30175</v>
      </c>
      <c r="K82" s="491" t="s">
        <v>468</v>
      </c>
      <c r="L82" s="466" t="str">
        <f t="shared" si="86"/>
        <v>NEO3</v>
      </c>
      <c r="M82" s="206" t="str">
        <f t="shared" si="86"/>
        <v>General Counsel</v>
      </c>
      <c r="N82" s="207" t="str">
        <f t="shared" si="86"/>
        <v>Peter Brady</v>
      </c>
      <c r="O82" s="220" t="s">
        <v>78</v>
      </c>
      <c r="P82" s="209" t="str">
        <f t="shared" si="78"/>
        <v>-</v>
      </c>
      <c r="Q82" s="312" t="s">
        <v>78</v>
      </c>
      <c r="R82" s="329" t="str">
        <f t="shared" si="79"/>
        <v>-</v>
      </c>
      <c r="S82" s="222" t="s">
        <v>78</v>
      </c>
      <c r="T82" s="209" t="str">
        <f t="shared" si="80"/>
        <v>-</v>
      </c>
      <c r="U82" s="211" t="str">
        <f t="shared" si="49"/>
        <v>-</v>
      </c>
      <c r="V82" s="212"/>
      <c r="W82" s="224" t="s">
        <v>78</v>
      </c>
      <c r="X82" s="213" t="str">
        <f t="shared" si="50"/>
        <v>-</v>
      </c>
      <c r="Y82" s="208" t="str">
        <f t="shared" si="58"/>
        <v>-</v>
      </c>
      <c r="Z82" s="214" t="str">
        <f t="shared" si="59"/>
        <v>-</v>
      </c>
      <c r="AA82" s="222" t="s">
        <v>78</v>
      </c>
      <c r="AB82" s="226" t="s">
        <v>78</v>
      </c>
      <c r="AC82" s="226" t="s">
        <v>78</v>
      </c>
      <c r="AD82" s="226" t="s">
        <v>78</v>
      </c>
      <c r="AE82" s="226" t="s">
        <v>78</v>
      </c>
      <c r="AF82" s="420" t="str">
        <f t="shared" si="51"/>
        <v>-</v>
      </c>
      <c r="AG82" s="211" t="str">
        <f t="shared" si="60"/>
        <v>-</v>
      </c>
      <c r="AH82" s="212"/>
      <c r="AI82" s="224" t="s">
        <v>78</v>
      </c>
      <c r="AJ82" s="215" t="str">
        <f t="shared" si="52"/>
        <v>-</v>
      </c>
      <c r="AK82" s="369" t="str">
        <f t="shared" si="75"/>
        <v>-</v>
      </c>
      <c r="AL82" s="377" t="str">
        <f t="shared" si="61"/>
        <v>-</v>
      </c>
      <c r="AM82" s="378" t="str">
        <f t="shared" si="62"/>
        <v>-</v>
      </c>
      <c r="AN82" s="398" t="s">
        <v>78</v>
      </c>
      <c r="AO82" s="399" t="s">
        <v>78</v>
      </c>
      <c r="AP82" s="396" t="str">
        <f t="shared" si="22"/>
        <v>-</v>
      </c>
      <c r="AQ82" s="400"/>
      <c r="AR82" s="402" t="s">
        <v>78</v>
      </c>
      <c r="AS82" s="396" t="str">
        <f t="shared" si="23"/>
        <v>-</v>
      </c>
      <c r="AT82" s="400"/>
      <c r="AU82" s="390" t="str">
        <f t="shared" si="63"/>
        <v>-</v>
      </c>
      <c r="AV82" s="391" t="str">
        <f t="shared" si="64"/>
        <v>-</v>
      </c>
      <c r="AW82" s="354" t="s">
        <v>78</v>
      </c>
      <c r="AX82" s="405" t="s">
        <v>358</v>
      </c>
      <c r="AY82" s="404" t="s">
        <v>451</v>
      </c>
    </row>
    <row r="83" spans="1:51" ht="15" customHeight="1">
      <c r="A83" s="1" t="str">
        <f t="shared" si="17"/>
        <v>TSX:AGI_2024_</v>
      </c>
      <c r="B83" s="1" t="str">
        <f t="shared" si="0"/>
        <v>TSX:AGI_2024_CEO</v>
      </c>
      <c r="C83" s="216" t="str">
        <f>D7</f>
        <v>TSX:AGI</v>
      </c>
      <c r="D83" s="133" t="str">
        <f>_xll.ciqfunctions.udf.CIQ(C83,"IQ_Company_Name")</f>
        <v>Alamos Gold Inc.</v>
      </c>
      <c r="E83" s="328">
        <f>$F$9</f>
        <v>2024</v>
      </c>
      <c r="F83" s="330" t="str">
        <f t="shared" si="46"/>
        <v>2024-01-01</v>
      </c>
      <c r="G83" s="330" t="str">
        <f t="shared" si="84"/>
        <v>2024-12-31</v>
      </c>
      <c r="H83" s="114">
        <f t="shared" si="54"/>
        <v>12</v>
      </c>
      <c r="I83" s="328" t="s">
        <v>297</v>
      </c>
      <c r="J83" s="461">
        <f t="shared" si="19"/>
        <v>1.3701700000000001</v>
      </c>
      <c r="K83" s="468"/>
      <c r="L83" s="464" t="s">
        <v>79</v>
      </c>
      <c r="M83" s="217" t="s">
        <v>79</v>
      </c>
      <c r="N83" s="218" t="s">
        <v>377</v>
      </c>
      <c r="O83" s="219">
        <v>784965</v>
      </c>
      <c r="P83" s="443">
        <v>1075000</v>
      </c>
      <c r="Q83" s="311" t="s">
        <v>78</v>
      </c>
      <c r="R83" s="126" t="str">
        <f t="shared" si="79"/>
        <v>-</v>
      </c>
      <c r="S83" s="221">
        <v>1249076</v>
      </c>
      <c r="T83" s="125">
        <f t="shared" si="80"/>
        <v>1711446.4629200001</v>
      </c>
      <c r="U83" s="127">
        <f t="shared" si="49"/>
        <v>1.5920432213209303</v>
      </c>
      <c r="V83" s="128">
        <f>IFERROR(AVERAGE(U83:U85),"N/A")</f>
        <v>1.4890139383153713</v>
      </c>
      <c r="W83" s="223">
        <v>1.25</v>
      </c>
      <c r="X83" s="129">
        <f t="shared" si="50"/>
        <v>1343750</v>
      </c>
      <c r="Y83" s="124">
        <f t="shared" si="58"/>
        <v>2786446.4629199998</v>
      </c>
      <c r="Z83" s="130">
        <f t="shared" si="59"/>
        <v>2418750</v>
      </c>
      <c r="AA83" s="221">
        <f>1766171*1/3</f>
        <v>588723.66666666663</v>
      </c>
      <c r="AB83" s="225">
        <f>1766171*2/3</f>
        <v>1177447.3333333333</v>
      </c>
      <c r="AC83" s="225">
        <v>588724</v>
      </c>
      <c r="AD83" s="225" t="s">
        <v>78</v>
      </c>
      <c r="AE83" s="225" t="s">
        <v>78</v>
      </c>
      <c r="AF83" s="125">
        <f t="shared" si="51"/>
        <v>2354895</v>
      </c>
      <c r="AG83" s="127">
        <f t="shared" si="60"/>
        <v>3.0014944020000001</v>
      </c>
      <c r="AH83" s="128">
        <f>IFERROR(AVERAGE(AG83:AG85),"N/A")</f>
        <v>2.7171644863675266</v>
      </c>
      <c r="AI83" s="223">
        <v>2.75</v>
      </c>
      <c r="AJ83" s="131">
        <f t="shared" si="52"/>
        <v>2956250</v>
      </c>
      <c r="AK83" s="368">
        <f t="shared" si="75"/>
        <v>3226606.4821500001</v>
      </c>
      <c r="AL83" s="375">
        <f t="shared" si="61"/>
        <v>6013052.9450700004</v>
      </c>
      <c r="AM83" s="376">
        <f t="shared" si="62"/>
        <v>5375000</v>
      </c>
      <c r="AN83" s="394">
        <v>244085</v>
      </c>
      <c r="AO83" s="395" t="s">
        <v>274</v>
      </c>
      <c r="AP83" s="396">
        <f t="shared" si="22"/>
        <v>334437.94445000001</v>
      </c>
      <c r="AQ83" s="409">
        <f>IFERROR(AVERAGE(AP83:AP85),"N/A")</f>
        <v>301399.08043333335</v>
      </c>
      <c r="AR83" s="439">
        <v>69230</v>
      </c>
      <c r="AS83" s="396">
        <f t="shared" si="23"/>
        <v>94856.869100000011</v>
      </c>
      <c r="AT83" s="409">
        <f>IFERROR(AVERAGE(AS83:AS85),"N/A")</f>
        <v>89626.554233333329</v>
      </c>
      <c r="AU83" s="388">
        <f t="shared" si="63"/>
        <v>6442347.7586200004</v>
      </c>
      <c r="AV83" s="389">
        <f t="shared" si="64"/>
        <v>5804294.8135500001</v>
      </c>
      <c r="AW83" s="353" t="s">
        <v>78</v>
      </c>
      <c r="AX83" s="418" t="s">
        <v>358</v>
      </c>
      <c r="AY83" s="404" t="s">
        <v>451</v>
      </c>
    </row>
    <row r="84" spans="1:51" ht="15" customHeight="1">
      <c r="A84" s="1" t="str">
        <f t="shared" si="17"/>
        <v>TSX:AGI_2023_</v>
      </c>
      <c r="B84" s="1" t="str">
        <f t="shared" si="0"/>
        <v>TSX:AGI_2023_CEO</v>
      </c>
      <c r="C84" s="114" t="str">
        <f>C83</f>
        <v>TSX:AGI</v>
      </c>
      <c r="D84" s="133" t="str">
        <f>_xll.ciqfunctions.udf.CIQ(C84,"IQ_Company_Name")</f>
        <v>Alamos Gold Inc.</v>
      </c>
      <c r="E84" s="328">
        <f>$F$10</f>
        <v>2023</v>
      </c>
      <c r="F84" s="330" t="str">
        <f t="shared" si="46"/>
        <v>2023-01-01</v>
      </c>
      <c r="G84" s="330" t="str">
        <f t="shared" si="84"/>
        <v>2023-12-31</v>
      </c>
      <c r="H84" s="114">
        <f t="shared" si="54"/>
        <v>12</v>
      </c>
      <c r="I84" s="407" t="str">
        <f>I83</f>
        <v>USD</v>
      </c>
      <c r="J84" s="461">
        <f t="shared" si="19"/>
        <v>1.34954</v>
      </c>
      <c r="K84" s="468"/>
      <c r="L84" s="465" t="str">
        <f t="shared" ref="L84:N85" si="87">L83</f>
        <v>CEO</v>
      </c>
      <c r="M84" s="123" t="str">
        <f t="shared" si="87"/>
        <v>CEO</v>
      </c>
      <c r="N84" s="132" t="str">
        <f t="shared" si="87"/>
        <v>John A. McCluskey</v>
      </c>
      <c r="O84" s="219">
        <v>755718</v>
      </c>
      <c r="P84" s="125">
        <f t="shared" si="78"/>
        <v>1019871.66972</v>
      </c>
      <c r="Q84" s="311" t="s">
        <v>78</v>
      </c>
      <c r="R84" s="126" t="str">
        <f t="shared" si="79"/>
        <v>-</v>
      </c>
      <c r="S84" s="221">
        <v>1133577</v>
      </c>
      <c r="T84" s="125">
        <f t="shared" si="80"/>
        <v>1529807.5045799999</v>
      </c>
      <c r="U84" s="127">
        <f t="shared" si="49"/>
        <v>1.5</v>
      </c>
      <c r="V84" s="128"/>
      <c r="W84" s="223" t="s">
        <v>78</v>
      </c>
      <c r="X84" s="129">
        <f t="shared" si="50"/>
        <v>0</v>
      </c>
      <c r="Y84" s="124">
        <f t="shared" si="58"/>
        <v>2549679.1743000001</v>
      </c>
      <c r="Z84" s="130">
        <f t="shared" si="59"/>
        <v>1019871.66972</v>
      </c>
      <c r="AA84" s="426">
        <v>519556</v>
      </c>
      <c r="AB84" s="422">
        <v>1039112</v>
      </c>
      <c r="AC84" s="225">
        <v>519556</v>
      </c>
      <c r="AD84" s="225" t="s">
        <v>78</v>
      </c>
      <c r="AE84" s="225" t="s">
        <v>78</v>
      </c>
      <c r="AF84" s="125">
        <f t="shared" si="51"/>
        <v>2078224</v>
      </c>
      <c r="AG84" s="127">
        <f t="shared" si="60"/>
        <v>2.7499993383775432</v>
      </c>
      <c r="AH84" s="128"/>
      <c r="AI84" s="223" t="s">
        <v>78</v>
      </c>
      <c r="AJ84" s="131">
        <f t="shared" si="52"/>
        <v>0</v>
      </c>
      <c r="AK84" s="368">
        <f t="shared" si="75"/>
        <v>2804646.4169600001</v>
      </c>
      <c r="AL84" s="375">
        <f t="shared" si="61"/>
        <v>5354325.5912600001</v>
      </c>
      <c r="AM84" s="376">
        <f t="shared" si="62"/>
        <v>1019871.66972</v>
      </c>
      <c r="AN84" s="394">
        <v>226715</v>
      </c>
      <c r="AO84" s="395" t="s">
        <v>274</v>
      </c>
      <c r="AP84" s="396">
        <f t="shared" si="22"/>
        <v>305960.96110000001</v>
      </c>
      <c r="AQ84" s="397"/>
      <c r="AR84" s="439">
        <v>66265</v>
      </c>
      <c r="AS84" s="396">
        <f t="shared" si="23"/>
        <v>89427.268100000001</v>
      </c>
      <c r="AT84" s="397"/>
      <c r="AU84" s="388">
        <f t="shared" si="63"/>
        <v>5749713.8204600001</v>
      </c>
      <c r="AV84" s="389">
        <f t="shared" si="64"/>
        <v>1415259.8989200001</v>
      </c>
      <c r="AW84" s="353" t="s">
        <v>78</v>
      </c>
      <c r="AX84" s="403" t="s">
        <v>358</v>
      </c>
      <c r="AY84" s="404" t="s">
        <v>451</v>
      </c>
    </row>
    <row r="85" spans="1:51" ht="15" customHeight="1">
      <c r="A85" s="1" t="str">
        <f t="shared" si="17"/>
        <v>TSX:AGI_2022_</v>
      </c>
      <c r="B85" s="1" t="str">
        <f t="shared" si="0"/>
        <v>TSX:AGI_2022_CEO</v>
      </c>
      <c r="C85" s="114" t="str">
        <f t="shared" si="82"/>
        <v>TSX:AGI</v>
      </c>
      <c r="D85" s="133" t="str">
        <f>_xll.ciqfunctions.udf.CIQ(C85,"IQ_Company_Name")</f>
        <v>Alamos Gold Inc.</v>
      </c>
      <c r="E85" s="328">
        <f>$F$11</f>
        <v>2022</v>
      </c>
      <c r="F85" s="114" t="str">
        <f t="shared" si="46"/>
        <v>2022-01-01</v>
      </c>
      <c r="G85" s="330" t="str">
        <f t="shared" si="84"/>
        <v>2022-12-31</v>
      </c>
      <c r="H85" s="114">
        <f t="shared" si="54"/>
        <v>12</v>
      </c>
      <c r="I85" s="407" t="str">
        <f>I84</f>
        <v>USD</v>
      </c>
      <c r="J85" s="461">
        <f t="shared" si="19"/>
        <v>1.30175</v>
      </c>
      <c r="K85" s="468"/>
      <c r="L85" s="465" t="str">
        <f t="shared" si="87"/>
        <v>CEO</v>
      </c>
      <c r="M85" s="123" t="str">
        <f t="shared" si="87"/>
        <v>CEO</v>
      </c>
      <c r="N85" s="132" t="str">
        <f t="shared" si="87"/>
        <v>John A. McCluskey</v>
      </c>
      <c r="O85" s="219">
        <v>711048</v>
      </c>
      <c r="P85" s="125">
        <f t="shared" si="78"/>
        <v>925606.73399999994</v>
      </c>
      <c r="Q85" s="311" t="s">
        <v>78</v>
      </c>
      <c r="R85" s="126" t="str">
        <f t="shared" si="79"/>
        <v>-</v>
      </c>
      <c r="S85" s="221">
        <v>977690</v>
      </c>
      <c r="T85" s="125">
        <f t="shared" si="80"/>
        <v>1272707.9575</v>
      </c>
      <c r="U85" s="127">
        <f t="shared" si="49"/>
        <v>1.3749985936251843</v>
      </c>
      <c r="V85" s="128"/>
      <c r="W85" s="223" t="s">
        <v>78</v>
      </c>
      <c r="X85" s="129">
        <f t="shared" si="50"/>
        <v>0</v>
      </c>
      <c r="Y85" s="124">
        <f t="shared" si="58"/>
        <v>2198314.6914999997</v>
      </c>
      <c r="Z85" s="130">
        <f t="shared" si="59"/>
        <v>925606.73399999994</v>
      </c>
      <c r="AA85" s="426">
        <v>426629</v>
      </c>
      <c r="AB85" s="422">
        <v>853257</v>
      </c>
      <c r="AC85" s="444">
        <v>426629</v>
      </c>
      <c r="AD85" s="225" t="s">
        <v>78</v>
      </c>
      <c r="AE85" s="225" t="s">
        <v>78</v>
      </c>
      <c r="AF85" s="125">
        <f t="shared" si="51"/>
        <v>1706515</v>
      </c>
      <c r="AG85" s="127">
        <f t="shared" si="60"/>
        <v>2.399999718725037</v>
      </c>
      <c r="AH85" s="128"/>
      <c r="AI85" s="223" t="s">
        <v>78</v>
      </c>
      <c r="AJ85" s="131">
        <f t="shared" si="52"/>
        <v>0</v>
      </c>
      <c r="AK85" s="368">
        <f t="shared" si="75"/>
        <v>2221455.9012500001</v>
      </c>
      <c r="AL85" s="375">
        <f t="shared" si="61"/>
        <v>4419770.5927499998</v>
      </c>
      <c r="AM85" s="376">
        <f t="shared" si="62"/>
        <v>925606.73399999994</v>
      </c>
      <c r="AN85" s="394">
        <v>202649</v>
      </c>
      <c r="AO85" s="395" t="s">
        <v>274</v>
      </c>
      <c r="AP85" s="396">
        <f t="shared" si="22"/>
        <v>263798.33574999997</v>
      </c>
      <c r="AQ85" s="397"/>
      <c r="AR85" s="439">
        <v>64986</v>
      </c>
      <c r="AS85" s="396">
        <f t="shared" si="23"/>
        <v>84595.525500000003</v>
      </c>
      <c r="AT85" s="397"/>
      <c r="AU85" s="388">
        <f t="shared" si="63"/>
        <v>4768164.4539999999</v>
      </c>
      <c r="AV85" s="389">
        <f t="shared" si="64"/>
        <v>1274000.5952499998</v>
      </c>
      <c r="AW85" s="353" t="s">
        <v>78</v>
      </c>
      <c r="AX85" s="403" t="s">
        <v>358</v>
      </c>
      <c r="AY85" s="404" t="s">
        <v>451</v>
      </c>
    </row>
    <row r="86" spans="1:51" ht="15" customHeight="1">
      <c r="A86" s="1" t="str">
        <f t="shared" si="17"/>
        <v>TSX:AGI_2024_</v>
      </c>
      <c r="B86" s="1" t="str">
        <f t="shared" si="0"/>
        <v>TSX:AGI_2024_CFO</v>
      </c>
      <c r="C86" s="114" t="str">
        <f t="shared" si="82"/>
        <v>TSX:AGI</v>
      </c>
      <c r="D86" s="133" t="str">
        <f>_xll.ciqfunctions.udf.CIQ(C86,"IQ_Company_Name")</f>
        <v>Alamos Gold Inc.</v>
      </c>
      <c r="E86" s="114">
        <f t="shared" si="69"/>
        <v>2024</v>
      </c>
      <c r="F86" s="114" t="str">
        <f t="shared" si="46"/>
        <v>2024-01-01</v>
      </c>
      <c r="G86" s="330" t="str">
        <f t="shared" si="84"/>
        <v>2024-12-31</v>
      </c>
      <c r="H86" s="114">
        <f t="shared" si="54"/>
        <v>12</v>
      </c>
      <c r="I86" s="407" t="str">
        <f>I85</f>
        <v>USD</v>
      </c>
      <c r="J86" s="461">
        <f t="shared" si="19"/>
        <v>1.3701700000000001</v>
      </c>
      <c r="K86" s="468"/>
      <c r="L86" s="464" t="s">
        <v>106</v>
      </c>
      <c r="M86" s="217" t="s">
        <v>106</v>
      </c>
      <c r="N86" s="218" t="s">
        <v>378</v>
      </c>
      <c r="O86" s="219">
        <v>379704</v>
      </c>
      <c r="P86" s="443">
        <v>520000</v>
      </c>
      <c r="Q86" s="311" t="s">
        <v>78</v>
      </c>
      <c r="R86" s="126" t="str">
        <f t="shared" si="79"/>
        <v>-</v>
      </c>
      <c r="S86" s="221">
        <v>390371</v>
      </c>
      <c r="T86" s="125">
        <f t="shared" si="80"/>
        <v>534874.6330700001</v>
      </c>
      <c r="U86" s="127">
        <f t="shared" si="49"/>
        <v>1.0286050635961541</v>
      </c>
      <c r="V86" s="128">
        <f>IFERROR(AVERAGE(U86:U88),"N/A")</f>
        <v>0.85468595496817967</v>
      </c>
      <c r="W86" s="223">
        <v>0.85</v>
      </c>
      <c r="X86" s="129">
        <f t="shared" si="50"/>
        <v>442000</v>
      </c>
      <c r="Y86" s="124">
        <f t="shared" si="58"/>
        <v>1054874.63307</v>
      </c>
      <c r="Z86" s="130">
        <f t="shared" si="59"/>
        <v>962000</v>
      </c>
      <c r="AA86" s="221">
        <f>421143*1/3</f>
        <v>140381</v>
      </c>
      <c r="AB86" s="225">
        <f>421143*2/3</f>
        <v>280762</v>
      </c>
      <c r="AC86" s="225">
        <v>140381</v>
      </c>
      <c r="AD86" s="225" t="s">
        <v>78</v>
      </c>
      <c r="AE86" s="225" t="s">
        <v>78</v>
      </c>
      <c r="AF86" s="125">
        <f t="shared" si="51"/>
        <v>561524</v>
      </c>
      <c r="AG86" s="127">
        <f t="shared" si="60"/>
        <v>1.4795833443846156</v>
      </c>
      <c r="AH86" s="128">
        <f>IFERROR(AVERAGE(AG86:AG88),"N/A")</f>
        <v>1.3284207779804895</v>
      </c>
      <c r="AI86" s="223">
        <v>1.55</v>
      </c>
      <c r="AJ86" s="131">
        <f t="shared" si="52"/>
        <v>806000</v>
      </c>
      <c r="AK86" s="368">
        <f t="shared" si="75"/>
        <v>769383.33908000006</v>
      </c>
      <c r="AL86" s="375">
        <f t="shared" si="61"/>
        <v>1824257.97215</v>
      </c>
      <c r="AM86" s="376">
        <f t="shared" si="62"/>
        <v>1768000</v>
      </c>
      <c r="AN86" s="394">
        <v>92409</v>
      </c>
      <c r="AO86" s="395" t="s">
        <v>274</v>
      </c>
      <c r="AP86" s="396">
        <f t="shared" si="22"/>
        <v>126616.03953000001</v>
      </c>
      <c r="AQ86" s="397">
        <f>IFERROR(AVERAGE(AP86:AP88),"N/A")</f>
        <v>100373.28404666665</v>
      </c>
      <c r="AR86" s="439">
        <v>23626</v>
      </c>
      <c r="AS86" s="396">
        <f t="shared" si="23"/>
        <v>32371.636420000003</v>
      </c>
      <c r="AT86" s="397">
        <f>IFERROR(AVERAGE(AS86:AS88),"N/A")</f>
        <v>28275.662299999996</v>
      </c>
      <c r="AU86" s="388">
        <f t="shared" si="63"/>
        <v>1983245.6481000001</v>
      </c>
      <c r="AV86" s="389">
        <f t="shared" si="64"/>
        <v>1926987.6759500001</v>
      </c>
      <c r="AW86" s="353" t="s">
        <v>78</v>
      </c>
      <c r="AX86" s="403" t="s">
        <v>358</v>
      </c>
      <c r="AY86" s="404" t="s">
        <v>451</v>
      </c>
    </row>
    <row r="87" spans="1:51" ht="15" customHeight="1">
      <c r="A87" s="1" t="str">
        <f t="shared" si="17"/>
        <v>TSX:AGI_2023_</v>
      </c>
      <c r="B87" s="1" t="str">
        <f t="shared" si="0"/>
        <v>TSX:AGI_2023_CFO</v>
      </c>
      <c r="C87" s="114" t="str">
        <f t="shared" si="82"/>
        <v>TSX:AGI</v>
      </c>
      <c r="D87" s="133" t="str">
        <f>_xll.ciqfunctions.udf.CIQ(C87,"IQ_Company_Name")</f>
        <v>Alamos Gold Inc.</v>
      </c>
      <c r="E87" s="114">
        <f t="shared" si="69"/>
        <v>2023</v>
      </c>
      <c r="F87" s="114" t="str">
        <f t="shared" si="46"/>
        <v>2023-01-01</v>
      </c>
      <c r="G87" s="330" t="str">
        <f t="shared" si="84"/>
        <v>2023-12-31</v>
      </c>
      <c r="H87" s="114">
        <f t="shared" si="54"/>
        <v>12</v>
      </c>
      <c r="I87" s="407" t="str">
        <f>I86</f>
        <v>USD</v>
      </c>
      <c r="J87" s="461">
        <f t="shared" si="19"/>
        <v>1.34954</v>
      </c>
      <c r="K87" s="468"/>
      <c r="L87" s="465" t="str">
        <f t="shared" ref="L87:N88" si="88">L86</f>
        <v>CFO</v>
      </c>
      <c r="M87" s="123" t="str">
        <f t="shared" si="88"/>
        <v>CFO</v>
      </c>
      <c r="N87" s="132" t="str">
        <f t="shared" si="88"/>
        <v>Gregory Fisher</v>
      </c>
      <c r="O87" s="219">
        <v>339579</v>
      </c>
      <c r="P87" s="125">
        <f t="shared" si="78"/>
        <v>458275.44365999999</v>
      </c>
      <c r="Q87" s="311" t="s">
        <v>78</v>
      </c>
      <c r="R87" s="126" t="str">
        <f t="shared" si="79"/>
        <v>-</v>
      </c>
      <c r="S87" s="221">
        <v>301955</v>
      </c>
      <c r="T87" s="125">
        <f t="shared" si="80"/>
        <v>407500.35070000001</v>
      </c>
      <c r="U87" s="127">
        <f t="shared" si="49"/>
        <v>0.88920398493428632</v>
      </c>
      <c r="V87" s="128"/>
      <c r="W87" s="223" t="s">
        <v>78</v>
      </c>
      <c r="X87" s="129">
        <f t="shared" si="50"/>
        <v>0</v>
      </c>
      <c r="Y87" s="124">
        <f t="shared" si="58"/>
        <v>865775.79435999994</v>
      </c>
      <c r="Z87" s="130">
        <f t="shared" si="59"/>
        <v>458275.44365999999</v>
      </c>
      <c r="AA87" s="426">
        <v>100540</v>
      </c>
      <c r="AB87" s="422">
        <v>201080</v>
      </c>
      <c r="AC87" s="444">
        <v>100540</v>
      </c>
      <c r="AD87" s="225" t="s">
        <v>78</v>
      </c>
      <c r="AE87" s="225" t="s">
        <v>78</v>
      </c>
      <c r="AF87" s="125">
        <f t="shared" si="51"/>
        <v>402160</v>
      </c>
      <c r="AG87" s="127">
        <f t="shared" si="60"/>
        <v>1.184289959037514</v>
      </c>
      <c r="AH87" s="128"/>
      <c r="AI87" s="223" t="s">
        <v>78</v>
      </c>
      <c r="AJ87" s="131">
        <f t="shared" si="52"/>
        <v>0</v>
      </c>
      <c r="AK87" s="368">
        <f t="shared" si="75"/>
        <v>542731.00639999995</v>
      </c>
      <c r="AL87" s="375">
        <f t="shared" si="61"/>
        <v>1408506.80076</v>
      </c>
      <c r="AM87" s="376">
        <f t="shared" si="62"/>
        <v>458275.44365999999</v>
      </c>
      <c r="AN87" s="394">
        <v>76984</v>
      </c>
      <c r="AO87" s="395" t="s">
        <v>274</v>
      </c>
      <c r="AP87" s="396">
        <f t="shared" si="22"/>
        <v>103892.98736</v>
      </c>
      <c r="AQ87" s="397"/>
      <c r="AR87" s="439">
        <v>22037</v>
      </c>
      <c r="AS87" s="396">
        <f t="shared" si="23"/>
        <v>29739.812979999999</v>
      </c>
      <c r="AT87" s="397"/>
      <c r="AU87" s="388">
        <f t="shared" si="63"/>
        <v>1542139.6010999999</v>
      </c>
      <c r="AV87" s="389">
        <f t="shared" si="64"/>
        <v>591908.24400000006</v>
      </c>
      <c r="AW87" s="353" t="s">
        <v>384</v>
      </c>
      <c r="AX87" s="403" t="s">
        <v>358</v>
      </c>
      <c r="AY87" s="404" t="s">
        <v>451</v>
      </c>
    </row>
    <row r="88" spans="1:51" ht="15" customHeight="1">
      <c r="A88" s="1" t="str">
        <f t="shared" si="17"/>
        <v>TSX:AGI_2022_</v>
      </c>
      <c r="B88" s="1" t="str">
        <f t="shared" si="0"/>
        <v>TSX:AGI_2022_CFO</v>
      </c>
      <c r="C88" s="114" t="str">
        <f t="shared" si="82"/>
        <v>TSX:AGI</v>
      </c>
      <c r="D88" s="133" t="str">
        <f>_xll.ciqfunctions.udf.CIQ(C88,"IQ_Company_Name")</f>
        <v>Alamos Gold Inc.</v>
      </c>
      <c r="E88" s="114">
        <f t="shared" si="69"/>
        <v>2022</v>
      </c>
      <c r="F88" s="114" t="str">
        <f t="shared" si="46"/>
        <v>2022-01-01</v>
      </c>
      <c r="G88" s="330" t="str">
        <f t="shared" si="84"/>
        <v>2022-12-31</v>
      </c>
      <c r="H88" s="114">
        <f t="shared" si="54"/>
        <v>12</v>
      </c>
      <c r="I88" s="407" t="str">
        <f t="shared" si="76"/>
        <v>USD</v>
      </c>
      <c r="J88" s="461">
        <f t="shared" si="19"/>
        <v>1.30175</v>
      </c>
      <c r="K88" s="468"/>
      <c r="L88" s="465" t="str">
        <f t="shared" si="88"/>
        <v>CFO</v>
      </c>
      <c r="M88" s="123" t="str">
        <f t="shared" si="88"/>
        <v>CFO</v>
      </c>
      <c r="N88" s="132" t="str">
        <f t="shared" si="88"/>
        <v>Gregory Fisher</v>
      </c>
      <c r="O88" s="219">
        <v>274580</v>
      </c>
      <c r="P88" s="125">
        <f t="shared" si="78"/>
        <v>357434.51500000001</v>
      </c>
      <c r="Q88" s="311" t="s">
        <v>78</v>
      </c>
      <c r="R88" s="126" t="str">
        <f t="shared" si="79"/>
        <v>-</v>
      </c>
      <c r="S88" s="221">
        <v>177447</v>
      </c>
      <c r="T88" s="125">
        <f t="shared" si="80"/>
        <v>230991.63225</v>
      </c>
      <c r="U88" s="127">
        <f t="shared" si="49"/>
        <v>0.64624881637409859</v>
      </c>
      <c r="V88" s="128"/>
      <c r="W88" s="223" t="s">
        <v>78</v>
      </c>
      <c r="X88" s="129">
        <f t="shared" si="50"/>
        <v>0</v>
      </c>
      <c r="Y88" s="124">
        <f t="shared" si="58"/>
        <v>588426.14725000004</v>
      </c>
      <c r="Z88" s="130">
        <f t="shared" si="59"/>
        <v>357434.51500000001</v>
      </c>
      <c r="AA88" s="426">
        <v>90707</v>
      </c>
      <c r="AB88" s="422">
        <v>181413</v>
      </c>
      <c r="AC88" s="444">
        <v>90707</v>
      </c>
      <c r="AD88" s="225" t="s">
        <v>78</v>
      </c>
      <c r="AE88" s="225" t="s">
        <v>78</v>
      </c>
      <c r="AF88" s="125">
        <f t="shared" si="51"/>
        <v>362827</v>
      </c>
      <c r="AG88" s="127">
        <f t="shared" si="60"/>
        <v>1.3213890305193385</v>
      </c>
      <c r="AH88" s="128"/>
      <c r="AI88" s="223" t="s">
        <v>78</v>
      </c>
      <c r="AJ88" s="131">
        <f t="shared" si="52"/>
        <v>0</v>
      </c>
      <c r="AK88" s="368">
        <f t="shared" si="75"/>
        <v>472310.04725</v>
      </c>
      <c r="AL88" s="375">
        <f t="shared" si="61"/>
        <v>1060736.1945</v>
      </c>
      <c r="AM88" s="376">
        <f t="shared" si="62"/>
        <v>357434.51500000001</v>
      </c>
      <c r="AN88" s="394">
        <v>54243</v>
      </c>
      <c r="AO88" s="395" t="s">
        <v>274</v>
      </c>
      <c r="AP88" s="396">
        <f t="shared" si="22"/>
        <v>70610.825249999994</v>
      </c>
      <c r="AQ88" s="397"/>
      <c r="AR88" s="439">
        <v>17450</v>
      </c>
      <c r="AS88" s="396">
        <f t="shared" si="23"/>
        <v>22715.537499999999</v>
      </c>
      <c r="AT88" s="397"/>
      <c r="AU88" s="388">
        <f t="shared" si="63"/>
        <v>1154062.5572500001</v>
      </c>
      <c r="AV88" s="389">
        <f t="shared" si="64"/>
        <v>450760.87774999999</v>
      </c>
      <c r="AW88" s="353" t="s">
        <v>78</v>
      </c>
      <c r="AX88" s="403" t="s">
        <v>358</v>
      </c>
      <c r="AY88" s="404" t="s">
        <v>451</v>
      </c>
    </row>
    <row r="89" spans="1:51" ht="15" customHeight="1">
      <c r="A89" s="1" t="str">
        <f t="shared" si="17"/>
        <v>TSX:AGI_2024_COO</v>
      </c>
      <c r="B89" s="1" t="str">
        <f t="shared" si="0"/>
        <v>TSX:AGI_2024_NEO1</v>
      </c>
      <c r="C89" s="114" t="str">
        <f t="shared" si="82"/>
        <v>TSX:AGI</v>
      </c>
      <c r="D89" s="133" t="str">
        <f>_xll.ciqfunctions.udf.CIQ(C89,"IQ_Company_Name")</f>
        <v>Alamos Gold Inc.</v>
      </c>
      <c r="E89" s="114">
        <f t="shared" si="69"/>
        <v>2024</v>
      </c>
      <c r="F89" s="330" t="str">
        <f t="shared" si="46"/>
        <v>2024-01-01</v>
      </c>
      <c r="G89" s="330" t="str">
        <f t="shared" si="84"/>
        <v>2024-12-31</v>
      </c>
      <c r="H89" s="114">
        <f t="shared" si="54"/>
        <v>12</v>
      </c>
      <c r="I89" s="407" t="str">
        <f t="shared" si="76"/>
        <v>USD</v>
      </c>
      <c r="J89" s="461">
        <f t="shared" si="19"/>
        <v>1.3701700000000001</v>
      </c>
      <c r="K89" s="468" t="s">
        <v>277</v>
      </c>
      <c r="L89" s="464" t="s">
        <v>107</v>
      </c>
      <c r="M89" s="217" t="s">
        <v>277</v>
      </c>
      <c r="N89" s="218" t="s">
        <v>379</v>
      </c>
      <c r="O89" s="219">
        <v>474630</v>
      </c>
      <c r="P89" s="443">
        <v>650000</v>
      </c>
      <c r="Q89" s="311" t="s">
        <v>78</v>
      </c>
      <c r="R89" s="126" t="str">
        <f t="shared" si="79"/>
        <v>-</v>
      </c>
      <c r="S89" s="221">
        <v>481146</v>
      </c>
      <c r="T89" s="125">
        <f t="shared" si="80"/>
        <v>659251.81482000009</v>
      </c>
      <c r="U89" s="127">
        <f t="shared" si="49"/>
        <v>1.0142335612615385</v>
      </c>
      <c r="V89" s="128">
        <f>IFERROR(AVERAGE(U89:U91),"N/A")</f>
        <v>0.92825290963693519</v>
      </c>
      <c r="W89" s="223">
        <v>0.85</v>
      </c>
      <c r="X89" s="129">
        <f t="shared" si="50"/>
        <v>552500</v>
      </c>
      <c r="Y89" s="124">
        <f t="shared" si="58"/>
        <v>1309251.81482</v>
      </c>
      <c r="Z89" s="130">
        <f t="shared" si="59"/>
        <v>1202500</v>
      </c>
      <c r="AA89" s="221">
        <f>587355*1/3</f>
        <v>195785</v>
      </c>
      <c r="AB89" s="225">
        <f>587355*2/3</f>
        <v>391570</v>
      </c>
      <c r="AC89" s="225">
        <v>195785</v>
      </c>
      <c r="AD89" s="225" t="s">
        <v>78</v>
      </c>
      <c r="AE89" s="225" t="s">
        <v>78</v>
      </c>
      <c r="AF89" s="125">
        <f t="shared" si="51"/>
        <v>783140</v>
      </c>
      <c r="AG89" s="127">
        <f t="shared" si="60"/>
        <v>1.650822975076923</v>
      </c>
      <c r="AH89" s="128">
        <f>IFERROR(AVERAGE(AG89:AG91),"N/A")</f>
        <v>1.6363901002202117</v>
      </c>
      <c r="AI89" s="223">
        <v>1.7</v>
      </c>
      <c r="AJ89" s="131">
        <f t="shared" si="52"/>
        <v>1105000</v>
      </c>
      <c r="AK89" s="368">
        <f t="shared" si="75"/>
        <v>1073034.9338</v>
      </c>
      <c r="AL89" s="375">
        <f t="shared" si="61"/>
        <v>2382286.7486199997</v>
      </c>
      <c r="AM89" s="376">
        <f t="shared" si="62"/>
        <v>2307500</v>
      </c>
      <c r="AN89" s="394">
        <v>114693</v>
      </c>
      <c r="AO89" s="395" t="s">
        <v>274</v>
      </c>
      <c r="AP89" s="396">
        <f t="shared" si="22"/>
        <v>157148.90781</v>
      </c>
      <c r="AQ89" s="397">
        <f>IFERROR(AVERAGE(AP89:AP91),"N/A")</f>
        <v>120254.42277</v>
      </c>
      <c r="AR89" s="439">
        <v>28511</v>
      </c>
      <c r="AS89" s="396">
        <f t="shared" si="23"/>
        <v>39064.916870000001</v>
      </c>
      <c r="AT89" s="397">
        <f>IFERROR(AVERAGE(AS89:AS91),"N/A")</f>
        <v>32173.695833333331</v>
      </c>
      <c r="AU89" s="388">
        <f t="shared" si="63"/>
        <v>2578500.5732999993</v>
      </c>
      <c r="AV89" s="389">
        <f t="shared" si="64"/>
        <v>2503713.8246799996</v>
      </c>
      <c r="AW89" s="353" t="s">
        <v>78</v>
      </c>
      <c r="AX89" s="403" t="s">
        <v>358</v>
      </c>
      <c r="AY89" s="404" t="s">
        <v>451</v>
      </c>
    </row>
    <row r="90" spans="1:51" ht="15" customHeight="1">
      <c r="A90" s="1" t="str">
        <f t="shared" si="17"/>
        <v>TSX:AGI_2023_COO</v>
      </c>
      <c r="B90" s="1" t="str">
        <f t="shared" si="0"/>
        <v>TSX:AGI_2023_NEO1</v>
      </c>
      <c r="C90" s="114" t="str">
        <f t="shared" si="82"/>
        <v>TSX:AGI</v>
      </c>
      <c r="D90" s="133" t="str">
        <f>_xll.ciqfunctions.udf.CIQ(C90,"IQ_Company_Name")</f>
        <v>Alamos Gold Inc.</v>
      </c>
      <c r="E90" s="114">
        <f t="shared" si="69"/>
        <v>2023</v>
      </c>
      <c r="F90" s="330" t="str">
        <f t="shared" si="46"/>
        <v>2023-01-01</v>
      </c>
      <c r="G90" s="330" t="str">
        <f t="shared" si="84"/>
        <v>2023-12-31</v>
      </c>
      <c r="H90" s="114">
        <f t="shared" si="54"/>
        <v>12</v>
      </c>
      <c r="I90" s="407" t="str">
        <f t="shared" si="76"/>
        <v>USD</v>
      </c>
      <c r="J90" s="461">
        <f t="shared" si="19"/>
        <v>1.34954</v>
      </c>
      <c r="K90" s="468" t="s">
        <v>277</v>
      </c>
      <c r="L90" s="465" t="str">
        <f t="shared" ref="L90:N91" si="89">L89</f>
        <v>NEO1</v>
      </c>
      <c r="M90" s="123" t="str">
        <f t="shared" si="89"/>
        <v>COO</v>
      </c>
      <c r="N90" s="132" t="str">
        <f t="shared" si="89"/>
        <v>Luc Guimond</v>
      </c>
      <c r="O90" s="219">
        <v>379711</v>
      </c>
      <c r="P90" s="125">
        <f t="shared" si="78"/>
        <v>512435.18293999997</v>
      </c>
      <c r="Q90" s="311" t="s">
        <v>78</v>
      </c>
      <c r="R90" s="126" t="str">
        <f t="shared" si="79"/>
        <v>-</v>
      </c>
      <c r="S90" s="221">
        <v>375914</v>
      </c>
      <c r="T90" s="125">
        <f t="shared" si="80"/>
        <v>507310.97956000001</v>
      </c>
      <c r="U90" s="127">
        <f t="shared" si="49"/>
        <v>0.99000028969400422</v>
      </c>
      <c r="V90" s="128"/>
      <c r="W90" s="223" t="s">
        <v>78</v>
      </c>
      <c r="X90" s="129">
        <f t="shared" si="50"/>
        <v>0</v>
      </c>
      <c r="Y90" s="124">
        <f t="shared" si="58"/>
        <v>1019746.1625</v>
      </c>
      <c r="Z90" s="130">
        <f t="shared" si="59"/>
        <v>512435.18293999997</v>
      </c>
      <c r="AA90" s="426">
        <v>153969</v>
      </c>
      <c r="AB90" s="422">
        <v>307937</v>
      </c>
      <c r="AC90" s="445">
        <v>153969</v>
      </c>
      <c r="AD90" s="225" t="s">
        <v>78</v>
      </c>
      <c r="AE90" s="225" t="s">
        <v>78</v>
      </c>
      <c r="AF90" s="125">
        <f t="shared" si="51"/>
        <v>615875</v>
      </c>
      <c r="AG90" s="127">
        <f t="shared" si="60"/>
        <v>1.6219572253635002</v>
      </c>
      <c r="AH90" s="128"/>
      <c r="AI90" s="223" t="s">
        <v>78</v>
      </c>
      <c r="AJ90" s="131">
        <f t="shared" si="52"/>
        <v>0</v>
      </c>
      <c r="AK90" s="368">
        <f t="shared" si="75"/>
        <v>831147.94750000001</v>
      </c>
      <c r="AL90" s="375">
        <f t="shared" si="61"/>
        <v>1850894.1099999999</v>
      </c>
      <c r="AM90" s="376">
        <f t="shared" si="62"/>
        <v>512435.18293999997</v>
      </c>
      <c r="AN90" s="394">
        <v>90675</v>
      </c>
      <c r="AO90" s="395" t="s">
        <v>274</v>
      </c>
      <c r="AP90" s="396">
        <f t="shared" si="22"/>
        <v>122369.5395</v>
      </c>
      <c r="AQ90" s="397"/>
      <c r="AR90" s="439">
        <v>23797</v>
      </c>
      <c r="AS90" s="396">
        <f t="shared" si="23"/>
        <v>32115.003379999998</v>
      </c>
      <c r="AT90" s="397"/>
      <c r="AU90" s="388">
        <f t="shared" si="63"/>
        <v>2005378.6528799997</v>
      </c>
      <c r="AV90" s="389">
        <f t="shared" si="64"/>
        <v>666919.72581999993</v>
      </c>
      <c r="AW90" s="447" t="s">
        <v>78</v>
      </c>
      <c r="AX90" s="403" t="s">
        <v>358</v>
      </c>
      <c r="AY90" s="404" t="s">
        <v>451</v>
      </c>
    </row>
    <row r="91" spans="1:51" ht="15" customHeight="1">
      <c r="A91" s="1" t="str">
        <f t="shared" si="17"/>
        <v>TSX:AGI_2022_COO</v>
      </c>
      <c r="B91" s="1" t="str">
        <f t="shared" si="0"/>
        <v>TSX:AGI_2022_NEO1</v>
      </c>
      <c r="C91" s="114" t="str">
        <f t="shared" si="82"/>
        <v>TSX:AGI</v>
      </c>
      <c r="D91" s="133" t="str">
        <f>_xll.ciqfunctions.udf.CIQ(C91,"IQ_Company_Name")</f>
        <v>Alamos Gold Inc.</v>
      </c>
      <c r="E91" s="114">
        <f t="shared" si="69"/>
        <v>2022</v>
      </c>
      <c r="F91" s="114" t="str">
        <f t="shared" si="46"/>
        <v>2022-01-01</v>
      </c>
      <c r="G91" s="330" t="str">
        <f t="shared" si="84"/>
        <v>2022-12-31</v>
      </c>
      <c r="H91" s="114">
        <f t="shared" si="54"/>
        <v>12</v>
      </c>
      <c r="I91" s="407" t="str">
        <f t="shared" si="76"/>
        <v>USD</v>
      </c>
      <c r="J91" s="461">
        <f t="shared" si="19"/>
        <v>1.30175</v>
      </c>
      <c r="K91" s="468" t="s">
        <v>277</v>
      </c>
      <c r="L91" s="465" t="str">
        <f t="shared" si="89"/>
        <v>NEO1</v>
      </c>
      <c r="M91" s="123" t="str">
        <f t="shared" si="89"/>
        <v>COO</v>
      </c>
      <c r="N91" s="132" t="str">
        <f t="shared" si="89"/>
        <v>Luc Guimond</v>
      </c>
      <c r="O91" s="219">
        <v>292106</v>
      </c>
      <c r="P91" s="125">
        <f t="shared" si="78"/>
        <v>380248.98550000001</v>
      </c>
      <c r="Q91" s="311" t="s">
        <v>78</v>
      </c>
      <c r="R91" s="126" t="str">
        <f t="shared" si="79"/>
        <v>-</v>
      </c>
      <c r="S91" s="221">
        <v>227996</v>
      </c>
      <c r="T91" s="125">
        <f t="shared" si="80"/>
        <v>296793.79300000001</v>
      </c>
      <c r="U91" s="127">
        <f t="shared" si="49"/>
        <v>0.78052487795526282</v>
      </c>
      <c r="V91" s="128"/>
      <c r="W91" s="223" t="s">
        <v>78</v>
      </c>
      <c r="X91" s="129">
        <f t="shared" si="50"/>
        <v>0</v>
      </c>
      <c r="Y91" s="124">
        <f t="shared" si="58"/>
        <v>677042.77850000001</v>
      </c>
      <c r="Z91" s="130">
        <f t="shared" si="59"/>
        <v>380248.98550000001</v>
      </c>
      <c r="AA91" s="221" t="s">
        <v>78</v>
      </c>
      <c r="AB91" s="225" t="s">
        <v>78</v>
      </c>
      <c r="AC91" s="225" t="s">
        <v>78</v>
      </c>
      <c r="AD91" s="225" t="s">
        <v>78</v>
      </c>
      <c r="AE91" s="225" t="s">
        <v>78</v>
      </c>
      <c r="AF91" s="125" t="str">
        <f t="shared" si="51"/>
        <v>-</v>
      </c>
      <c r="AG91" s="127" t="str">
        <f t="shared" si="60"/>
        <v>-</v>
      </c>
      <c r="AH91" s="128"/>
      <c r="AI91" s="223" t="s">
        <v>78</v>
      </c>
      <c r="AJ91" s="131">
        <f t="shared" si="52"/>
        <v>0</v>
      </c>
      <c r="AK91" s="368" t="str">
        <f t="shared" si="75"/>
        <v>-</v>
      </c>
      <c r="AL91" s="375">
        <f t="shared" si="61"/>
        <v>677042.77850000001</v>
      </c>
      <c r="AM91" s="376">
        <f t="shared" si="62"/>
        <v>380248.98550000001</v>
      </c>
      <c r="AN91" s="394">
        <v>62412</v>
      </c>
      <c r="AO91" s="395" t="s">
        <v>274</v>
      </c>
      <c r="AP91" s="396">
        <f t="shared" si="22"/>
        <v>81244.820999999996</v>
      </c>
      <c r="AQ91" s="397"/>
      <c r="AR91" s="439">
        <v>19467</v>
      </c>
      <c r="AS91" s="396">
        <f t="shared" si="23"/>
        <v>25341.167249999999</v>
      </c>
      <c r="AT91" s="397"/>
      <c r="AU91" s="388">
        <f t="shared" si="63"/>
        <v>783628.76674999995</v>
      </c>
      <c r="AV91" s="389">
        <f t="shared" si="64"/>
        <v>486834.97375</v>
      </c>
      <c r="AW91" s="447" t="s">
        <v>383</v>
      </c>
      <c r="AX91" s="403" t="s">
        <v>358</v>
      </c>
      <c r="AY91" s="404" t="s">
        <v>451</v>
      </c>
    </row>
    <row r="92" spans="1:51" ht="15" customHeight="1">
      <c r="A92" s="1" t="str">
        <f t="shared" si="17"/>
        <v>TSX:AGI_2024_Region</v>
      </c>
      <c r="B92" s="1" t="str">
        <f t="shared" si="0"/>
        <v>TSX:AGI_2024_NEO3</v>
      </c>
      <c r="C92" s="114" t="str">
        <f t="shared" si="82"/>
        <v>TSX:AGI</v>
      </c>
      <c r="D92" s="133" t="str">
        <f>_xll.ciqfunctions.udf.CIQ(C92,"IQ_Company_Name")</f>
        <v>Alamos Gold Inc.</v>
      </c>
      <c r="E92" s="114">
        <f t="shared" si="69"/>
        <v>2024</v>
      </c>
      <c r="F92" s="114" t="str">
        <f t="shared" si="46"/>
        <v>2024-01-01</v>
      </c>
      <c r="G92" s="330" t="str">
        <f t="shared" si="84"/>
        <v>2024-12-31</v>
      </c>
      <c r="H92" s="114">
        <f t="shared" si="54"/>
        <v>12</v>
      </c>
      <c r="I92" s="407" t="str">
        <f t="shared" si="76"/>
        <v>USD</v>
      </c>
      <c r="J92" s="461">
        <f t="shared" si="19"/>
        <v>1.3701700000000001</v>
      </c>
      <c r="K92" s="468" t="s">
        <v>475</v>
      </c>
      <c r="L92" s="464" t="s">
        <v>109</v>
      </c>
      <c r="M92" s="217" t="s">
        <v>382</v>
      </c>
      <c r="N92" s="218" t="s">
        <v>380</v>
      </c>
      <c r="O92" s="219">
        <v>343026</v>
      </c>
      <c r="P92" s="443">
        <f>IFERROR(343026*(12/$H92)*$J92,"-")</f>
        <v>470003.93442000006</v>
      </c>
      <c r="Q92" s="311" t="s">
        <v>78</v>
      </c>
      <c r="R92" s="126" t="str">
        <f t="shared" si="79"/>
        <v>-</v>
      </c>
      <c r="S92" s="221">
        <v>236322</v>
      </c>
      <c r="T92" s="125">
        <f t="shared" si="80"/>
        <v>323801.31474</v>
      </c>
      <c r="U92" s="127">
        <f t="shared" si="49"/>
        <v>0.68893320039880346</v>
      </c>
      <c r="V92" s="128">
        <f>IFERROR(AVERAGE(U92:U94),"N/A")</f>
        <v>0.67945409933489886</v>
      </c>
      <c r="W92" s="223">
        <v>0.6</v>
      </c>
      <c r="X92" s="129">
        <f t="shared" si="50"/>
        <v>282002.360652</v>
      </c>
      <c r="Y92" s="124">
        <f t="shared" si="58"/>
        <v>793805.24916000012</v>
      </c>
      <c r="Z92" s="130">
        <f t="shared" si="59"/>
        <v>752006.29507200001</v>
      </c>
      <c r="AA92" s="221">
        <f>279302*1/3</f>
        <v>93100.666666666672</v>
      </c>
      <c r="AB92" s="225">
        <f>279302*2/3</f>
        <v>186201.33333333334</v>
      </c>
      <c r="AC92" s="225">
        <v>93101</v>
      </c>
      <c r="AD92" s="225" t="s">
        <v>78</v>
      </c>
      <c r="AE92" s="225" t="s">
        <v>78</v>
      </c>
      <c r="AF92" s="125">
        <f t="shared" si="51"/>
        <v>372403</v>
      </c>
      <c r="AG92" s="127">
        <f t="shared" si="60"/>
        <v>1.0856407386029048</v>
      </c>
      <c r="AH92" s="128">
        <f>IFERROR(AVERAGE(AG92:AG94),"N/A")</f>
        <v>1.0908179182311339</v>
      </c>
      <c r="AI92" s="223" t="s">
        <v>78</v>
      </c>
      <c r="AJ92" s="131">
        <f t="shared" si="52"/>
        <v>512688.71330446686</v>
      </c>
      <c r="AK92" s="368">
        <f t="shared" si="75"/>
        <v>510255.41851000005</v>
      </c>
      <c r="AL92" s="375">
        <f t="shared" si="61"/>
        <v>1304060.6676700001</v>
      </c>
      <c r="AM92" s="376">
        <f t="shared" si="62"/>
        <v>1264695.0083764668</v>
      </c>
      <c r="AN92" s="394" t="s">
        <v>78</v>
      </c>
      <c r="AO92" s="395" t="s">
        <v>78</v>
      </c>
      <c r="AP92" s="396" t="str">
        <f t="shared" si="22"/>
        <v>-</v>
      </c>
      <c r="AQ92" s="397" t="str">
        <f>IFERROR(AVERAGE(AP92:AP94),"N/A")</f>
        <v>N/A</v>
      </c>
      <c r="AR92" s="439">
        <v>27451</v>
      </c>
      <c r="AS92" s="396">
        <f t="shared" si="23"/>
        <v>37612.536670000001</v>
      </c>
      <c r="AT92" s="397">
        <f>IFERROR(AVERAGE(AS92:AS94),"N/A")</f>
        <v>41425.751089999998</v>
      </c>
      <c r="AU92" s="388">
        <f t="shared" si="63"/>
        <v>1341673.2043400002</v>
      </c>
      <c r="AV92" s="389">
        <f t="shared" si="64"/>
        <v>1302307.5450464669</v>
      </c>
      <c r="AW92" s="353" t="s">
        <v>78</v>
      </c>
      <c r="AX92" s="403" t="s">
        <v>358</v>
      </c>
      <c r="AY92" s="404" t="s">
        <v>451</v>
      </c>
    </row>
    <row r="93" spans="1:51" ht="15" customHeight="1">
      <c r="A93" s="1" t="str">
        <f t="shared" si="17"/>
        <v>TSX:AGI_2023_Region</v>
      </c>
      <c r="B93" s="1" t="str">
        <f t="shared" si="0"/>
        <v>TSX:AGI_2023_NEO3</v>
      </c>
      <c r="C93" s="114" t="str">
        <f t="shared" si="82"/>
        <v>TSX:AGI</v>
      </c>
      <c r="D93" s="133" t="str">
        <f>_xll.ciqfunctions.udf.CIQ(C93,"IQ_Company_Name")</f>
        <v>Alamos Gold Inc.</v>
      </c>
      <c r="E93" s="114">
        <f t="shared" si="69"/>
        <v>2023</v>
      </c>
      <c r="F93" s="114" t="str">
        <f t="shared" si="46"/>
        <v>2023-01-01</v>
      </c>
      <c r="G93" s="330" t="str">
        <f t="shared" si="84"/>
        <v>2023-12-31</v>
      </c>
      <c r="H93" s="114">
        <f t="shared" si="54"/>
        <v>12</v>
      </c>
      <c r="I93" s="407" t="str">
        <f t="shared" si="76"/>
        <v>USD</v>
      </c>
      <c r="J93" s="461">
        <f t="shared" si="19"/>
        <v>1.34954</v>
      </c>
      <c r="K93" s="468" t="s">
        <v>475</v>
      </c>
      <c r="L93" s="465" t="str">
        <f t="shared" ref="L93:N94" si="90">L92</f>
        <v>NEO3</v>
      </c>
      <c r="M93" s="123" t="str">
        <f t="shared" si="90"/>
        <v>SVP, Mexico</v>
      </c>
      <c r="N93" s="132" t="str">
        <f t="shared" si="90"/>
        <v>Luis Chavez</v>
      </c>
      <c r="O93" s="219">
        <v>336300</v>
      </c>
      <c r="P93" s="125">
        <f t="shared" si="78"/>
        <v>453850.30199999997</v>
      </c>
      <c r="Q93" s="311" t="s">
        <v>78</v>
      </c>
      <c r="R93" s="126" t="str">
        <f t="shared" si="79"/>
        <v>-</v>
      </c>
      <c r="S93" s="221">
        <v>232047</v>
      </c>
      <c r="T93" s="125">
        <f t="shared" si="80"/>
        <v>313156.70837999997</v>
      </c>
      <c r="U93" s="127">
        <f t="shared" si="49"/>
        <v>0.69</v>
      </c>
      <c r="V93" s="128"/>
      <c r="W93" s="223" t="s">
        <v>78</v>
      </c>
      <c r="X93" s="129">
        <f t="shared" si="50"/>
        <v>0</v>
      </c>
      <c r="Y93" s="124">
        <f t="shared" si="58"/>
        <v>767007.01037999988</v>
      </c>
      <c r="Z93" s="130">
        <f t="shared" si="59"/>
        <v>453850.30199999997</v>
      </c>
      <c r="AA93" s="221">
        <f>273059*1/3</f>
        <v>91019.666666666672</v>
      </c>
      <c r="AB93" s="225">
        <f>273059*2/3</f>
        <v>182039.33333333334</v>
      </c>
      <c r="AC93" s="225">
        <v>91020</v>
      </c>
      <c r="AD93" s="225" t="s">
        <v>78</v>
      </c>
      <c r="AE93" s="225" t="s">
        <v>78</v>
      </c>
      <c r="AF93" s="125">
        <f t="shared" si="51"/>
        <v>364079</v>
      </c>
      <c r="AG93" s="127">
        <f t="shared" si="60"/>
        <v>1.082601843592031</v>
      </c>
      <c r="AH93" s="128"/>
      <c r="AI93" s="223" t="s">
        <v>78</v>
      </c>
      <c r="AJ93" s="131">
        <f t="shared" si="52"/>
        <v>0</v>
      </c>
      <c r="AK93" s="368">
        <f t="shared" si="75"/>
        <v>491339.17365999997</v>
      </c>
      <c r="AL93" s="375">
        <f t="shared" si="61"/>
        <v>1258346.1840399997</v>
      </c>
      <c r="AM93" s="376">
        <f t="shared" si="62"/>
        <v>453850.30199999997</v>
      </c>
      <c r="AN93" s="394" t="s">
        <v>78</v>
      </c>
      <c r="AO93" s="395" t="s">
        <v>78</v>
      </c>
      <c r="AP93" s="396" t="str">
        <f t="shared" si="22"/>
        <v>-</v>
      </c>
      <c r="AQ93" s="397"/>
      <c r="AR93" s="439">
        <v>23740</v>
      </c>
      <c r="AS93" s="396">
        <f t="shared" si="23"/>
        <v>32038.079599999997</v>
      </c>
      <c r="AT93" s="397"/>
      <c r="AU93" s="388">
        <f t="shared" si="63"/>
        <v>1290384.2636399998</v>
      </c>
      <c r="AV93" s="389">
        <f t="shared" si="64"/>
        <v>485888.38159999996</v>
      </c>
      <c r="AW93" s="353" t="s">
        <v>78</v>
      </c>
      <c r="AX93" s="403" t="s">
        <v>358</v>
      </c>
      <c r="AY93" s="404" t="s">
        <v>451</v>
      </c>
    </row>
    <row r="94" spans="1:51" ht="15" customHeight="1">
      <c r="A94" s="1" t="str">
        <f t="shared" si="17"/>
        <v>TSX:AGI_2022_Region</v>
      </c>
      <c r="B94" s="1" t="str">
        <f t="shared" si="0"/>
        <v>TSX:AGI_2022_NEO3</v>
      </c>
      <c r="C94" s="114" t="str">
        <f t="shared" si="82"/>
        <v>TSX:AGI</v>
      </c>
      <c r="D94" s="133" t="str">
        <f>_xll.ciqfunctions.udf.CIQ(C94,"IQ_Company_Name")</f>
        <v>Alamos Gold Inc.</v>
      </c>
      <c r="E94" s="114">
        <f t="shared" si="69"/>
        <v>2022</v>
      </c>
      <c r="F94" s="114" t="str">
        <f t="shared" si="46"/>
        <v>2022-01-01</v>
      </c>
      <c r="G94" s="330" t="str">
        <f t="shared" si="84"/>
        <v>2022-12-31</v>
      </c>
      <c r="H94" s="114">
        <f t="shared" si="54"/>
        <v>12</v>
      </c>
      <c r="I94" s="407" t="str">
        <f t="shared" si="76"/>
        <v>USD</v>
      </c>
      <c r="J94" s="461">
        <f t="shared" si="19"/>
        <v>1.30175</v>
      </c>
      <c r="K94" s="468" t="s">
        <v>475</v>
      </c>
      <c r="L94" s="465" t="str">
        <f t="shared" si="90"/>
        <v>NEO3</v>
      </c>
      <c r="M94" s="123" t="str">
        <f t="shared" si="90"/>
        <v>SVP, Mexico</v>
      </c>
      <c r="N94" s="132" t="str">
        <f t="shared" si="90"/>
        <v>Luis Chavez</v>
      </c>
      <c r="O94" s="219">
        <v>325800</v>
      </c>
      <c r="P94" s="125">
        <f t="shared" si="78"/>
        <v>424110.14999999997</v>
      </c>
      <c r="Q94" s="311" t="s">
        <v>78</v>
      </c>
      <c r="R94" s="126" t="str">
        <f t="shared" si="79"/>
        <v>-</v>
      </c>
      <c r="S94" s="221">
        <v>214842</v>
      </c>
      <c r="T94" s="125">
        <f t="shared" si="80"/>
        <v>279670.5735</v>
      </c>
      <c r="U94" s="127">
        <f t="shared" si="49"/>
        <v>0.65942909760589319</v>
      </c>
      <c r="V94" s="128"/>
      <c r="W94" s="223" t="s">
        <v>78</v>
      </c>
      <c r="X94" s="129">
        <f t="shared" si="50"/>
        <v>0</v>
      </c>
      <c r="Y94" s="124">
        <f t="shared" si="58"/>
        <v>703780.72349999996</v>
      </c>
      <c r="Z94" s="130">
        <f t="shared" si="59"/>
        <v>424110.14999999997</v>
      </c>
      <c r="AA94" s="221">
        <f>269814*1/3</f>
        <v>89938</v>
      </c>
      <c r="AB94" s="225">
        <f>269814*2/3</f>
        <v>179876</v>
      </c>
      <c r="AC94" s="225">
        <v>89938</v>
      </c>
      <c r="AD94" s="225" t="s">
        <v>78</v>
      </c>
      <c r="AE94" s="225" t="s">
        <v>78</v>
      </c>
      <c r="AF94" s="125">
        <f t="shared" si="51"/>
        <v>359752</v>
      </c>
      <c r="AG94" s="127">
        <f t="shared" si="60"/>
        <v>1.1042111724984653</v>
      </c>
      <c r="AH94" s="128"/>
      <c r="AI94" s="223" t="s">
        <v>78</v>
      </c>
      <c r="AJ94" s="131">
        <f t="shared" si="52"/>
        <v>0</v>
      </c>
      <c r="AK94" s="368">
        <f t="shared" si="75"/>
        <v>468307.16599999997</v>
      </c>
      <c r="AL94" s="375">
        <f t="shared" si="61"/>
        <v>1172087.8895</v>
      </c>
      <c r="AM94" s="376">
        <f t="shared" si="62"/>
        <v>424110.14999999997</v>
      </c>
      <c r="AN94" s="394" t="s">
        <v>78</v>
      </c>
      <c r="AO94" s="395" t="s">
        <v>78</v>
      </c>
      <c r="AP94" s="396" t="str">
        <f t="shared" si="22"/>
        <v>-</v>
      </c>
      <c r="AQ94" s="397"/>
      <c r="AR94" s="439">
        <v>41964</v>
      </c>
      <c r="AS94" s="396">
        <f t="shared" si="23"/>
        <v>54626.636999999995</v>
      </c>
      <c r="AT94" s="397"/>
      <c r="AU94" s="388">
        <f t="shared" si="63"/>
        <v>1226714.5265000002</v>
      </c>
      <c r="AV94" s="389">
        <f t="shared" si="64"/>
        <v>478736.78699999995</v>
      </c>
      <c r="AW94" s="353" t="s">
        <v>78</v>
      </c>
      <c r="AX94" s="403" t="s">
        <v>358</v>
      </c>
      <c r="AY94" s="404" t="s">
        <v>451</v>
      </c>
    </row>
    <row r="95" spans="1:51" ht="15" customHeight="1">
      <c r="A95" s="1" t="str">
        <f t="shared" si="17"/>
        <v>TSX:AGI_2024_Tech</v>
      </c>
      <c r="B95" s="1" t="str">
        <f t="shared" si="0"/>
        <v>TSX:AGI_2024_NEO2</v>
      </c>
      <c r="C95" s="114" t="str">
        <f t="shared" si="82"/>
        <v>TSX:AGI</v>
      </c>
      <c r="D95" s="133" t="str">
        <f>_xll.ciqfunctions.udf.CIQ(C95,"IQ_Company_Name")</f>
        <v>Alamos Gold Inc.</v>
      </c>
      <c r="E95" s="114">
        <f t="shared" si="69"/>
        <v>2024</v>
      </c>
      <c r="F95" s="114" t="str">
        <f t="shared" si="46"/>
        <v>2024-01-01</v>
      </c>
      <c r="G95" s="330" t="str">
        <f t="shared" si="84"/>
        <v>2024-12-31</v>
      </c>
      <c r="H95" s="114">
        <f t="shared" si="54"/>
        <v>12</v>
      </c>
      <c r="I95" s="407" t="str">
        <f t="shared" si="76"/>
        <v>USD</v>
      </c>
      <c r="J95" s="461">
        <f t="shared" si="19"/>
        <v>1.3701700000000001</v>
      </c>
      <c r="K95" s="468" t="s">
        <v>469</v>
      </c>
      <c r="L95" s="464" t="s">
        <v>108</v>
      </c>
      <c r="M95" s="217" t="s">
        <v>354</v>
      </c>
      <c r="N95" s="218" t="s">
        <v>381</v>
      </c>
      <c r="O95" s="219">
        <v>324939</v>
      </c>
      <c r="P95" s="443">
        <v>445000</v>
      </c>
      <c r="Q95" s="311" t="s">
        <v>78</v>
      </c>
      <c r="R95" s="126" t="str">
        <f t="shared" si="79"/>
        <v>-</v>
      </c>
      <c r="S95" s="221">
        <v>274655</v>
      </c>
      <c r="T95" s="125">
        <f t="shared" si="80"/>
        <v>376324.04135000001</v>
      </c>
      <c r="U95" s="127">
        <f t="shared" si="49"/>
        <v>0.84567200303370793</v>
      </c>
      <c r="V95" s="128">
        <f>IFERROR(AVERAGE(U95:U97),"N/A")</f>
        <v>0.73189047986149858</v>
      </c>
      <c r="W95" s="223">
        <v>0.7</v>
      </c>
      <c r="X95" s="129">
        <f t="shared" si="50"/>
        <v>311500</v>
      </c>
      <c r="Y95" s="124">
        <f t="shared" si="58"/>
        <v>821324.04135000007</v>
      </c>
      <c r="Z95" s="130">
        <f t="shared" si="59"/>
        <v>756500</v>
      </c>
      <c r="AA95" s="221">
        <f>352960*1/3</f>
        <v>117653.33333333333</v>
      </c>
      <c r="AB95" s="225">
        <f>352960*2/3</f>
        <v>235306.66666666666</v>
      </c>
      <c r="AC95" s="225">
        <v>117653</v>
      </c>
      <c r="AD95" s="225" t="s">
        <v>78</v>
      </c>
      <c r="AE95" s="225" t="s">
        <v>78</v>
      </c>
      <c r="AF95" s="125">
        <f t="shared" si="51"/>
        <v>470613</v>
      </c>
      <c r="AG95" s="127">
        <f t="shared" si="60"/>
        <v>1.4490332903595509</v>
      </c>
      <c r="AH95" s="128">
        <f>IFERROR(AVERAGE(AG95:AG97),"N/A")</f>
        <v>1.2992227455522594</v>
      </c>
      <c r="AI95" s="223">
        <v>1.55</v>
      </c>
      <c r="AJ95" s="131">
        <f t="shared" si="52"/>
        <v>689750</v>
      </c>
      <c r="AK95" s="368">
        <f t="shared" si="75"/>
        <v>644819.8142100001</v>
      </c>
      <c r="AL95" s="375">
        <f t="shared" si="61"/>
        <v>1466143.8555600001</v>
      </c>
      <c r="AM95" s="376">
        <f t="shared" si="62"/>
        <v>1446250</v>
      </c>
      <c r="AN95" s="394">
        <v>71951</v>
      </c>
      <c r="AO95" s="395" t="s">
        <v>274</v>
      </c>
      <c r="AP95" s="396">
        <f t="shared" si="22"/>
        <v>98585.101670000004</v>
      </c>
      <c r="AQ95" s="397">
        <f>IFERROR(AVERAGE(AP95:AP97),"N/A")</f>
        <v>88608.353806666666</v>
      </c>
      <c r="AR95" s="439">
        <v>21023</v>
      </c>
      <c r="AS95" s="396">
        <f t="shared" si="23"/>
        <v>28805.083910000001</v>
      </c>
      <c r="AT95" s="397">
        <f>IFERROR(AVERAGE(AS95:AS97),"N/A")</f>
        <v>27737.95955</v>
      </c>
      <c r="AU95" s="388">
        <f t="shared" si="63"/>
        <v>1593534.0411400001</v>
      </c>
      <c r="AV95" s="389">
        <f t="shared" si="64"/>
        <v>1573640.18558</v>
      </c>
      <c r="AW95" s="353" t="s">
        <v>78</v>
      </c>
      <c r="AX95" s="403" t="s">
        <v>358</v>
      </c>
      <c r="AY95" s="404" t="s">
        <v>451</v>
      </c>
    </row>
    <row r="96" spans="1:51" ht="15" customHeight="1">
      <c r="A96" s="1" t="str">
        <f t="shared" si="17"/>
        <v>TSX:AGI_2023_Tech</v>
      </c>
      <c r="B96" s="1" t="str">
        <f t="shared" si="0"/>
        <v>TSX:AGI_2023_NEO2</v>
      </c>
      <c r="C96" s="114" t="str">
        <f t="shared" si="82"/>
        <v>TSX:AGI</v>
      </c>
      <c r="D96" s="133" t="str">
        <f>_xll.ciqfunctions.udf.CIQ(C96,"IQ_Company_Name")</f>
        <v>Alamos Gold Inc.</v>
      </c>
      <c r="E96" s="114">
        <f t="shared" si="69"/>
        <v>2023</v>
      </c>
      <c r="F96" s="114" t="str">
        <f t="shared" si="46"/>
        <v>2023-01-01</v>
      </c>
      <c r="G96" s="330" t="str">
        <f t="shared" si="84"/>
        <v>2023-12-31</v>
      </c>
      <c r="H96" s="114">
        <f t="shared" si="54"/>
        <v>12</v>
      </c>
      <c r="I96" s="407" t="str">
        <f t="shared" si="76"/>
        <v>USD</v>
      </c>
      <c r="J96" s="461">
        <f t="shared" si="19"/>
        <v>1.34954</v>
      </c>
      <c r="K96" s="468" t="s">
        <v>469</v>
      </c>
      <c r="L96" s="465" t="str">
        <f t="shared" ref="L96:N97" si="91">L95</f>
        <v>NEO2</v>
      </c>
      <c r="M96" s="123" t="str">
        <f t="shared" si="91"/>
        <v>SVP, Technical Services</v>
      </c>
      <c r="N96" s="132" t="str">
        <f t="shared" si="91"/>
        <v>Christopher Bostwick</v>
      </c>
      <c r="O96" s="219">
        <v>314883</v>
      </c>
      <c r="P96" s="125">
        <f t="shared" si="78"/>
        <v>424947.20382</v>
      </c>
      <c r="Q96" s="311" t="s">
        <v>78</v>
      </c>
      <c r="R96" s="126" t="str">
        <f t="shared" si="79"/>
        <v>-</v>
      </c>
      <c r="S96" s="221">
        <v>221992</v>
      </c>
      <c r="T96" s="125">
        <f t="shared" si="80"/>
        <v>299587.08367999998</v>
      </c>
      <c r="U96" s="127">
        <f t="shared" si="49"/>
        <v>0.70499836447188313</v>
      </c>
      <c r="V96" s="128"/>
      <c r="W96" s="223" t="s">
        <v>78</v>
      </c>
      <c r="X96" s="129">
        <f t="shared" si="50"/>
        <v>0</v>
      </c>
      <c r="Y96" s="124">
        <f t="shared" si="58"/>
        <v>724534.28749999998</v>
      </c>
      <c r="Z96" s="130">
        <f t="shared" si="59"/>
        <v>424947.20382</v>
      </c>
      <c r="AA96" s="431">
        <v>100966</v>
      </c>
      <c r="AB96" s="422">
        <v>201932</v>
      </c>
      <c r="AC96" s="225">
        <v>100966</v>
      </c>
      <c r="AD96" s="225" t="s">
        <v>78</v>
      </c>
      <c r="AE96" s="225" t="s">
        <v>78</v>
      </c>
      <c r="AF96" s="125">
        <f t="shared" si="51"/>
        <v>403864</v>
      </c>
      <c r="AG96" s="127">
        <f t="shared" si="60"/>
        <v>1.2825843249714972</v>
      </c>
      <c r="AH96" s="128"/>
      <c r="AI96" s="223" t="s">
        <v>78</v>
      </c>
      <c r="AJ96" s="131">
        <f t="shared" si="52"/>
        <v>0</v>
      </c>
      <c r="AK96" s="368">
        <f t="shared" si="75"/>
        <v>545030.62255999993</v>
      </c>
      <c r="AL96" s="375">
        <f t="shared" si="61"/>
        <v>1269564.9100599999</v>
      </c>
      <c r="AM96" s="376">
        <f t="shared" si="62"/>
        <v>424947.20382</v>
      </c>
      <c r="AN96" s="394">
        <v>64425</v>
      </c>
      <c r="AO96" s="395" t="s">
        <v>274</v>
      </c>
      <c r="AP96" s="396">
        <f t="shared" si="22"/>
        <v>86944.114499999996</v>
      </c>
      <c r="AQ96" s="397"/>
      <c r="AR96" s="439">
        <v>20556</v>
      </c>
      <c r="AS96" s="396">
        <f t="shared" si="23"/>
        <v>27741.144239999998</v>
      </c>
      <c r="AT96" s="397"/>
      <c r="AU96" s="388">
        <f t="shared" si="63"/>
        <v>1384250.1687999999</v>
      </c>
      <c r="AV96" s="389">
        <f t="shared" si="64"/>
        <v>539632.46256000001</v>
      </c>
      <c r="AW96" s="353" t="s">
        <v>78</v>
      </c>
      <c r="AX96" s="403" t="s">
        <v>358</v>
      </c>
      <c r="AY96" s="404" t="s">
        <v>451</v>
      </c>
    </row>
    <row r="97" spans="1:51" ht="15" customHeight="1">
      <c r="A97" s="1" t="str">
        <f t="shared" ref="A97:A160" si="92">$C97&amp;"_"&amp;$E97&amp;"_"&amp;$K97</f>
        <v>TSX:AGI_2022_Tech</v>
      </c>
      <c r="B97" s="1" t="str">
        <f t="shared" si="0"/>
        <v>TSX:AGI_2022_NEO2</v>
      </c>
      <c r="C97" s="203" t="str">
        <f t="shared" si="82"/>
        <v>TSX:AGI</v>
      </c>
      <c r="D97" s="205" t="str">
        <f>_xll.ciqfunctions.udf.CIQ(C97,"IQ_Company_Name")</f>
        <v>Alamos Gold Inc.</v>
      </c>
      <c r="E97" s="204">
        <f t="shared" si="69"/>
        <v>2022</v>
      </c>
      <c r="F97" s="204" t="str">
        <f t="shared" si="46"/>
        <v>2022-01-01</v>
      </c>
      <c r="G97" s="331" t="str">
        <f t="shared" si="84"/>
        <v>2022-12-31</v>
      </c>
      <c r="H97" s="204">
        <f t="shared" si="54"/>
        <v>12</v>
      </c>
      <c r="I97" s="408" t="str">
        <f t="shared" si="76"/>
        <v>USD</v>
      </c>
      <c r="J97" s="463">
        <f t="shared" si="19"/>
        <v>1.30175</v>
      </c>
      <c r="K97" s="470" t="s">
        <v>469</v>
      </c>
      <c r="L97" s="466" t="str">
        <f t="shared" si="91"/>
        <v>NEO2</v>
      </c>
      <c r="M97" s="206" t="str">
        <f t="shared" si="91"/>
        <v>SVP, Technical Services</v>
      </c>
      <c r="N97" s="207" t="str">
        <f t="shared" si="91"/>
        <v>Christopher Bostwick</v>
      </c>
      <c r="O97" s="220">
        <v>312477</v>
      </c>
      <c r="P97" s="209">
        <f t="shared" si="78"/>
        <v>406766.93475000001</v>
      </c>
      <c r="Q97" s="312" t="s">
        <v>78</v>
      </c>
      <c r="R97" s="329" t="str">
        <f t="shared" si="79"/>
        <v>-</v>
      </c>
      <c r="S97" s="222">
        <v>201548</v>
      </c>
      <c r="T97" s="209">
        <f t="shared" si="80"/>
        <v>262365.109</v>
      </c>
      <c r="U97" s="211">
        <f t="shared" si="49"/>
        <v>0.645001072078905</v>
      </c>
      <c r="V97" s="212"/>
      <c r="W97" s="224" t="s">
        <v>78</v>
      </c>
      <c r="X97" s="213">
        <f t="shared" si="50"/>
        <v>0</v>
      </c>
      <c r="Y97" s="208">
        <f t="shared" si="58"/>
        <v>669132.04374999995</v>
      </c>
      <c r="Z97" s="214">
        <f t="shared" si="59"/>
        <v>406766.93475000001</v>
      </c>
      <c r="AA97" s="440">
        <v>91091</v>
      </c>
      <c r="AB97" s="441">
        <v>182182</v>
      </c>
      <c r="AC97" s="441">
        <v>91091</v>
      </c>
      <c r="AD97" s="446" t="s">
        <v>78</v>
      </c>
      <c r="AE97" s="226" t="s">
        <v>78</v>
      </c>
      <c r="AF97" s="420">
        <f t="shared" si="51"/>
        <v>364364</v>
      </c>
      <c r="AG97" s="211">
        <f t="shared" si="60"/>
        <v>1.1660506213257296</v>
      </c>
      <c r="AH97" s="212"/>
      <c r="AI97" s="224" t="s">
        <v>78</v>
      </c>
      <c r="AJ97" s="215">
        <f t="shared" si="52"/>
        <v>0</v>
      </c>
      <c r="AK97" s="369">
        <f t="shared" si="75"/>
        <v>474310.837</v>
      </c>
      <c r="AL97" s="377">
        <f t="shared" si="61"/>
        <v>1143442.88075</v>
      </c>
      <c r="AM97" s="378">
        <f t="shared" si="62"/>
        <v>406766.93475000001</v>
      </c>
      <c r="AN97" s="398">
        <v>61683</v>
      </c>
      <c r="AO97" s="399" t="s">
        <v>274</v>
      </c>
      <c r="AP97" s="396">
        <f t="shared" ref="AP97:AP160" si="93">IFERROR(AN97*(12/$H97)*$J97,"-")</f>
        <v>80295.845249999998</v>
      </c>
      <c r="AQ97" s="400"/>
      <c r="AR97" s="941">
        <v>20486</v>
      </c>
      <c r="AS97" s="396">
        <f t="shared" ref="AS97:AS160" si="94">IFERROR(AR97*(12/$H97)*$J97,"-")</f>
        <v>26667.6505</v>
      </c>
      <c r="AT97" s="400"/>
      <c r="AU97" s="390">
        <f t="shared" si="63"/>
        <v>1250406.3765</v>
      </c>
      <c r="AV97" s="391">
        <f t="shared" si="64"/>
        <v>513730.43050000002</v>
      </c>
      <c r="AW97" s="354" t="s">
        <v>78</v>
      </c>
      <c r="AX97" s="405" t="s">
        <v>358</v>
      </c>
      <c r="AY97" s="404" t="s">
        <v>451</v>
      </c>
    </row>
    <row r="98" spans="1:51" ht="15" customHeight="1">
      <c r="A98" s="1" t="str">
        <f t="shared" si="92"/>
        <v>TSX:PAAS_2024_</v>
      </c>
      <c r="B98" s="1" t="str">
        <f t="shared" si="0"/>
        <v>TSX:PAAS_2024_CEO</v>
      </c>
      <c r="C98" s="216" t="str">
        <f>D8</f>
        <v>TSX:PAAS</v>
      </c>
      <c r="D98" s="133" t="str">
        <f>_xll.ciqfunctions.udf.CIQ(C98,"IQ_Company_Name")</f>
        <v>Pan American Silver Corp.</v>
      </c>
      <c r="E98" s="328">
        <f>$F$9</f>
        <v>2024</v>
      </c>
      <c r="F98" s="330" t="str">
        <f t="shared" si="46"/>
        <v>2024-01-01</v>
      </c>
      <c r="G98" s="330" t="str">
        <f t="shared" si="84"/>
        <v>2024-12-31</v>
      </c>
      <c r="H98" s="114">
        <f t="shared" si="54"/>
        <v>12</v>
      </c>
      <c r="I98" s="328" t="s">
        <v>2</v>
      </c>
      <c r="J98" s="461">
        <f t="shared" si="19"/>
        <v>1</v>
      </c>
      <c r="K98" s="468"/>
      <c r="L98" s="464" t="s">
        <v>79</v>
      </c>
      <c r="M98" s="217" t="s">
        <v>79</v>
      </c>
      <c r="N98" s="218" t="s">
        <v>385</v>
      </c>
      <c r="O98" s="219">
        <v>1508000</v>
      </c>
      <c r="P98" s="125">
        <f t="shared" si="78"/>
        <v>1508000</v>
      </c>
      <c r="Q98" s="311" t="s">
        <v>78</v>
      </c>
      <c r="R98" s="126" t="str">
        <f t="shared" si="79"/>
        <v>-</v>
      </c>
      <c r="S98" s="221">
        <v>1932130</v>
      </c>
      <c r="T98" s="125">
        <f t="shared" si="80"/>
        <v>1932130</v>
      </c>
      <c r="U98" s="127">
        <f t="shared" si="49"/>
        <v>1.2812533156498673</v>
      </c>
      <c r="V98" s="128">
        <f>IFERROR(AVERAGE(U98:U100),"N/A")</f>
        <v>1.1351649412522387</v>
      </c>
      <c r="W98" s="223">
        <v>1.25</v>
      </c>
      <c r="X98" s="129">
        <f t="shared" si="50"/>
        <v>1885000</v>
      </c>
      <c r="Y98" s="124">
        <f t="shared" si="58"/>
        <v>3440130</v>
      </c>
      <c r="Z98" s="130">
        <f t="shared" si="59"/>
        <v>3393000</v>
      </c>
      <c r="AA98" s="221">
        <v>1885000</v>
      </c>
      <c r="AB98" s="225">
        <v>2412800</v>
      </c>
      <c r="AC98" s="225" t="s">
        <v>78</v>
      </c>
      <c r="AD98" s="225" t="s">
        <v>78</v>
      </c>
      <c r="AE98" s="225" t="s">
        <v>78</v>
      </c>
      <c r="AF98" s="125">
        <f t="shared" si="51"/>
        <v>4297800</v>
      </c>
      <c r="AG98" s="127">
        <f t="shared" si="60"/>
        <v>2.85</v>
      </c>
      <c r="AH98" s="128">
        <f>IFERROR(AVERAGE(AG98:AG100),"N/A")</f>
        <v>2.583378357043872</v>
      </c>
      <c r="AI98" s="223">
        <v>2.85</v>
      </c>
      <c r="AJ98" s="131">
        <f t="shared" si="52"/>
        <v>4297800</v>
      </c>
      <c r="AK98" s="368">
        <f t="shared" si="75"/>
        <v>4297800</v>
      </c>
      <c r="AL98" s="375">
        <f t="shared" si="61"/>
        <v>7737930</v>
      </c>
      <c r="AM98" s="376">
        <f t="shared" si="62"/>
        <v>7690800</v>
      </c>
      <c r="AN98" s="394">
        <v>678600</v>
      </c>
      <c r="AO98" s="395" t="s">
        <v>274</v>
      </c>
      <c r="AP98" s="396">
        <f t="shared" si="93"/>
        <v>678600</v>
      </c>
      <c r="AQ98" s="409">
        <f>IFERROR(AVERAGE(AP98:AP100),"N/A")</f>
        <v>621750</v>
      </c>
      <c r="AR98" s="401" t="s">
        <v>78</v>
      </c>
      <c r="AS98" s="396" t="str">
        <f t="shared" si="94"/>
        <v>-</v>
      </c>
      <c r="AT98" s="409" t="str">
        <f>IFERROR(AVERAGE(AS98:AS100),"N/A")</f>
        <v>N/A</v>
      </c>
      <c r="AU98" s="388">
        <f t="shared" si="63"/>
        <v>8416530</v>
      </c>
      <c r="AV98" s="389">
        <f t="shared" si="64"/>
        <v>8369400</v>
      </c>
      <c r="AW98" s="353" t="s">
        <v>392</v>
      </c>
      <c r="AX98" s="418" t="s">
        <v>358</v>
      </c>
      <c r="AY98" s="404" t="s">
        <v>451</v>
      </c>
    </row>
    <row r="99" spans="1:51" ht="15" customHeight="1">
      <c r="A99" s="1" t="str">
        <f t="shared" si="92"/>
        <v>TSX:PAAS_2023_</v>
      </c>
      <c r="B99" s="1" t="str">
        <f t="shared" si="0"/>
        <v>TSX:PAAS_2023_CEO</v>
      </c>
      <c r="C99" s="114" t="str">
        <f>C98</f>
        <v>TSX:PAAS</v>
      </c>
      <c r="D99" s="133" t="str">
        <f>_xll.ciqfunctions.udf.CIQ(C99,"IQ_Company_Name")</f>
        <v>Pan American Silver Corp.</v>
      </c>
      <c r="E99" s="328">
        <f>$F$10</f>
        <v>2023</v>
      </c>
      <c r="F99" s="330" t="str">
        <f t="shared" si="46"/>
        <v>2023-01-01</v>
      </c>
      <c r="G99" s="330" t="str">
        <f t="shared" si="84"/>
        <v>2023-12-31</v>
      </c>
      <c r="H99" s="114">
        <f t="shared" si="54"/>
        <v>12</v>
      </c>
      <c r="I99" s="407" t="str">
        <f>I98</f>
        <v>CAD</v>
      </c>
      <c r="J99" s="461">
        <f t="shared" si="19"/>
        <v>1</v>
      </c>
      <c r="K99" s="468"/>
      <c r="L99" s="465" t="str">
        <f t="shared" ref="L99:N100" si="95">L98</f>
        <v>CEO</v>
      </c>
      <c r="M99" s="123" t="str">
        <f t="shared" si="95"/>
        <v>CEO</v>
      </c>
      <c r="N99" s="132" t="str">
        <f t="shared" si="95"/>
        <v>Michael Steinmann</v>
      </c>
      <c r="O99" s="219">
        <v>1425175</v>
      </c>
      <c r="P99" s="125">
        <f t="shared" si="78"/>
        <v>1425175</v>
      </c>
      <c r="Q99" s="311" t="s">
        <v>78</v>
      </c>
      <c r="R99" s="126" t="str">
        <f t="shared" si="79"/>
        <v>-</v>
      </c>
      <c r="S99" s="221">
        <v>1914000</v>
      </c>
      <c r="T99" s="125">
        <f t="shared" si="80"/>
        <v>1914000</v>
      </c>
      <c r="U99" s="127">
        <f t="shared" si="49"/>
        <v>1.3429929657761328</v>
      </c>
      <c r="V99" s="128"/>
      <c r="W99" s="223" t="s">
        <v>78</v>
      </c>
      <c r="X99" s="129">
        <f t="shared" si="50"/>
        <v>0</v>
      </c>
      <c r="Y99" s="124">
        <f t="shared" si="58"/>
        <v>3339175</v>
      </c>
      <c r="Z99" s="130">
        <f t="shared" si="59"/>
        <v>1425175</v>
      </c>
      <c r="AA99" s="426">
        <f>(5483200-1350000)*0.11</f>
        <v>454652</v>
      </c>
      <c r="AB99" s="426">
        <f>(5483200-1350000)*0.56</f>
        <v>2314592</v>
      </c>
      <c r="AC99" s="449" t="s">
        <v>78</v>
      </c>
      <c r="AD99" s="422">
        <f>(5483200-1350000)*0.33</f>
        <v>1363956</v>
      </c>
      <c r="AE99" s="225" t="s">
        <v>78</v>
      </c>
      <c r="AF99" s="125">
        <f t="shared" si="51"/>
        <v>4133200</v>
      </c>
      <c r="AG99" s="127">
        <f t="shared" si="60"/>
        <v>2.9001350711316154</v>
      </c>
      <c r="AH99" s="128"/>
      <c r="AI99" s="223" t="s">
        <v>78</v>
      </c>
      <c r="AJ99" s="131">
        <f t="shared" si="52"/>
        <v>0</v>
      </c>
      <c r="AK99" s="368">
        <f t="shared" si="75"/>
        <v>4133200</v>
      </c>
      <c r="AL99" s="375">
        <f t="shared" si="61"/>
        <v>7472375</v>
      </c>
      <c r="AM99" s="376">
        <f t="shared" si="62"/>
        <v>1425175</v>
      </c>
      <c r="AN99" s="394">
        <v>607815</v>
      </c>
      <c r="AO99" s="395" t="s">
        <v>274</v>
      </c>
      <c r="AP99" s="396">
        <f t="shared" si="93"/>
        <v>607815</v>
      </c>
      <c r="AQ99" s="397"/>
      <c r="AR99" s="401" t="s">
        <v>78</v>
      </c>
      <c r="AS99" s="396" t="str">
        <f t="shared" si="94"/>
        <v>-</v>
      </c>
      <c r="AT99" s="397"/>
      <c r="AU99" s="388">
        <f t="shared" si="63"/>
        <v>8080190</v>
      </c>
      <c r="AV99" s="389">
        <f t="shared" si="64"/>
        <v>2032990</v>
      </c>
      <c r="AW99" s="353" t="s">
        <v>78</v>
      </c>
      <c r="AX99" s="403" t="s">
        <v>358</v>
      </c>
      <c r="AY99" s="404" t="s">
        <v>451</v>
      </c>
    </row>
    <row r="100" spans="1:51" ht="15" customHeight="1">
      <c r="A100" s="1" t="str">
        <f t="shared" si="92"/>
        <v>TSX:PAAS_2022_</v>
      </c>
      <c r="B100" s="1" t="str">
        <f t="shared" si="0"/>
        <v>TSX:PAAS_2022_CEO</v>
      </c>
      <c r="C100" s="114" t="str">
        <f t="shared" si="82"/>
        <v>TSX:PAAS</v>
      </c>
      <c r="D100" s="133" t="str">
        <f>_xll.ciqfunctions.udf.CIQ(C100,"IQ_Company_Name")</f>
        <v>Pan American Silver Corp.</v>
      </c>
      <c r="E100" s="328">
        <f>$F$11</f>
        <v>2022</v>
      </c>
      <c r="F100" s="114" t="str">
        <f t="shared" si="46"/>
        <v>2022-01-01</v>
      </c>
      <c r="G100" s="330" t="str">
        <f t="shared" si="84"/>
        <v>2022-12-31</v>
      </c>
      <c r="H100" s="114">
        <f t="shared" si="54"/>
        <v>12</v>
      </c>
      <c r="I100" s="407" t="str">
        <f>I99</f>
        <v>CAD</v>
      </c>
      <c r="J100" s="461">
        <f t="shared" si="19"/>
        <v>1</v>
      </c>
      <c r="K100" s="468"/>
      <c r="L100" s="465" t="str">
        <f t="shared" si="95"/>
        <v>CEO</v>
      </c>
      <c r="M100" s="123" t="str">
        <f t="shared" si="95"/>
        <v>CEO</v>
      </c>
      <c r="N100" s="132" t="str">
        <f t="shared" si="95"/>
        <v>Michael Steinmann</v>
      </c>
      <c r="O100" s="219">
        <v>1286300</v>
      </c>
      <c r="P100" s="125">
        <f t="shared" si="78"/>
        <v>1286300</v>
      </c>
      <c r="Q100" s="311" t="s">
        <v>78</v>
      </c>
      <c r="R100" s="126" t="str">
        <f t="shared" si="79"/>
        <v>-</v>
      </c>
      <c r="S100" s="221">
        <v>1004920</v>
      </c>
      <c r="T100" s="125">
        <f t="shared" si="80"/>
        <v>1004920</v>
      </c>
      <c r="U100" s="127">
        <f t="shared" si="49"/>
        <v>0.78124854233071606</v>
      </c>
      <c r="V100" s="128"/>
      <c r="W100" s="223" t="s">
        <v>78</v>
      </c>
      <c r="X100" s="129">
        <f t="shared" si="50"/>
        <v>0</v>
      </c>
      <c r="Y100" s="124">
        <f t="shared" si="58"/>
        <v>2291220</v>
      </c>
      <c r="Z100" s="130">
        <f t="shared" si="59"/>
        <v>1286300</v>
      </c>
      <c r="AA100" s="426">
        <v>964725</v>
      </c>
      <c r="AB100" s="426">
        <v>1286300</v>
      </c>
      <c r="AC100" s="422" t="s">
        <v>78</v>
      </c>
      <c r="AD100" s="422">
        <v>321575</v>
      </c>
      <c r="AE100" s="225" t="s">
        <v>78</v>
      </c>
      <c r="AF100" s="125">
        <f t="shared" si="51"/>
        <v>2572600</v>
      </c>
      <c r="AG100" s="127">
        <f t="shared" si="60"/>
        <v>2</v>
      </c>
      <c r="AH100" s="128"/>
      <c r="AI100" s="223" t="s">
        <v>78</v>
      </c>
      <c r="AJ100" s="131">
        <f t="shared" si="52"/>
        <v>0</v>
      </c>
      <c r="AK100" s="368">
        <f t="shared" ref="AK100:AK142" si="96">IFERROR($AF100*$J100,"-")</f>
        <v>2572600</v>
      </c>
      <c r="AL100" s="375">
        <f t="shared" si="61"/>
        <v>4863820</v>
      </c>
      <c r="AM100" s="376">
        <f t="shared" si="62"/>
        <v>1286300</v>
      </c>
      <c r="AN100" s="394">
        <v>578835</v>
      </c>
      <c r="AO100" s="395" t="s">
        <v>274</v>
      </c>
      <c r="AP100" s="396">
        <f t="shared" si="93"/>
        <v>578835</v>
      </c>
      <c r="AQ100" s="397"/>
      <c r="AR100" s="401" t="s">
        <v>78</v>
      </c>
      <c r="AS100" s="396" t="str">
        <f t="shared" si="94"/>
        <v>-</v>
      </c>
      <c r="AT100" s="397"/>
      <c r="AU100" s="388">
        <f t="shared" si="63"/>
        <v>5442655</v>
      </c>
      <c r="AV100" s="389">
        <f t="shared" si="64"/>
        <v>1865135</v>
      </c>
      <c r="AW100" s="353" t="s">
        <v>78</v>
      </c>
      <c r="AX100" s="403" t="s">
        <v>358</v>
      </c>
      <c r="AY100" s="404" t="s">
        <v>451</v>
      </c>
    </row>
    <row r="101" spans="1:51" ht="15" customHeight="1">
      <c r="A101" s="1" t="str">
        <f t="shared" si="92"/>
        <v>TSX:PAAS_2024_COO</v>
      </c>
      <c r="B101" s="1" t="str">
        <f t="shared" si="0"/>
        <v>TSX:PAAS_2024_NEO1</v>
      </c>
      <c r="C101" s="114" t="str">
        <f t="shared" si="82"/>
        <v>TSX:PAAS</v>
      </c>
      <c r="D101" s="133" t="str">
        <f>_xll.ciqfunctions.udf.CIQ(C101,"IQ_Company_Name")</f>
        <v>Pan American Silver Corp.</v>
      </c>
      <c r="E101" s="114">
        <f t="shared" si="69"/>
        <v>2024</v>
      </c>
      <c r="F101" s="114" t="str">
        <f t="shared" si="46"/>
        <v>2024-01-01</v>
      </c>
      <c r="G101" s="330" t="str">
        <f t="shared" si="84"/>
        <v>2024-12-31</v>
      </c>
      <c r="H101" s="114">
        <f t="shared" si="54"/>
        <v>12</v>
      </c>
      <c r="I101" s="407" t="str">
        <f>I100</f>
        <v>CAD</v>
      </c>
      <c r="J101" s="461">
        <f t="shared" si="19"/>
        <v>1</v>
      </c>
      <c r="K101" s="468" t="s">
        <v>277</v>
      </c>
      <c r="L101" s="467" t="s">
        <v>107</v>
      </c>
      <c r="M101" s="217" t="s">
        <v>277</v>
      </c>
      <c r="N101" s="218" t="s">
        <v>386</v>
      </c>
      <c r="O101" s="219">
        <v>780000</v>
      </c>
      <c r="P101" s="125">
        <f t="shared" si="78"/>
        <v>780000</v>
      </c>
      <c r="Q101" s="311" t="s">
        <v>78</v>
      </c>
      <c r="R101" s="126" t="str">
        <f t="shared" si="79"/>
        <v>-</v>
      </c>
      <c r="S101" s="221">
        <v>639000</v>
      </c>
      <c r="T101" s="125">
        <f t="shared" si="80"/>
        <v>639000</v>
      </c>
      <c r="U101" s="127">
        <f t="shared" si="49"/>
        <v>0.81923076923076921</v>
      </c>
      <c r="V101" s="128">
        <f>IFERROR(AVERAGE(U101:U103),"N/A")</f>
        <v>0.72375770976376119</v>
      </c>
      <c r="W101" s="223">
        <v>0.8</v>
      </c>
      <c r="X101" s="129">
        <f t="shared" si="50"/>
        <v>624000</v>
      </c>
      <c r="Y101" s="124">
        <f t="shared" si="58"/>
        <v>1419000</v>
      </c>
      <c r="Z101" s="130">
        <f t="shared" si="59"/>
        <v>1404000</v>
      </c>
      <c r="AA101" s="221">
        <v>936000</v>
      </c>
      <c r="AB101" s="225">
        <v>780000</v>
      </c>
      <c r="AC101" s="225" t="s">
        <v>78</v>
      </c>
      <c r="AD101" s="225" t="s">
        <v>78</v>
      </c>
      <c r="AE101" s="225" t="s">
        <v>78</v>
      </c>
      <c r="AF101" s="125">
        <f t="shared" si="51"/>
        <v>1716000</v>
      </c>
      <c r="AG101" s="127">
        <f t="shared" si="60"/>
        <v>2.2000000000000002</v>
      </c>
      <c r="AH101" s="128">
        <f>IFERROR(AVERAGE(AG101:AG103),"N/A")</f>
        <v>1.9396201042191965</v>
      </c>
      <c r="AI101" s="223">
        <v>2.2000000000000002</v>
      </c>
      <c r="AJ101" s="131">
        <f t="shared" si="52"/>
        <v>1716000.0000000002</v>
      </c>
      <c r="AK101" s="368">
        <f t="shared" si="96"/>
        <v>1716000</v>
      </c>
      <c r="AL101" s="375">
        <f t="shared" si="61"/>
        <v>3135000</v>
      </c>
      <c r="AM101" s="376">
        <f t="shared" si="62"/>
        <v>3120000</v>
      </c>
      <c r="AN101" s="394">
        <v>351000</v>
      </c>
      <c r="AO101" s="395" t="s">
        <v>274</v>
      </c>
      <c r="AP101" s="396">
        <f t="shared" si="93"/>
        <v>351000</v>
      </c>
      <c r="AQ101" s="397">
        <f>IFERROR(AVERAGE(AP101:AP103),"N/A")</f>
        <v>329175</v>
      </c>
      <c r="AR101" s="401" t="s">
        <v>78</v>
      </c>
      <c r="AS101" s="396" t="str">
        <f t="shared" si="94"/>
        <v>-</v>
      </c>
      <c r="AT101" s="397" t="str">
        <f>IFERROR(AVERAGE(AS101:AS103),"N/A")</f>
        <v>N/A</v>
      </c>
      <c r="AU101" s="388">
        <f t="shared" si="63"/>
        <v>3486000</v>
      </c>
      <c r="AV101" s="389">
        <f t="shared" si="64"/>
        <v>3471000</v>
      </c>
      <c r="AW101" s="353" t="s">
        <v>78</v>
      </c>
      <c r="AX101" s="403" t="s">
        <v>358</v>
      </c>
      <c r="AY101" s="404" t="s">
        <v>451</v>
      </c>
    </row>
    <row r="102" spans="1:51" ht="15" customHeight="1">
      <c r="A102" s="1" t="str">
        <f t="shared" si="92"/>
        <v>TSX:PAAS_2023_COO</v>
      </c>
      <c r="B102" s="1" t="str">
        <f t="shared" ref="B102:B165" si="97">$C102&amp;"_"&amp;$E102&amp;"_"&amp;$L102</f>
        <v>TSX:PAAS_2023_NEO1</v>
      </c>
      <c r="C102" s="114" t="str">
        <f t="shared" si="82"/>
        <v>TSX:PAAS</v>
      </c>
      <c r="D102" s="133" t="str">
        <f>_xll.ciqfunctions.udf.CIQ(C102,"IQ_Company_Name")</f>
        <v>Pan American Silver Corp.</v>
      </c>
      <c r="E102" s="114">
        <f t="shared" si="69"/>
        <v>2023</v>
      </c>
      <c r="F102" s="114" t="str">
        <f t="shared" si="46"/>
        <v>2023-01-01</v>
      </c>
      <c r="G102" s="330" t="str">
        <f t="shared" si="84"/>
        <v>2023-12-31</v>
      </c>
      <c r="H102" s="114">
        <f t="shared" si="54"/>
        <v>12</v>
      </c>
      <c r="I102" s="407" t="str">
        <f>I101</f>
        <v>CAD</v>
      </c>
      <c r="J102" s="461">
        <f t="shared" si="19"/>
        <v>1</v>
      </c>
      <c r="K102" s="468" t="s">
        <v>277</v>
      </c>
      <c r="L102" s="465" t="str">
        <f t="shared" ref="L102:N103" si="98">L101</f>
        <v>NEO1</v>
      </c>
      <c r="M102" s="123" t="str">
        <f t="shared" si="98"/>
        <v>COO</v>
      </c>
      <c r="N102" s="132" t="str">
        <f t="shared" si="98"/>
        <v>Steven Busby</v>
      </c>
      <c r="O102" s="219">
        <v>743625</v>
      </c>
      <c r="P102" s="125">
        <f t="shared" si="78"/>
        <v>743625</v>
      </c>
      <c r="Q102" s="311" t="s">
        <v>78</v>
      </c>
      <c r="R102" s="126" t="str">
        <f t="shared" si="79"/>
        <v>-</v>
      </c>
      <c r="S102" s="221">
        <v>633600</v>
      </c>
      <c r="T102" s="125">
        <f t="shared" si="80"/>
        <v>633600</v>
      </c>
      <c r="U102" s="127">
        <f t="shared" si="49"/>
        <v>0.85204236006051437</v>
      </c>
      <c r="V102" s="128"/>
      <c r="W102" s="223" t="s">
        <v>78</v>
      </c>
      <c r="X102" s="129">
        <f t="shared" si="50"/>
        <v>0</v>
      </c>
      <c r="Y102" s="124">
        <f t="shared" si="58"/>
        <v>1377225</v>
      </c>
      <c r="Z102" s="130">
        <f t="shared" si="59"/>
        <v>743625</v>
      </c>
      <c r="AA102" s="426">
        <f>(2374500-724500)*0.14</f>
        <v>231000.00000000003</v>
      </c>
      <c r="AB102" s="426">
        <f>(2374500-724500)*0.45</f>
        <v>742500</v>
      </c>
      <c r="AC102" s="422" t="s">
        <v>78</v>
      </c>
      <c r="AD102" s="426">
        <f>(2374500-724500)*0.41</f>
        <v>676500</v>
      </c>
      <c r="AE102" s="225" t="s">
        <v>78</v>
      </c>
      <c r="AF102" s="125">
        <f t="shared" si="51"/>
        <v>1650000</v>
      </c>
      <c r="AG102" s="127">
        <f t="shared" si="60"/>
        <v>2.2188603126575894</v>
      </c>
      <c r="AH102" s="128"/>
      <c r="AI102" s="223" t="s">
        <v>78</v>
      </c>
      <c r="AJ102" s="131">
        <f t="shared" si="52"/>
        <v>0</v>
      </c>
      <c r="AK102" s="368">
        <f t="shared" si="96"/>
        <v>1650000</v>
      </c>
      <c r="AL102" s="375">
        <f t="shared" si="61"/>
        <v>3027225</v>
      </c>
      <c r="AM102" s="376">
        <f t="shared" si="62"/>
        <v>743625</v>
      </c>
      <c r="AN102" s="394">
        <v>326025</v>
      </c>
      <c r="AO102" s="395" t="s">
        <v>274</v>
      </c>
      <c r="AP102" s="396">
        <f t="shared" si="93"/>
        <v>326025</v>
      </c>
      <c r="AQ102" s="397"/>
      <c r="AR102" s="401" t="s">
        <v>78</v>
      </c>
      <c r="AS102" s="396" t="str">
        <f t="shared" si="94"/>
        <v>-</v>
      </c>
      <c r="AT102" s="397"/>
      <c r="AU102" s="388">
        <f t="shared" si="63"/>
        <v>3353250</v>
      </c>
      <c r="AV102" s="389">
        <f t="shared" si="64"/>
        <v>1069650</v>
      </c>
      <c r="AW102" s="353" t="s">
        <v>78</v>
      </c>
      <c r="AX102" s="403" t="s">
        <v>358</v>
      </c>
      <c r="AY102" s="404" t="s">
        <v>451</v>
      </c>
    </row>
    <row r="103" spans="1:51" ht="15" customHeight="1">
      <c r="A103" s="1" t="str">
        <f t="shared" si="92"/>
        <v>TSX:PAAS_2022_COO</v>
      </c>
      <c r="B103" s="1" t="str">
        <f t="shared" si="97"/>
        <v>TSX:PAAS_2022_NEO1</v>
      </c>
      <c r="C103" s="114" t="str">
        <f t="shared" si="82"/>
        <v>TSX:PAAS</v>
      </c>
      <c r="D103" s="133" t="str">
        <f>_xll.ciqfunctions.udf.CIQ(C103,"IQ_Company_Name")</f>
        <v>Pan American Silver Corp.</v>
      </c>
      <c r="E103" s="114">
        <f t="shared" si="69"/>
        <v>2022</v>
      </c>
      <c r="F103" s="114" t="str">
        <f t="shared" si="46"/>
        <v>2022-01-01</v>
      </c>
      <c r="G103" s="330" t="str">
        <f t="shared" si="84"/>
        <v>2022-12-31</v>
      </c>
      <c r="H103" s="114">
        <f t="shared" si="54"/>
        <v>12</v>
      </c>
      <c r="I103" s="407" t="str">
        <f t="shared" si="76"/>
        <v>CAD</v>
      </c>
      <c r="J103" s="461">
        <f t="shared" ref="J103:J166" si="99">IF($I103="CAD",1,IF($I103="USD",VLOOKUP($E103,$F$9:$G$11,2,FALSE),"N/A"))</f>
        <v>1</v>
      </c>
      <c r="K103" s="468" t="s">
        <v>277</v>
      </c>
      <c r="L103" s="465" t="str">
        <f t="shared" si="98"/>
        <v>NEO1</v>
      </c>
      <c r="M103" s="123" t="str">
        <f t="shared" si="98"/>
        <v>COO</v>
      </c>
      <c r="N103" s="132" t="str">
        <f t="shared" si="98"/>
        <v>Steven Busby</v>
      </c>
      <c r="O103" s="219">
        <v>690000</v>
      </c>
      <c r="P103" s="125">
        <f t="shared" si="78"/>
        <v>690000</v>
      </c>
      <c r="Q103" s="311" t="s">
        <v>78</v>
      </c>
      <c r="R103" s="126" t="str">
        <f t="shared" si="79"/>
        <v>-</v>
      </c>
      <c r="S103" s="221">
        <v>345000</v>
      </c>
      <c r="T103" s="125">
        <f t="shared" si="80"/>
        <v>345000</v>
      </c>
      <c r="U103" s="127">
        <f t="shared" si="49"/>
        <v>0.5</v>
      </c>
      <c r="V103" s="128"/>
      <c r="W103" s="223" t="s">
        <v>78</v>
      </c>
      <c r="X103" s="129">
        <f t="shared" si="50"/>
        <v>0</v>
      </c>
      <c r="Y103" s="124">
        <f t="shared" si="58"/>
        <v>1035000</v>
      </c>
      <c r="Z103" s="130">
        <f t="shared" si="59"/>
        <v>690000</v>
      </c>
      <c r="AA103" s="426">
        <v>172500</v>
      </c>
      <c r="AB103" s="422">
        <v>276000</v>
      </c>
      <c r="AC103" s="422" t="s">
        <v>78</v>
      </c>
      <c r="AD103" s="422">
        <v>517500</v>
      </c>
      <c r="AE103" s="225" t="s">
        <v>78</v>
      </c>
      <c r="AF103" s="125">
        <f t="shared" ref="AF103:AF157" si="100">IFERROR(IF(SUM(AA103:AE103)=0,IF(COUNTIF($AA103:$AE103,"=0")&gt;0,"$0","-"),SUM(AA103:AE103)),"-")</f>
        <v>966000</v>
      </c>
      <c r="AG103" s="127">
        <f t="shared" si="60"/>
        <v>1.4</v>
      </c>
      <c r="AH103" s="128"/>
      <c r="AI103" s="223" t="s">
        <v>78</v>
      </c>
      <c r="AJ103" s="131">
        <f t="shared" si="52"/>
        <v>0</v>
      </c>
      <c r="AK103" s="368">
        <f t="shared" si="96"/>
        <v>966000</v>
      </c>
      <c r="AL103" s="375">
        <f t="shared" si="61"/>
        <v>2001000</v>
      </c>
      <c r="AM103" s="376">
        <f t="shared" si="62"/>
        <v>690000</v>
      </c>
      <c r="AN103" s="394">
        <v>310500</v>
      </c>
      <c r="AO103" s="395" t="s">
        <v>274</v>
      </c>
      <c r="AP103" s="396">
        <f t="shared" si="93"/>
        <v>310500</v>
      </c>
      <c r="AQ103" s="397"/>
      <c r="AR103" s="401" t="s">
        <v>78</v>
      </c>
      <c r="AS103" s="396" t="str">
        <f t="shared" si="94"/>
        <v>-</v>
      </c>
      <c r="AT103" s="397"/>
      <c r="AU103" s="388">
        <f t="shared" si="63"/>
        <v>2311500</v>
      </c>
      <c r="AV103" s="389">
        <f t="shared" si="64"/>
        <v>1000500</v>
      </c>
      <c r="AW103" s="353" t="s">
        <v>78</v>
      </c>
      <c r="AX103" s="403" t="s">
        <v>358</v>
      </c>
      <c r="AY103" s="404" t="s">
        <v>451</v>
      </c>
    </row>
    <row r="104" spans="1:51" ht="15" customHeight="1">
      <c r="A104" s="1" t="str">
        <f t="shared" si="92"/>
        <v>TSX:PAAS_2024_</v>
      </c>
      <c r="B104" s="1" t="str">
        <f t="shared" si="97"/>
        <v>TSX:PAAS_2024_CFO</v>
      </c>
      <c r="C104" s="114" t="str">
        <f t="shared" si="82"/>
        <v>TSX:PAAS</v>
      </c>
      <c r="D104" s="133" t="str">
        <f>_xll.ciqfunctions.udf.CIQ(C104,"IQ_Company_Name")</f>
        <v>Pan American Silver Corp.</v>
      </c>
      <c r="E104" s="114">
        <f t="shared" si="69"/>
        <v>2024</v>
      </c>
      <c r="F104" s="330" t="str">
        <f t="shared" si="46"/>
        <v>2024-01-01</v>
      </c>
      <c r="G104" s="330" t="str">
        <f t="shared" si="84"/>
        <v>2024-12-31</v>
      </c>
      <c r="H104" s="114">
        <f t="shared" si="54"/>
        <v>12</v>
      </c>
      <c r="I104" s="407" t="str">
        <f t="shared" si="76"/>
        <v>CAD</v>
      </c>
      <c r="J104" s="461">
        <f t="shared" si="99"/>
        <v>1</v>
      </c>
      <c r="K104" s="468"/>
      <c r="L104" s="467" t="s">
        <v>106</v>
      </c>
      <c r="M104" s="217" t="s">
        <v>106</v>
      </c>
      <c r="N104" s="218" t="s">
        <v>387</v>
      </c>
      <c r="O104" s="219">
        <v>575000</v>
      </c>
      <c r="P104" s="125">
        <f t="shared" si="78"/>
        <v>575000</v>
      </c>
      <c r="Q104" s="311" t="s">
        <v>78</v>
      </c>
      <c r="R104" s="126" t="str">
        <f t="shared" si="79"/>
        <v>-</v>
      </c>
      <c r="S104" s="221">
        <v>507730</v>
      </c>
      <c r="T104" s="125">
        <f t="shared" si="80"/>
        <v>507730</v>
      </c>
      <c r="U104" s="127">
        <f t="shared" si="49"/>
        <v>0.88300869565217388</v>
      </c>
      <c r="V104" s="128">
        <f>IFERROR(AVERAGE(U104:U106),"N/A")</f>
        <v>0.83123096872616331</v>
      </c>
      <c r="W104" s="223">
        <v>0.8</v>
      </c>
      <c r="X104" s="129">
        <f t="shared" si="50"/>
        <v>460000</v>
      </c>
      <c r="Y104" s="124">
        <f t="shared" si="58"/>
        <v>1082730</v>
      </c>
      <c r="Z104" s="130">
        <f t="shared" si="59"/>
        <v>1035000</v>
      </c>
      <c r="AA104" s="221">
        <v>575000</v>
      </c>
      <c r="AB104" s="225">
        <v>460000</v>
      </c>
      <c r="AC104" s="225" t="s">
        <v>78</v>
      </c>
      <c r="AD104" s="225" t="s">
        <v>78</v>
      </c>
      <c r="AE104" s="225" t="s">
        <v>78</v>
      </c>
      <c r="AF104" s="125">
        <f t="shared" si="100"/>
        <v>1035000</v>
      </c>
      <c r="AG104" s="127">
        <f t="shared" si="60"/>
        <v>1.8</v>
      </c>
      <c r="AH104" s="128">
        <f>IFERROR(AVERAGE(AG104:AG106),"N/A")</f>
        <v>1.4931567701304544</v>
      </c>
      <c r="AI104" s="223">
        <v>1.8</v>
      </c>
      <c r="AJ104" s="131">
        <f t="shared" si="52"/>
        <v>1035000</v>
      </c>
      <c r="AK104" s="368">
        <f t="shared" si="96"/>
        <v>1035000</v>
      </c>
      <c r="AL104" s="375">
        <f t="shared" si="61"/>
        <v>2117730</v>
      </c>
      <c r="AM104" s="376">
        <f t="shared" si="62"/>
        <v>2070000</v>
      </c>
      <c r="AN104" s="394">
        <v>143750</v>
      </c>
      <c r="AO104" s="395" t="s">
        <v>274</v>
      </c>
      <c r="AP104" s="396">
        <f t="shared" si="93"/>
        <v>143750</v>
      </c>
      <c r="AQ104" s="397">
        <f>IFERROR(AVERAGE(AP104:AP106),"N/A")</f>
        <v>122698.08743169399</v>
      </c>
      <c r="AR104" s="401" t="s">
        <v>78</v>
      </c>
      <c r="AS104" s="396" t="str">
        <f t="shared" si="94"/>
        <v>-</v>
      </c>
      <c r="AT104" s="397" t="str">
        <f>IFERROR(AVERAGE(AS104:AS106),"N/A")</f>
        <v>N/A</v>
      </c>
      <c r="AU104" s="388">
        <f t="shared" si="63"/>
        <v>2261480</v>
      </c>
      <c r="AV104" s="389">
        <f t="shared" si="64"/>
        <v>2213750</v>
      </c>
      <c r="AW104" s="353" t="s">
        <v>78</v>
      </c>
      <c r="AX104" s="403" t="s">
        <v>358</v>
      </c>
      <c r="AY104" s="404" t="s">
        <v>451</v>
      </c>
    </row>
    <row r="105" spans="1:51" ht="15" customHeight="1">
      <c r="A105" s="1" t="str">
        <f t="shared" si="92"/>
        <v>TSX:PAAS_2023_</v>
      </c>
      <c r="B105" s="1" t="str">
        <f t="shared" si="97"/>
        <v>TSX:PAAS_2023_CFO</v>
      </c>
      <c r="C105" s="114" t="str">
        <f t="shared" si="82"/>
        <v>TSX:PAAS</v>
      </c>
      <c r="D105" s="133" t="str">
        <f>_xll.ciqfunctions.udf.CIQ(C105,"IQ_Company_Name")</f>
        <v>Pan American Silver Corp.</v>
      </c>
      <c r="E105" s="114">
        <f t="shared" si="69"/>
        <v>2023</v>
      </c>
      <c r="F105" s="330" t="str">
        <f t="shared" si="46"/>
        <v>2023-01-01</v>
      </c>
      <c r="G105" s="330" t="str">
        <f t="shared" si="84"/>
        <v>2023-12-31</v>
      </c>
      <c r="H105" s="114">
        <f t="shared" si="54"/>
        <v>12</v>
      </c>
      <c r="I105" s="407" t="str">
        <f t="shared" si="76"/>
        <v>CAD</v>
      </c>
      <c r="J105" s="461">
        <f t="shared" si="99"/>
        <v>1</v>
      </c>
      <c r="K105" s="468"/>
      <c r="L105" s="465" t="str">
        <f t="shared" ref="L105:N106" si="101">L104</f>
        <v>CFO</v>
      </c>
      <c r="M105" s="123" t="str">
        <f t="shared" si="101"/>
        <v>CFO</v>
      </c>
      <c r="N105" s="132" t="str">
        <f t="shared" si="101"/>
        <v>Ignacio Couturier</v>
      </c>
      <c r="O105" s="219">
        <v>498750</v>
      </c>
      <c r="P105" s="125">
        <f t="shared" si="78"/>
        <v>498750</v>
      </c>
      <c r="Q105" s="311" t="s">
        <v>78</v>
      </c>
      <c r="R105" s="126" t="str">
        <f t="shared" si="79"/>
        <v>-</v>
      </c>
      <c r="S105" s="221">
        <v>479640</v>
      </c>
      <c r="T105" s="125">
        <f t="shared" si="80"/>
        <v>479640</v>
      </c>
      <c r="U105" s="127">
        <f t="shared" si="49"/>
        <v>0.96168421052631581</v>
      </c>
      <c r="V105" s="128"/>
      <c r="W105" s="223" t="s">
        <v>78</v>
      </c>
      <c r="X105" s="129">
        <f t="shared" si="50"/>
        <v>0</v>
      </c>
      <c r="Y105" s="124">
        <f t="shared" si="58"/>
        <v>978390</v>
      </c>
      <c r="Z105" s="130">
        <f t="shared" si="59"/>
        <v>498750</v>
      </c>
      <c r="AA105" s="426">
        <f>(939750-126000-131250)*0.49</f>
        <v>334425</v>
      </c>
      <c r="AB105" s="426">
        <f>(939750-126000-131250)*0.51</f>
        <v>348075</v>
      </c>
      <c r="AC105" s="422">
        <v>131500</v>
      </c>
      <c r="AD105" s="225" t="s">
        <v>78</v>
      </c>
      <c r="AE105" s="225" t="s">
        <v>78</v>
      </c>
      <c r="AF105" s="125">
        <f t="shared" si="100"/>
        <v>814000</v>
      </c>
      <c r="AG105" s="127">
        <f t="shared" si="60"/>
        <v>1.6320802005012531</v>
      </c>
      <c r="AH105" s="128"/>
      <c r="AI105" s="223" t="s">
        <v>78</v>
      </c>
      <c r="AJ105" s="131">
        <f t="shared" si="52"/>
        <v>0</v>
      </c>
      <c r="AK105" s="368">
        <f t="shared" si="96"/>
        <v>814000</v>
      </c>
      <c r="AL105" s="375">
        <f t="shared" si="61"/>
        <v>1792390</v>
      </c>
      <c r="AM105" s="376">
        <f t="shared" si="62"/>
        <v>498750</v>
      </c>
      <c r="AN105" s="394">
        <v>105000</v>
      </c>
      <c r="AO105" s="395" t="s">
        <v>274</v>
      </c>
      <c r="AP105" s="396">
        <f t="shared" si="93"/>
        <v>105000</v>
      </c>
      <c r="AQ105" s="397"/>
      <c r="AR105" s="401" t="s">
        <v>78</v>
      </c>
      <c r="AS105" s="396" t="str">
        <f t="shared" si="94"/>
        <v>-</v>
      </c>
      <c r="AT105" s="397"/>
      <c r="AU105" s="388">
        <f t="shared" si="63"/>
        <v>1897390</v>
      </c>
      <c r="AV105" s="389">
        <f t="shared" si="64"/>
        <v>603750</v>
      </c>
      <c r="AW105" s="353" t="s">
        <v>78</v>
      </c>
      <c r="AX105" s="403" t="s">
        <v>358</v>
      </c>
      <c r="AY105" s="404" t="s">
        <v>451</v>
      </c>
    </row>
    <row r="106" spans="1:51" ht="15" customHeight="1">
      <c r="A106" s="1" t="str">
        <f t="shared" si="92"/>
        <v>TSX:PAAS_2022_</v>
      </c>
      <c r="B106" s="1" t="str">
        <f t="shared" si="97"/>
        <v>TSX:PAAS_2022_CFO</v>
      </c>
      <c r="C106" s="114" t="str">
        <f t="shared" si="82"/>
        <v>TSX:PAAS</v>
      </c>
      <c r="D106" s="133" t="str">
        <f>_xll.ciqfunctions.udf.CIQ(C106,"IQ_Company_Name")</f>
        <v>Pan American Silver Corp.</v>
      </c>
      <c r="E106" s="114">
        <f t="shared" si="69"/>
        <v>2022</v>
      </c>
      <c r="F106" s="448" t="str">
        <f>E106&amp;"-03-01"</f>
        <v>2022-03-01</v>
      </c>
      <c r="G106" s="330" t="str">
        <f t="shared" si="84"/>
        <v>2022-12-31</v>
      </c>
      <c r="H106" s="114">
        <f t="shared" si="54"/>
        <v>10.054945054945055</v>
      </c>
      <c r="I106" s="407" t="str">
        <f t="shared" si="76"/>
        <v>CAD</v>
      </c>
      <c r="J106" s="461">
        <f t="shared" si="99"/>
        <v>1</v>
      </c>
      <c r="K106" s="468"/>
      <c r="L106" s="465" t="str">
        <f t="shared" si="101"/>
        <v>CFO</v>
      </c>
      <c r="M106" s="123" t="str">
        <f t="shared" si="101"/>
        <v>CFO</v>
      </c>
      <c r="N106" s="132" t="str">
        <f t="shared" si="101"/>
        <v>Ignacio Couturier</v>
      </c>
      <c r="O106" s="219">
        <v>400000</v>
      </c>
      <c r="P106" s="125">
        <f t="shared" si="78"/>
        <v>477377.04918032786</v>
      </c>
      <c r="Q106" s="311" t="s">
        <v>78</v>
      </c>
      <c r="R106" s="126" t="str">
        <f t="shared" si="79"/>
        <v>-</v>
      </c>
      <c r="S106" s="221">
        <v>259600</v>
      </c>
      <c r="T106" s="125">
        <f t="shared" si="80"/>
        <v>309817.7049180328</v>
      </c>
      <c r="U106" s="127">
        <f t="shared" si="49"/>
        <v>0.64900000000000002</v>
      </c>
      <c r="V106" s="128"/>
      <c r="W106" s="223" t="s">
        <v>78</v>
      </c>
      <c r="X106" s="129">
        <f t="shared" si="50"/>
        <v>0</v>
      </c>
      <c r="Y106" s="124">
        <f t="shared" si="58"/>
        <v>787194.75409836066</v>
      </c>
      <c r="Z106" s="130">
        <f t="shared" si="59"/>
        <v>477377.04918032786</v>
      </c>
      <c r="AA106" s="426">
        <v>100000</v>
      </c>
      <c r="AB106" s="422">
        <v>100000</v>
      </c>
      <c r="AC106" s="422">
        <v>200000</v>
      </c>
      <c r="AD106" s="422">
        <v>100000</v>
      </c>
      <c r="AE106" s="225" t="s">
        <v>78</v>
      </c>
      <c r="AF106" s="125">
        <f t="shared" si="100"/>
        <v>500000</v>
      </c>
      <c r="AG106" s="127">
        <f t="shared" si="60"/>
        <v>1.0473901098901099</v>
      </c>
      <c r="AH106" s="128"/>
      <c r="AI106" s="223" t="s">
        <v>78</v>
      </c>
      <c r="AJ106" s="131">
        <f t="shared" si="52"/>
        <v>0</v>
      </c>
      <c r="AK106" s="368">
        <f t="shared" si="96"/>
        <v>500000</v>
      </c>
      <c r="AL106" s="375">
        <f t="shared" si="61"/>
        <v>1287194.7540983607</v>
      </c>
      <c r="AM106" s="376">
        <f t="shared" si="62"/>
        <v>477377.04918032786</v>
      </c>
      <c r="AN106" s="394">
        <v>100000</v>
      </c>
      <c r="AO106" s="395" t="s">
        <v>274</v>
      </c>
      <c r="AP106" s="396">
        <f t="shared" si="93"/>
        <v>119344.26229508196</v>
      </c>
      <c r="AQ106" s="397"/>
      <c r="AR106" s="401" t="s">
        <v>78</v>
      </c>
      <c r="AS106" s="396" t="str">
        <f t="shared" si="94"/>
        <v>-</v>
      </c>
      <c r="AT106" s="397"/>
      <c r="AU106" s="388">
        <f t="shared" si="63"/>
        <v>1406539.0163934426</v>
      </c>
      <c r="AV106" s="389">
        <f t="shared" si="64"/>
        <v>596721.31147540978</v>
      </c>
      <c r="AW106" s="353" t="s">
        <v>78</v>
      </c>
      <c r="AX106" s="403" t="s">
        <v>358</v>
      </c>
      <c r="AY106" s="404" t="s">
        <v>451</v>
      </c>
    </row>
    <row r="107" spans="1:51" ht="15" customHeight="1">
      <c r="A107" s="1" t="str">
        <f t="shared" si="92"/>
        <v>TSX:PAAS_2024_Legal</v>
      </c>
      <c r="B107" s="1" t="str">
        <f t="shared" si="97"/>
        <v>TSX:PAAS_2024_NEO2</v>
      </c>
      <c r="C107" s="114" t="str">
        <f t="shared" si="82"/>
        <v>TSX:PAAS</v>
      </c>
      <c r="D107" s="133" t="str">
        <f>_xll.ciqfunctions.udf.CIQ(C107,"IQ_Company_Name")</f>
        <v>Pan American Silver Corp.</v>
      </c>
      <c r="E107" s="114">
        <f t="shared" si="69"/>
        <v>2024</v>
      </c>
      <c r="F107" s="114" t="str">
        <f t="shared" si="46"/>
        <v>2024-01-01</v>
      </c>
      <c r="G107" s="330" t="str">
        <f t="shared" si="84"/>
        <v>2024-12-31</v>
      </c>
      <c r="H107" s="114">
        <f t="shared" si="54"/>
        <v>12</v>
      </c>
      <c r="I107" s="407" t="str">
        <f t="shared" si="76"/>
        <v>CAD</v>
      </c>
      <c r="J107" s="461">
        <f t="shared" si="99"/>
        <v>1</v>
      </c>
      <c r="K107" s="468" t="s">
        <v>468</v>
      </c>
      <c r="L107" s="464" t="s">
        <v>108</v>
      </c>
      <c r="M107" s="217" t="s">
        <v>365</v>
      </c>
      <c r="N107" s="218" t="s">
        <v>388</v>
      </c>
      <c r="O107" s="219">
        <v>634400</v>
      </c>
      <c r="P107" s="125">
        <f t="shared" si="78"/>
        <v>634400</v>
      </c>
      <c r="Q107" s="311" t="s">
        <v>78</v>
      </c>
      <c r="R107" s="126" t="str">
        <f t="shared" si="79"/>
        <v>-</v>
      </c>
      <c r="S107" s="221">
        <v>567790</v>
      </c>
      <c r="T107" s="125">
        <f t="shared" si="80"/>
        <v>567790</v>
      </c>
      <c r="U107" s="127">
        <f t="shared" si="49"/>
        <v>0.89500315258511975</v>
      </c>
      <c r="V107" s="128">
        <f>IFERROR(AVERAGE(U107:U109),"N/A")</f>
        <v>0.833377236032525</v>
      </c>
      <c r="W107" s="223">
        <v>0.8</v>
      </c>
      <c r="X107" s="129">
        <f t="shared" si="50"/>
        <v>507520</v>
      </c>
      <c r="Y107" s="124">
        <f t="shared" si="58"/>
        <v>1202190</v>
      </c>
      <c r="Z107" s="130">
        <f t="shared" si="59"/>
        <v>1141920</v>
      </c>
      <c r="AA107" s="221">
        <v>761280</v>
      </c>
      <c r="AB107" s="225">
        <v>634400</v>
      </c>
      <c r="AC107" s="225" t="s">
        <v>78</v>
      </c>
      <c r="AD107" s="225" t="s">
        <v>78</v>
      </c>
      <c r="AE107" s="225" t="s">
        <v>78</v>
      </c>
      <c r="AF107" s="125">
        <f t="shared" si="100"/>
        <v>1395680</v>
      </c>
      <c r="AG107" s="127">
        <f t="shared" si="60"/>
        <v>2.2000000000000002</v>
      </c>
      <c r="AH107" s="128">
        <f>IFERROR(AVERAGE(AG107:AG109),"N/A")</f>
        <v>1.9508427398486567</v>
      </c>
      <c r="AI107" s="223">
        <v>2.2000000000000002</v>
      </c>
      <c r="AJ107" s="131">
        <f t="shared" si="52"/>
        <v>1395680</v>
      </c>
      <c r="AK107" s="368">
        <f t="shared" si="96"/>
        <v>1395680</v>
      </c>
      <c r="AL107" s="375">
        <f t="shared" si="61"/>
        <v>2597870</v>
      </c>
      <c r="AM107" s="376">
        <f t="shared" si="62"/>
        <v>2537600</v>
      </c>
      <c r="AN107" s="394">
        <v>285480</v>
      </c>
      <c r="AO107" s="395" t="s">
        <v>274</v>
      </c>
      <c r="AP107" s="396">
        <f t="shared" si="93"/>
        <v>285480</v>
      </c>
      <c r="AQ107" s="397">
        <f>IFERROR(AVERAGE(AP107:AP109),"N/A")</f>
        <v>185143.33333333334</v>
      </c>
      <c r="AR107" s="401" t="s">
        <v>78</v>
      </c>
      <c r="AS107" s="396" t="str">
        <f t="shared" si="94"/>
        <v>-</v>
      </c>
      <c r="AT107" s="397" t="str">
        <f>IFERROR(AVERAGE(AS107:AS109),"N/A")</f>
        <v>N/A</v>
      </c>
      <c r="AU107" s="388">
        <f t="shared" si="63"/>
        <v>2883350</v>
      </c>
      <c r="AV107" s="389">
        <f t="shared" si="64"/>
        <v>2823080</v>
      </c>
      <c r="AW107" s="353" t="s">
        <v>78</v>
      </c>
      <c r="AX107" s="403" t="s">
        <v>358</v>
      </c>
      <c r="AY107" s="404" t="s">
        <v>451</v>
      </c>
    </row>
    <row r="108" spans="1:51" ht="15" customHeight="1">
      <c r="A108" s="1" t="str">
        <f t="shared" si="92"/>
        <v>TSX:PAAS_2023_Legal</v>
      </c>
      <c r="B108" s="1" t="str">
        <f t="shared" si="97"/>
        <v>TSX:PAAS_2023_NEO2</v>
      </c>
      <c r="C108" s="114" t="str">
        <f t="shared" si="82"/>
        <v>TSX:PAAS</v>
      </c>
      <c r="D108" s="133" t="str">
        <f>_xll.ciqfunctions.udf.CIQ(C108,"IQ_Company_Name")</f>
        <v>Pan American Silver Corp.</v>
      </c>
      <c r="E108" s="114">
        <f t="shared" si="69"/>
        <v>2023</v>
      </c>
      <c r="F108" s="114" t="str">
        <f t="shared" si="46"/>
        <v>2023-01-01</v>
      </c>
      <c r="G108" s="330" t="str">
        <f t="shared" si="84"/>
        <v>2023-12-31</v>
      </c>
      <c r="H108" s="114">
        <f t="shared" si="54"/>
        <v>12</v>
      </c>
      <c r="I108" s="407" t="str">
        <f t="shared" si="76"/>
        <v>CAD</v>
      </c>
      <c r="J108" s="461">
        <f t="shared" si="99"/>
        <v>1</v>
      </c>
      <c r="K108" s="468" t="s">
        <v>468</v>
      </c>
      <c r="L108" s="465" t="str">
        <f t="shared" ref="L108:N109" si="102">L107</f>
        <v>NEO2</v>
      </c>
      <c r="M108" s="123" t="str">
        <f t="shared" si="102"/>
        <v>General Counsel</v>
      </c>
      <c r="N108" s="132" t="str">
        <f t="shared" si="102"/>
        <v>Christopher Lemon</v>
      </c>
      <c r="O108" s="219">
        <v>595775</v>
      </c>
      <c r="P108" s="125">
        <f t="shared" si="78"/>
        <v>595775</v>
      </c>
      <c r="Q108" s="311" t="s">
        <v>78</v>
      </c>
      <c r="R108" s="126" t="str">
        <f t="shared" si="79"/>
        <v>-</v>
      </c>
      <c r="S108" s="221">
        <v>560100</v>
      </c>
      <c r="T108" s="125">
        <f t="shared" si="80"/>
        <v>560100</v>
      </c>
      <c r="U108" s="127">
        <f t="shared" si="49"/>
        <v>0.94012001174940207</v>
      </c>
      <c r="V108" s="128"/>
      <c r="W108" s="223" t="s">
        <v>78</v>
      </c>
      <c r="X108" s="129">
        <f t="shared" si="50"/>
        <v>0</v>
      </c>
      <c r="Y108" s="124">
        <f t="shared" si="58"/>
        <v>1155875</v>
      </c>
      <c r="Z108" s="130">
        <f t="shared" si="59"/>
        <v>595775</v>
      </c>
      <c r="AA108" s="426">
        <f>(1895100-553100)*0.55</f>
        <v>738100.00000000012</v>
      </c>
      <c r="AB108" s="426">
        <f>(1895100-553100)*0.45</f>
        <v>603900</v>
      </c>
      <c r="AC108" s="449" t="s">
        <v>78</v>
      </c>
      <c r="AD108" s="225" t="s">
        <v>78</v>
      </c>
      <c r="AE108" s="225" t="s">
        <v>78</v>
      </c>
      <c r="AF108" s="125">
        <f t="shared" si="100"/>
        <v>1342000</v>
      </c>
      <c r="AG108" s="127">
        <f t="shared" si="60"/>
        <v>2.2525282195459697</v>
      </c>
      <c r="AH108" s="128"/>
      <c r="AI108" s="223" t="s">
        <v>78</v>
      </c>
      <c r="AJ108" s="131">
        <f t="shared" si="52"/>
        <v>0</v>
      </c>
      <c r="AK108" s="368">
        <f t="shared" si="96"/>
        <v>1342000</v>
      </c>
      <c r="AL108" s="375">
        <f t="shared" si="61"/>
        <v>2497875</v>
      </c>
      <c r="AM108" s="376">
        <f t="shared" si="62"/>
        <v>595775</v>
      </c>
      <c r="AN108" s="394">
        <v>138275</v>
      </c>
      <c r="AO108" s="395" t="s">
        <v>274</v>
      </c>
      <c r="AP108" s="396">
        <f t="shared" si="93"/>
        <v>138275</v>
      </c>
      <c r="AQ108" s="397"/>
      <c r="AR108" s="401" t="s">
        <v>78</v>
      </c>
      <c r="AS108" s="396" t="str">
        <f t="shared" si="94"/>
        <v>-</v>
      </c>
      <c r="AT108" s="397"/>
      <c r="AU108" s="388">
        <f t="shared" si="63"/>
        <v>2636150</v>
      </c>
      <c r="AV108" s="389">
        <f t="shared" si="64"/>
        <v>734050</v>
      </c>
      <c r="AW108" s="353" t="s">
        <v>78</v>
      </c>
      <c r="AX108" s="403" t="s">
        <v>358</v>
      </c>
      <c r="AY108" s="404" t="s">
        <v>451</v>
      </c>
    </row>
    <row r="109" spans="1:51" ht="15" customHeight="1">
      <c r="A109" s="1" t="str">
        <f t="shared" si="92"/>
        <v>TSX:PAAS_2022_Legal</v>
      </c>
      <c r="B109" s="1" t="str">
        <f t="shared" si="97"/>
        <v>TSX:PAAS_2022_NEO2</v>
      </c>
      <c r="C109" s="114" t="str">
        <f t="shared" si="82"/>
        <v>TSX:PAAS</v>
      </c>
      <c r="D109" s="133" t="str">
        <f>_xll.ciqfunctions.udf.CIQ(C109,"IQ_Company_Name")</f>
        <v>Pan American Silver Corp.</v>
      </c>
      <c r="E109" s="114">
        <f t="shared" si="69"/>
        <v>2022</v>
      </c>
      <c r="F109" s="114" t="str">
        <f t="shared" si="46"/>
        <v>2022-01-01</v>
      </c>
      <c r="G109" s="330" t="str">
        <f t="shared" si="84"/>
        <v>2022-12-31</v>
      </c>
      <c r="H109" s="114">
        <f t="shared" si="54"/>
        <v>12</v>
      </c>
      <c r="I109" s="407" t="str">
        <f t="shared" si="76"/>
        <v>CAD</v>
      </c>
      <c r="J109" s="461">
        <f t="shared" si="99"/>
        <v>1</v>
      </c>
      <c r="K109" s="468" t="s">
        <v>468</v>
      </c>
      <c r="L109" s="465" t="str">
        <f t="shared" si="102"/>
        <v>NEO2</v>
      </c>
      <c r="M109" s="123" t="str">
        <f t="shared" si="102"/>
        <v>General Counsel</v>
      </c>
      <c r="N109" s="132" t="str">
        <f t="shared" si="102"/>
        <v>Christopher Lemon</v>
      </c>
      <c r="O109" s="219">
        <v>526700</v>
      </c>
      <c r="P109" s="125">
        <f t="shared" si="78"/>
        <v>526700</v>
      </c>
      <c r="Q109" s="311" t="s">
        <v>78</v>
      </c>
      <c r="R109" s="126" t="str">
        <f t="shared" si="79"/>
        <v>-</v>
      </c>
      <c r="S109" s="221">
        <v>350260</v>
      </c>
      <c r="T109" s="125">
        <f t="shared" si="80"/>
        <v>350260</v>
      </c>
      <c r="U109" s="127">
        <f t="shared" si="49"/>
        <v>0.66500854376305296</v>
      </c>
      <c r="V109" s="128"/>
      <c r="W109" s="223" t="s">
        <v>78</v>
      </c>
      <c r="X109" s="129">
        <f t="shared" si="50"/>
        <v>0</v>
      </c>
      <c r="Y109" s="124">
        <f t="shared" si="58"/>
        <v>876960</v>
      </c>
      <c r="Z109" s="130">
        <f t="shared" si="59"/>
        <v>526700</v>
      </c>
      <c r="AA109" s="426">
        <v>263350</v>
      </c>
      <c r="AB109" s="422">
        <v>210680</v>
      </c>
      <c r="AC109" s="422" t="s">
        <v>78</v>
      </c>
      <c r="AD109" s="422">
        <v>263350</v>
      </c>
      <c r="AE109" s="225" t="s">
        <v>78</v>
      </c>
      <c r="AF109" s="125">
        <f t="shared" si="100"/>
        <v>737380</v>
      </c>
      <c r="AG109" s="127">
        <f t="shared" si="60"/>
        <v>1.4</v>
      </c>
      <c r="AH109" s="128"/>
      <c r="AI109" s="223" t="s">
        <v>78</v>
      </c>
      <c r="AJ109" s="131">
        <f t="shared" si="52"/>
        <v>0</v>
      </c>
      <c r="AK109" s="368">
        <f t="shared" si="96"/>
        <v>737380</v>
      </c>
      <c r="AL109" s="375">
        <f t="shared" si="61"/>
        <v>1614340</v>
      </c>
      <c r="AM109" s="376">
        <f t="shared" si="62"/>
        <v>526700</v>
      </c>
      <c r="AN109" s="394">
        <v>131675</v>
      </c>
      <c r="AO109" s="395" t="s">
        <v>274</v>
      </c>
      <c r="AP109" s="396">
        <f t="shared" si="93"/>
        <v>131675</v>
      </c>
      <c r="AQ109" s="397"/>
      <c r="AR109" s="401" t="s">
        <v>78</v>
      </c>
      <c r="AS109" s="396" t="str">
        <f t="shared" si="94"/>
        <v>-</v>
      </c>
      <c r="AT109" s="397"/>
      <c r="AU109" s="388">
        <f t="shared" si="63"/>
        <v>1746015</v>
      </c>
      <c r="AV109" s="389">
        <f t="shared" si="64"/>
        <v>658375</v>
      </c>
      <c r="AW109" s="353" t="s">
        <v>78</v>
      </c>
      <c r="AX109" s="403" t="s">
        <v>358</v>
      </c>
      <c r="AY109" s="404" t="s">
        <v>451</v>
      </c>
    </row>
    <row r="110" spans="1:51" ht="15" customHeight="1">
      <c r="A110" s="1" t="str">
        <f t="shared" si="92"/>
        <v>TSX:PAAS_2024_</v>
      </c>
      <c r="B110" s="1" t="str">
        <f t="shared" si="97"/>
        <v>TSX:PAAS_2024_NEO3</v>
      </c>
      <c r="C110" s="114" t="str">
        <f t="shared" si="82"/>
        <v>TSX:PAAS</v>
      </c>
      <c r="D110" s="133" t="str">
        <f>_xll.ciqfunctions.udf.CIQ(C110,"IQ_Company_Name")</f>
        <v>Pan American Silver Corp.</v>
      </c>
      <c r="E110" s="114">
        <f t="shared" si="69"/>
        <v>2024</v>
      </c>
      <c r="F110" s="114" t="str">
        <f t="shared" si="46"/>
        <v>2024-01-01</v>
      </c>
      <c r="G110" s="330" t="str">
        <f t="shared" si="84"/>
        <v>2024-12-31</v>
      </c>
      <c r="H110" s="114">
        <f t="shared" si="54"/>
        <v>12</v>
      </c>
      <c r="I110" s="407" t="str">
        <f t="shared" si="76"/>
        <v>CAD</v>
      </c>
      <c r="J110" s="461">
        <f t="shared" si="99"/>
        <v>1</v>
      </c>
      <c r="K110" s="468"/>
      <c r="L110" s="464" t="s">
        <v>109</v>
      </c>
      <c r="M110" s="217" t="s">
        <v>390</v>
      </c>
      <c r="N110" s="218" t="s">
        <v>389</v>
      </c>
      <c r="O110" s="219">
        <v>600000</v>
      </c>
      <c r="P110" s="125">
        <f t="shared" si="78"/>
        <v>600000</v>
      </c>
      <c r="Q110" s="311" t="s">
        <v>78</v>
      </c>
      <c r="R110" s="126" t="str">
        <f t="shared" si="79"/>
        <v>-</v>
      </c>
      <c r="S110" s="221">
        <v>520200</v>
      </c>
      <c r="T110" s="125">
        <f t="shared" si="80"/>
        <v>520200</v>
      </c>
      <c r="U110" s="127">
        <f t="shared" si="49"/>
        <v>0.86699999999999999</v>
      </c>
      <c r="V110" s="128">
        <f>IFERROR(AVERAGE(U110:U112),"N/A")</f>
        <v>0.8017709938051687</v>
      </c>
      <c r="W110" s="223">
        <v>0.8</v>
      </c>
      <c r="X110" s="129">
        <f t="shared" si="50"/>
        <v>480000</v>
      </c>
      <c r="Y110" s="124">
        <f t="shared" si="58"/>
        <v>1120200</v>
      </c>
      <c r="Z110" s="130">
        <f t="shared" si="59"/>
        <v>1080000</v>
      </c>
      <c r="AA110" s="221">
        <v>600000</v>
      </c>
      <c r="AB110" s="422">
        <v>480000</v>
      </c>
      <c r="AC110" s="225" t="s">
        <v>78</v>
      </c>
      <c r="AD110" s="225" t="s">
        <v>78</v>
      </c>
      <c r="AE110" s="225" t="s">
        <v>78</v>
      </c>
      <c r="AF110" s="125">
        <f t="shared" si="100"/>
        <v>1080000</v>
      </c>
      <c r="AG110" s="127">
        <f t="shared" si="60"/>
        <v>1.8</v>
      </c>
      <c r="AH110" s="128">
        <f>IFERROR(AVERAGE(AG110:AG112),"N/A")</f>
        <v>1.6744123087854759</v>
      </c>
      <c r="AI110" s="223">
        <v>1.8</v>
      </c>
      <c r="AJ110" s="131">
        <f t="shared" si="52"/>
        <v>1080000</v>
      </c>
      <c r="AK110" s="368">
        <f t="shared" si="96"/>
        <v>1080000</v>
      </c>
      <c r="AL110" s="375">
        <f t="shared" si="61"/>
        <v>2200200</v>
      </c>
      <c r="AM110" s="376">
        <f t="shared" si="62"/>
        <v>2160000</v>
      </c>
      <c r="AN110" s="394">
        <v>150000</v>
      </c>
      <c r="AO110" s="395" t="s">
        <v>274</v>
      </c>
      <c r="AP110" s="396">
        <f t="shared" si="93"/>
        <v>150000</v>
      </c>
      <c r="AQ110" s="397">
        <f>IFERROR(AVERAGE(AP110:AP112),"N/A")</f>
        <v>150000</v>
      </c>
      <c r="AR110" s="401">
        <v>79487</v>
      </c>
      <c r="AS110" s="396">
        <f t="shared" si="94"/>
        <v>79487</v>
      </c>
      <c r="AT110" s="397">
        <f>IFERROR(AVERAGE(AS110:AS112),"N/A")</f>
        <v>84721</v>
      </c>
      <c r="AU110" s="388">
        <f t="shared" si="63"/>
        <v>2429687</v>
      </c>
      <c r="AV110" s="389">
        <f t="shared" si="64"/>
        <v>2389487</v>
      </c>
      <c r="AW110" s="353" t="s">
        <v>78</v>
      </c>
      <c r="AX110" s="403" t="s">
        <v>358</v>
      </c>
      <c r="AY110" s="404" t="s">
        <v>451</v>
      </c>
    </row>
    <row r="111" spans="1:51" ht="15" customHeight="1">
      <c r="A111" s="1" t="str">
        <f t="shared" si="92"/>
        <v>TSX:PAAS_2023_</v>
      </c>
      <c r="B111" s="1" t="str">
        <f t="shared" si="97"/>
        <v>TSX:PAAS_2023_NEO3</v>
      </c>
      <c r="C111" s="114" t="str">
        <f t="shared" si="82"/>
        <v>TSX:PAAS</v>
      </c>
      <c r="D111" s="133" t="str">
        <f>_xll.ciqfunctions.udf.CIQ(C111,"IQ_Company_Name")</f>
        <v>Pan American Silver Corp.</v>
      </c>
      <c r="E111" s="114">
        <f t="shared" si="69"/>
        <v>2023</v>
      </c>
      <c r="F111" s="114" t="str">
        <f t="shared" si="46"/>
        <v>2023-01-01</v>
      </c>
      <c r="G111" s="330" t="str">
        <f t="shared" si="84"/>
        <v>2023-12-31</v>
      </c>
      <c r="H111" s="114">
        <f t="shared" si="54"/>
        <v>12</v>
      </c>
      <c r="I111" s="407" t="str">
        <f t="shared" si="76"/>
        <v>CAD</v>
      </c>
      <c r="J111" s="461">
        <f t="shared" si="99"/>
        <v>1</v>
      </c>
      <c r="K111" s="468"/>
      <c r="L111" s="465" t="str">
        <f t="shared" ref="L111:N112" si="103">L110</f>
        <v>NEO3</v>
      </c>
      <c r="M111" s="123" t="str">
        <f t="shared" si="103"/>
        <v>SVP, Strategic Initiatives</v>
      </c>
      <c r="N111" s="132" t="str">
        <f t="shared" si="103"/>
        <v>Sean McAleer</v>
      </c>
      <c r="O111" s="219">
        <v>575242</v>
      </c>
      <c r="P111" s="125">
        <f t="shared" si="78"/>
        <v>575242</v>
      </c>
      <c r="Q111" s="311" t="s">
        <v>78</v>
      </c>
      <c r="R111" s="126" t="str">
        <f t="shared" si="79"/>
        <v>-</v>
      </c>
      <c r="S111" s="221">
        <f>552200-30000</f>
        <v>522200</v>
      </c>
      <c r="T111" s="125">
        <f t="shared" si="80"/>
        <v>522200</v>
      </c>
      <c r="U111" s="127">
        <f t="shared" si="49"/>
        <v>0.9077918510818056</v>
      </c>
      <c r="V111" s="128"/>
      <c r="W111" s="223" t="s">
        <v>78</v>
      </c>
      <c r="X111" s="129">
        <f t="shared" si="50"/>
        <v>0</v>
      </c>
      <c r="Y111" s="124">
        <f t="shared" si="58"/>
        <v>1097442</v>
      </c>
      <c r="Z111" s="130">
        <f t="shared" si="59"/>
        <v>575242</v>
      </c>
      <c r="AA111" s="426">
        <f>1128287*0.15</f>
        <v>169243.05</v>
      </c>
      <c r="AB111" s="426">
        <f>1128287*0.41</f>
        <v>462597.67</v>
      </c>
      <c r="AC111" s="422" t="s">
        <v>78</v>
      </c>
      <c r="AD111" s="426">
        <f>1128287*0.44</f>
        <v>496446.28</v>
      </c>
      <c r="AE111" s="225" t="s">
        <v>78</v>
      </c>
      <c r="AF111" s="125">
        <f t="shared" si="100"/>
        <v>1128287</v>
      </c>
      <c r="AG111" s="127">
        <f t="shared" si="60"/>
        <v>1.9614127619332384</v>
      </c>
      <c r="AH111" s="128"/>
      <c r="AI111" s="223" t="s">
        <v>78</v>
      </c>
      <c r="AJ111" s="131">
        <f t="shared" si="52"/>
        <v>0</v>
      </c>
      <c r="AK111" s="368">
        <f t="shared" si="96"/>
        <v>1128287</v>
      </c>
      <c r="AL111" s="375">
        <f t="shared" si="61"/>
        <v>2225729</v>
      </c>
      <c r="AM111" s="376">
        <f t="shared" si="62"/>
        <v>575242</v>
      </c>
      <c r="AN111" s="394" t="s">
        <v>78</v>
      </c>
      <c r="AO111" s="395" t="s">
        <v>78</v>
      </c>
      <c r="AP111" s="396" t="str">
        <f t="shared" si="93"/>
        <v>-</v>
      </c>
      <c r="AQ111" s="397"/>
      <c r="AR111" s="401">
        <v>80982</v>
      </c>
      <c r="AS111" s="396">
        <f t="shared" si="94"/>
        <v>80982</v>
      </c>
      <c r="AT111" s="397"/>
      <c r="AU111" s="388">
        <f t="shared" si="63"/>
        <v>2306711</v>
      </c>
      <c r="AV111" s="389">
        <f t="shared" si="64"/>
        <v>656224</v>
      </c>
      <c r="AW111" s="353" t="s">
        <v>391</v>
      </c>
      <c r="AX111" s="403" t="s">
        <v>358</v>
      </c>
      <c r="AY111" s="404" t="s">
        <v>451</v>
      </c>
    </row>
    <row r="112" spans="1:51" ht="15" customHeight="1">
      <c r="A112" s="1" t="str">
        <f t="shared" si="92"/>
        <v>TSX:PAAS_2022_</v>
      </c>
      <c r="B112" s="1" t="str">
        <f t="shared" si="97"/>
        <v>TSX:PAAS_2022_NEO3</v>
      </c>
      <c r="C112" s="203" t="str">
        <f t="shared" si="82"/>
        <v>TSX:PAAS</v>
      </c>
      <c r="D112" s="205" t="str">
        <f>_xll.ciqfunctions.udf.CIQ(C112,"IQ_Company_Name")</f>
        <v>Pan American Silver Corp.</v>
      </c>
      <c r="E112" s="204">
        <f t="shared" si="69"/>
        <v>2022</v>
      </c>
      <c r="F112" s="204" t="str">
        <f t="shared" si="46"/>
        <v>2022-01-01</v>
      </c>
      <c r="G112" s="331" t="str">
        <f t="shared" si="84"/>
        <v>2022-12-31</v>
      </c>
      <c r="H112" s="204">
        <f t="shared" si="54"/>
        <v>12</v>
      </c>
      <c r="I112" s="408" t="str">
        <f t="shared" si="76"/>
        <v>CAD</v>
      </c>
      <c r="J112" s="463">
        <f t="shared" si="99"/>
        <v>1</v>
      </c>
      <c r="K112" s="470"/>
      <c r="L112" s="466" t="str">
        <f t="shared" si="103"/>
        <v>NEO3</v>
      </c>
      <c r="M112" s="206" t="str">
        <f t="shared" si="103"/>
        <v>SVP, Strategic Initiatives</v>
      </c>
      <c r="N112" s="207" t="str">
        <f t="shared" si="103"/>
        <v>Sean McAleer</v>
      </c>
      <c r="O112" s="220">
        <v>528198</v>
      </c>
      <c r="P112" s="209">
        <f t="shared" si="78"/>
        <v>528198</v>
      </c>
      <c r="Q112" s="312" t="s">
        <v>78</v>
      </c>
      <c r="R112" s="329" t="str">
        <f t="shared" si="79"/>
        <v>-</v>
      </c>
      <c r="S112" s="222">
        <v>333040</v>
      </c>
      <c r="T112" s="209">
        <f t="shared" si="80"/>
        <v>333040</v>
      </c>
      <c r="U112" s="211">
        <f t="shared" si="49"/>
        <v>0.63052113033370061</v>
      </c>
      <c r="V112" s="212"/>
      <c r="W112" s="224" t="s">
        <v>78</v>
      </c>
      <c r="X112" s="213">
        <f t="shared" si="50"/>
        <v>0</v>
      </c>
      <c r="Y112" s="208">
        <f t="shared" si="58"/>
        <v>861238</v>
      </c>
      <c r="Z112" s="214">
        <f t="shared" si="59"/>
        <v>528198</v>
      </c>
      <c r="AA112" s="440">
        <f>666493*0.15</f>
        <v>99973.95</v>
      </c>
      <c r="AB112" s="450">
        <f>666493*0.41</f>
        <v>273262.13</v>
      </c>
      <c r="AC112" s="441" t="s">
        <v>78</v>
      </c>
      <c r="AD112" s="450">
        <f>666493*0.44</f>
        <v>293256.92</v>
      </c>
      <c r="AE112" s="446" t="s">
        <v>78</v>
      </c>
      <c r="AF112" s="420">
        <f t="shared" si="100"/>
        <v>666493</v>
      </c>
      <c r="AG112" s="451">
        <f t="shared" si="60"/>
        <v>1.2618241644231898</v>
      </c>
      <c r="AH112" s="212"/>
      <c r="AI112" s="224" t="s">
        <v>78</v>
      </c>
      <c r="AJ112" s="215">
        <f t="shared" si="52"/>
        <v>0</v>
      </c>
      <c r="AK112" s="369">
        <f t="shared" si="96"/>
        <v>666493</v>
      </c>
      <c r="AL112" s="377">
        <f t="shared" si="61"/>
        <v>1527731</v>
      </c>
      <c r="AM112" s="378">
        <f t="shared" si="62"/>
        <v>528198</v>
      </c>
      <c r="AN112" s="398" t="s">
        <v>78</v>
      </c>
      <c r="AO112" s="399" t="s">
        <v>78</v>
      </c>
      <c r="AP112" s="396" t="str">
        <f t="shared" si="93"/>
        <v>-</v>
      </c>
      <c r="AQ112" s="400"/>
      <c r="AR112" s="402">
        <v>93694</v>
      </c>
      <c r="AS112" s="396">
        <f t="shared" si="94"/>
        <v>93694</v>
      </c>
      <c r="AT112" s="400"/>
      <c r="AU112" s="390">
        <f t="shared" si="63"/>
        <v>1621425</v>
      </c>
      <c r="AV112" s="391">
        <f t="shared" si="64"/>
        <v>621892</v>
      </c>
      <c r="AW112" s="354" t="s">
        <v>78</v>
      </c>
      <c r="AX112" s="405" t="s">
        <v>358</v>
      </c>
      <c r="AY112" s="404" t="s">
        <v>451</v>
      </c>
    </row>
    <row r="113" spans="1:52" ht="15" customHeight="1">
      <c r="A113" s="1" t="str">
        <f t="shared" si="92"/>
        <v>TSX:CS_2024_</v>
      </c>
      <c r="B113" s="1" t="str">
        <f t="shared" si="97"/>
        <v>TSX:CS_2024_CEO</v>
      </c>
      <c r="C113" s="216" t="str">
        <f>D9</f>
        <v>TSX:CS</v>
      </c>
      <c r="D113" s="133" t="str">
        <f>_xll.ciqfunctions.udf.CIQ(C113,"IQ_Company_Name")</f>
        <v>Capstone Copper Corp.</v>
      </c>
      <c r="E113" s="328">
        <f>$F$9</f>
        <v>2024</v>
      </c>
      <c r="F113" s="330" t="str">
        <f t="shared" si="46"/>
        <v>2024-01-01</v>
      </c>
      <c r="G113" s="330" t="str">
        <f t="shared" si="84"/>
        <v>2024-12-31</v>
      </c>
      <c r="H113" s="114">
        <f t="shared" si="54"/>
        <v>12</v>
      </c>
      <c r="I113" s="328" t="str">
        <f>$G$5</f>
        <v>CAD</v>
      </c>
      <c r="J113" s="461">
        <f t="shared" si="99"/>
        <v>1</v>
      </c>
      <c r="K113" s="468"/>
      <c r="L113" s="464" t="s">
        <v>79</v>
      </c>
      <c r="M113" s="217" t="s">
        <v>79</v>
      </c>
      <c r="N113" s="218" t="s">
        <v>394</v>
      </c>
      <c r="O113" s="219">
        <v>960000</v>
      </c>
      <c r="P113" s="125">
        <f t="shared" si="78"/>
        <v>960000</v>
      </c>
      <c r="Q113" s="455" t="s">
        <v>78</v>
      </c>
      <c r="R113" s="126" t="str">
        <f t="shared" si="79"/>
        <v>-</v>
      </c>
      <c r="S113" s="221">
        <v>918720</v>
      </c>
      <c r="T113" s="125">
        <f t="shared" si="80"/>
        <v>918720</v>
      </c>
      <c r="U113" s="127">
        <f t="shared" si="49"/>
        <v>0.95699999999999996</v>
      </c>
      <c r="V113" s="128">
        <f>IFERROR(AVERAGE(U113:U115),"N/A")</f>
        <v>1.0349824446354094</v>
      </c>
      <c r="W113" s="223">
        <v>1.1000000000000001</v>
      </c>
      <c r="X113" s="129">
        <f t="shared" si="50"/>
        <v>1056000</v>
      </c>
      <c r="Y113" s="124">
        <f t="shared" si="58"/>
        <v>1878720</v>
      </c>
      <c r="Z113" s="130">
        <f t="shared" si="59"/>
        <v>2016000</v>
      </c>
      <c r="AA113" s="221">
        <f>1800000*1/3</f>
        <v>600000</v>
      </c>
      <c r="AB113" s="221">
        <f>1800000*2/3</f>
        <v>1200000</v>
      </c>
      <c r="AC113" s="225">
        <v>600000</v>
      </c>
      <c r="AD113" s="225" t="s">
        <v>78</v>
      </c>
      <c r="AE113" s="225" t="s">
        <v>78</v>
      </c>
      <c r="AF113" s="125">
        <f t="shared" si="100"/>
        <v>2400000</v>
      </c>
      <c r="AG113" s="127">
        <f t="shared" si="60"/>
        <v>2.5</v>
      </c>
      <c r="AH113" s="128">
        <f>IFERROR(AVERAGE(AG113:AG115),"N/A")</f>
        <v>2.5304381597920078</v>
      </c>
      <c r="AI113" s="223">
        <v>2.5</v>
      </c>
      <c r="AJ113" s="131">
        <f t="shared" si="52"/>
        <v>2400000</v>
      </c>
      <c r="AK113" s="368">
        <f t="shared" si="96"/>
        <v>2400000</v>
      </c>
      <c r="AL113" s="375">
        <f t="shared" si="61"/>
        <v>4278720</v>
      </c>
      <c r="AM113" s="376">
        <f t="shared" si="62"/>
        <v>4416000</v>
      </c>
      <c r="AN113" s="394" t="s">
        <v>801</v>
      </c>
      <c r="AO113" s="395" t="s">
        <v>801</v>
      </c>
      <c r="AP113" s="396" t="str">
        <f t="shared" si="93"/>
        <v>-</v>
      </c>
      <c r="AQ113" s="409" t="str">
        <f>IFERROR(AVERAGE(AP113:AP115),"N/A")</f>
        <v>N/A</v>
      </c>
      <c r="AR113" s="401">
        <v>128300</v>
      </c>
      <c r="AS113" s="396">
        <f t="shared" si="94"/>
        <v>128300</v>
      </c>
      <c r="AT113" s="409">
        <f>IFERROR(AVERAGE(AS113:AS115),"N/A")</f>
        <v>95548.214369846872</v>
      </c>
      <c r="AU113" s="388">
        <f t="shared" si="63"/>
        <v>4407020</v>
      </c>
      <c r="AV113" s="389">
        <f t="shared" si="64"/>
        <v>4544300</v>
      </c>
      <c r="AW113" s="353" t="s">
        <v>78</v>
      </c>
      <c r="AX113" s="418" t="s">
        <v>358</v>
      </c>
      <c r="AY113" s="404" t="s">
        <v>451</v>
      </c>
    </row>
    <row r="114" spans="1:52" ht="15" customHeight="1">
      <c r="A114" s="1" t="str">
        <f t="shared" si="92"/>
        <v>TSX:CS_2023_</v>
      </c>
      <c r="B114" s="1" t="str">
        <f t="shared" si="97"/>
        <v>TSX:CS_2023_CEO</v>
      </c>
      <c r="C114" s="114" t="str">
        <f>C113</f>
        <v>TSX:CS</v>
      </c>
      <c r="D114" s="133" t="str">
        <f>_xll.ciqfunctions.udf.CIQ(C114,"IQ_Company_Name")</f>
        <v>Capstone Copper Corp.</v>
      </c>
      <c r="E114" s="328">
        <f>$F$10</f>
        <v>2023</v>
      </c>
      <c r="F114" s="330" t="str">
        <f t="shared" si="46"/>
        <v>2023-01-01</v>
      </c>
      <c r="G114" s="330" t="str">
        <f t="shared" si="84"/>
        <v>2023-12-31</v>
      </c>
      <c r="H114" s="114">
        <f t="shared" si="54"/>
        <v>12</v>
      </c>
      <c r="I114" s="407" t="str">
        <f>I113</f>
        <v>CAD</v>
      </c>
      <c r="J114" s="461">
        <f t="shared" si="99"/>
        <v>1</v>
      </c>
      <c r="K114" s="468"/>
      <c r="L114" s="465" t="str">
        <f t="shared" ref="L114:N115" si="104">L113</f>
        <v>CEO</v>
      </c>
      <c r="M114" s="123" t="str">
        <f t="shared" si="104"/>
        <v>CEO</v>
      </c>
      <c r="N114" s="132" t="str">
        <f t="shared" si="104"/>
        <v>John MacKenzie</v>
      </c>
      <c r="O114" s="219">
        <v>910000</v>
      </c>
      <c r="P114" s="125">
        <f t="shared" si="78"/>
        <v>910000</v>
      </c>
      <c r="Q114" s="455" t="s">
        <v>78</v>
      </c>
      <c r="R114" s="126" t="str">
        <f t="shared" si="79"/>
        <v>-</v>
      </c>
      <c r="S114" s="221">
        <v>874874</v>
      </c>
      <c r="T114" s="125">
        <f t="shared" si="80"/>
        <v>874874</v>
      </c>
      <c r="U114" s="127">
        <f t="shared" si="49"/>
        <v>0.96140000000000003</v>
      </c>
      <c r="V114" s="128"/>
      <c r="W114" s="223" t="s">
        <v>78</v>
      </c>
      <c r="X114" s="129">
        <f t="shared" si="50"/>
        <v>0</v>
      </c>
      <c r="Y114" s="124">
        <f t="shared" si="58"/>
        <v>1784874</v>
      </c>
      <c r="Z114" s="130">
        <f t="shared" si="59"/>
        <v>910000</v>
      </c>
      <c r="AA114" s="225">
        <f>(1/3)*1706250</f>
        <v>568750</v>
      </c>
      <c r="AB114" s="225">
        <f>(2/3)*1706250</f>
        <v>1137500</v>
      </c>
      <c r="AC114" s="225">
        <v>568750</v>
      </c>
      <c r="AD114" s="225" t="s">
        <v>78</v>
      </c>
      <c r="AE114" s="225" t="s">
        <v>78</v>
      </c>
      <c r="AF114" s="125">
        <f t="shared" si="100"/>
        <v>2275000</v>
      </c>
      <c r="AG114" s="127">
        <f t="shared" si="60"/>
        <v>2.5</v>
      </c>
      <c r="AH114" s="128"/>
      <c r="AI114" s="223" t="s">
        <v>78</v>
      </c>
      <c r="AJ114" s="131">
        <f t="shared" si="52"/>
        <v>0</v>
      </c>
      <c r="AK114" s="368">
        <f t="shared" si="96"/>
        <v>2275000</v>
      </c>
      <c r="AL114" s="375">
        <f t="shared" si="61"/>
        <v>4059874</v>
      </c>
      <c r="AM114" s="376">
        <f t="shared" si="62"/>
        <v>910000</v>
      </c>
      <c r="AN114" s="394" t="s">
        <v>801</v>
      </c>
      <c r="AO114" s="395" t="s">
        <v>801</v>
      </c>
      <c r="AP114" s="396" t="str">
        <f t="shared" si="93"/>
        <v>-</v>
      </c>
      <c r="AQ114" s="397"/>
      <c r="AR114" s="401">
        <v>62430</v>
      </c>
      <c r="AS114" s="396">
        <f t="shared" si="94"/>
        <v>62430</v>
      </c>
      <c r="AT114" s="397"/>
      <c r="AU114" s="388">
        <f t="shared" si="63"/>
        <v>4122304</v>
      </c>
      <c r="AV114" s="389">
        <f t="shared" si="64"/>
        <v>972430</v>
      </c>
      <c r="AW114" s="353" t="s">
        <v>78</v>
      </c>
      <c r="AX114" s="403" t="s">
        <v>358</v>
      </c>
      <c r="AY114" s="404" t="s">
        <v>451</v>
      </c>
    </row>
    <row r="115" spans="1:52" ht="15" customHeight="1">
      <c r="A115" s="1" t="str">
        <f t="shared" si="92"/>
        <v>TSX:CS_2022_</v>
      </c>
      <c r="B115" s="1" t="str">
        <f t="shared" si="97"/>
        <v>TSX:CS_2022_CEO</v>
      </c>
      <c r="C115" s="114" t="str">
        <f t="shared" si="82"/>
        <v>TSX:CS</v>
      </c>
      <c r="D115" s="133" t="str">
        <f>_xll.ciqfunctions.udf.CIQ(C115,"IQ_Company_Name")</f>
        <v>Capstone Copper Corp.</v>
      </c>
      <c r="E115" s="328">
        <f>$F$11</f>
        <v>2022</v>
      </c>
      <c r="F115" s="448" t="s">
        <v>402</v>
      </c>
      <c r="G115" s="330" t="str">
        <f t="shared" si="84"/>
        <v>2022-12-31</v>
      </c>
      <c r="H115" s="114">
        <f t="shared" si="54"/>
        <v>9.3296703296703303</v>
      </c>
      <c r="I115" s="407" t="str">
        <f>I114</f>
        <v>CAD</v>
      </c>
      <c r="J115" s="461">
        <f t="shared" si="99"/>
        <v>1</v>
      </c>
      <c r="K115" s="468"/>
      <c r="L115" s="465" t="str">
        <f t="shared" si="104"/>
        <v>CEO</v>
      </c>
      <c r="M115" s="123" t="str">
        <f t="shared" si="104"/>
        <v>CEO</v>
      </c>
      <c r="N115" s="132" t="str">
        <f t="shared" si="104"/>
        <v>John MacKenzie</v>
      </c>
      <c r="O115" s="219">
        <v>656316</v>
      </c>
      <c r="P115" s="125">
        <f t="shared" si="78"/>
        <v>844166.16254416946</v>
      </c>
      <c r="Q115" s="455" t="s">
        <v>78</v>
      </c>
      <c r="R115" s="126" t="str">
        <f t="shared" si="79"/>
        <v>-</v>
      </c>
      <c r="S115" s="221">
        <v>778750</v>
      </c>
      <c r="T115" s="125">
        <f t="shared" si="80"/>
        <v>1001643.109540636</v>
      </c>
      <c r="U115" s="127">
        <f t="shared" si="49"/>
        <v>1.1865473339062282</v>
      </c>
      <c r="V115" s="128"/>
      <c r="W115" s="223" t="s">
        <v>78</v>
      </c>
      <c r="X115" s="129">
        <f t="shared" si="50"/>
        <v>0</v>
      </c>
      <c r="Y115" s="124">
        <f t="shared" si="58"/>
        <v>1845809.2720848054</v>
      </c>
      <c r="Z115" s="130">
        <f t="shared" si="59"/>
        <v>844166.16254416946</v>
      </c>
      <c r="AA115" s="225">
        <f>(1/3)*1640625</f>
        <v>546875</v>
      </c>
      <c r="AB115" s="225">
        <f>(2/3)*1640625</f>
        <v>1093750</v>
      </c>
      <c r="AC115" s="225">
        <v>546875</v>
      </c>
      <c r="AD115" s="225" t="s">
        <v>78</v>
      </c>
      <c r="AE115" s="225" t="s">
        <v>78</v>
      </c>
      <c r="AF115" s="125">
        <f t="shared" si="100"/>
        <v>2187500</v>
      </c>
      <c r="AG115" s="127">
        <f t="shared" si="60"/>
        <v>2.5913144793760234</v>
      </c>
      <c r="AH115" s="128"/>
      <c r="AI115" s="223" t="s">
        <v>78</v>
      </c>
      <c r="AJ115" s="131">
        <f t="shared" si="52"/>
        <v>0</v>
      </c>
      <c r="AK115" s="368">
        <f t="shared" si="96"/>
        <v>2187500</v>
      </c>
      <c r="AL115" s="375">
        <f t="shared" si="61"/>
        <v>4033309.2720848052</v>
      </c>
      <c r="AM115" s="376">
        <f t="shared" si="62"/>
        <v>844166.16254416946</v>
      </c>
      <c r="AN115" s="394" t="s">
        <v>801</v>
      </c>
      <c r="AO115" s="395" t="s">
        <v>801</v>
      </c>
      <c r="AP115" s="396" t="str">
        <f t="shared" si="93"/>
        <v>-</v>
      </c>
      <c r="AQ115" s="397"/>
      <c r="AR115" s="439">
        <f>375646-301075</f>
        <v>74571</v>
      </c>
      <c r="AS115" s="396">
        <f t="shared" si="94"/>
        <v>95914.643109540615</v>
      </c>
      <c r="AT115" s="397"/>
      <c r="AU115" s="388">
        <f t="shared" si="63"/>
        <v>4129223.9151943456</v>
      </c>
      <c r="AV115" s="389">
        <f t="shared" si="64"/>
        <v>940080.80565371003</v>
      </c>
      <c r="AW115" s="425" t="s">
        <v>803</v>
      </c>
      <c r="AX115" s="403" t="s">
        <v>358</v>
      </c>
      <c r="AY115" s="404" t="s">
        <v>451</v>
      </c>
    </row>
    <row r="116" spans="1:52" ht="15" customHeight="1">
      <c r="A116" s="1" t="str">
        <f t="shared" si="92"/>
        <v>TSX:CS_2024_COO</v>
      </c>
      <c r="B116" s="1" t="str">
        <f t="shared" si="97"/>
        <v>TSX:CS_2024_NEO1</v>
      </c>
      <c r="C116" s="114" t="str">
        <f t="shared" si="82"/>
        <v>TSX:CS</v>
      </c>
      <c r="D116" s="133" t="str">
        <f>_xll.ciqfunctions.udf.CIQ(C116,"IQ_Company_Name")</f>
        <v>Capstone Copper Corp.</v>
      </c>
      <c r="E116" s="114">
        <f t="shared" si="69"/>
        <v>2024</v>
      </c>
      <c r="F116" s="114" t="str">
        <f t="shared" si="46"/>
        <v>2024-01-01</v>
      </c>
      <c r="G116" s="330" t="str">
        <f t="shared" si="84"/>
        <v>2024-12-31</v>
      </c>
      <c r="H116" s="114">
        <f t="shared" si="54"/>
        <v>12</v>
      </c>
      <c r="I116" s="407" t="str">
        <f>I115</f>
        <v>CAD</v>
      </c>
      <c r="J116" s="461">
        <f t="shared" si="99"/>
        <v>1</v>
      </c>
      <c r="K116" s="468" t="s">
        <v>277</v>
      </c>
      <c r="L116" s="464" t="s">
        <v>107</v>
      </c>
      <c r="M116" s="217" t="s">
        <v>399</v>
      </c>
      <c r="N116" s="218" t="s">
        <v>395</v>
      </c>
      <c r="O116" s="219">
        <v>676000</v>
      </c>
      <c r="P116" s="125">
        <f t="shared" si="78"/>
        <v>676000</v>
      </c>
      <c r="Q116" s="455" t="s">
        <v>78</v>
      </c>
      <c r="R116" s="126" t="str">
        <f t="shared" si="79"/>
        <v>-</v>
      </c>
      <c r="S116" s="221">
        <v>550602</v>
      </c>
      <c r="T116" s="125">
        <f t="shared" si="80"/>
        <v>550602</v>
      </c>
      <c r="U116" s="127">
        <f t="shared" si="49"/>
        <v>0.8145</v>
      </c>
      <c r="V116" s="128">
        <f>IFERROR(AVERAGE(U116:U118),"N/A")</f>
        <v>0.80354355267573629</v>
      </c>
      <c r="W116" s="223">
        <v>0.9</v>
      </c>
      <c r="X116" s="129">
        <f t="shared" si="50"/>
        <v>608400</v>
      </c>
      <c r="Y116" s="124">
        <f t="shared" si="58"/>
        <v>1226602</v>
      </c>
      <c r="Z116" s="130">
        <f t="shared" si="59"/>
        <v>1284400</v>
      </c>
      <c r="AA116" s="221">
        <f>861900*1/3</f>
        <v>287300</v>
      </c>
      <c r="AB116" s="221">
        <f>861900*2/3</f>
        <v>574600</v>
      </c>
      <c r="AC116" s="225">
        <v>287300</v>
      </c>
      <c r="AD116" s="225" t="s">
        <v>78</v>
      </c>
      <c r="AE116" s="225" t="s">
        <v>78</v>
      </c>
      <c r="AF116" s="125">
        <f t="shared" si="100"/>
        <v>1149200</v>
      </c>
      <c r="AG116" s="127">
        <f t="shared" si="60"/>
        <v>1.7</v>
      </c>
      <c r="AH116" s="128">
        <f>IFERROR(AVERAGE(AG116:AG118),"N/A")</f>
        <v>1.6984821659654505</v>
      </c>
      <c r="AI116" s="223">
        <v>1.7</v>
      </c>
      <c r="AJ116" s="131">
        <f t="shared" si="52"/>
        <v>1149200</v>
      </c>
      <c r="AK116" s="368">
        <f t="shared" si="96"/>
        <v>1149200</v>
      </c>
      <c r="AL116" s="375">
        <f t="shared" si="61"/>
        <v>2375802</v>
      </c>
      <c r="AM116" s="376">
        <f t="shared" si="62"/>
        <v>2433600</v>
      </c>
      <c r="AN116" s="394" t="s">
        <v>801</v>
      </c>
      <c r="AO116" s="395" t="s">
        <v>801</v>
      </c>
      <c r="AP116" s="396" t="str">
        <f t="shared" si="93"/>
        <v>-</v>
      </c>
      <c r="AQ116" s="397" t="str">
        <f>IFERROR(AVERAGE(AP116:AP118),"N/A")</f>
        <v>N/A</v>
      </c>
      <c r="AR116" s="401">
        <v>84172</v>
      </c>
      <c r="AS116" s="396">
        <f t="shared" si="94"/>
        <v>84172</v>
      </c>
      <c r="AT116" s="397">
        <f>IFERROR(AVERAGE(AS116:AS118),"N/A")</f>
        <v>70046.148148148146</v>
      </c>
      <c r="AU116" s="388">
        <f t="shared" si="63"/>
        <v>2459974</v>
      </c>
      <c r="AV116" s="389">
        <f t="shared" si="64"/>
        <v>2517772</v>
      </c>
      <c r="AW116" s="353" t="s">
        <v>393</v>
      </c>
      <c r="AX116" s="403" t="s">
        <v>358</v>
      </c>
      <c r="AY116" s="404" t="s">
        <v>451</v>
      </c>
    </row>
    <row r="117" spans="1:52" ht="15" customHeight="1">
      <c r="A117" s="1" t="str">
        <f t="shared" si="92"/>
        <v>TSX:CS_2023_COO</v>
      </c>
      <c r="B117" s="1" t="str">
        <f t="shared" si="97"/>
        <v>TSX:CS_2023_NEO1</v>
      </c>
      <c r="C117" s="114" t="str">
        <f t="shared" si="82"/>
        <v>TSX:CS</v>
      </c>
      <c r="D117" s="133" t="str">
        <f>_xll.ciqfunctions.udf.CIQ(C117,"IQ_Company_Name")</f>
        <v>Capstone Copper Corp.</v>
      </c>
      <c r="E117" s="114">
        <f t="shared" si="69"/>
        <v>2023</v>
      </c>
      <c r="F117" s="114" t="str">
        <f t="shared" ref="F117:F180" si="105">E117&amp;"-01-01"</f>
        <v>2023-01-01</v>
      </c>
      <c r="G117" s="330" t="str">
        <f t="shared" si="84"/>
        <v>2023-12-31</v>
      </c>
      <c r="H117" s="114">
        <f t="shared" si="54"/>
        <v>12</v>
      </c>
      <c r="I117" s="407" t="str">
        <f>I116</f>
        <v>CAD</v>
      </c>
      <c r="J117" s="461">
        <f t="shared" si="99"/>
        <v>1</v>
      </c>
      <c r="K117" s="468" t="s">
        <v>277</v>
      </c>
      <c r="L117" s="465" t="str">
        <f t="shared" ref="L117:N118" si="106">L116</f>
        <v>NEO1</v>
      </c>
      <c r="M117" s="123" t="str">
        <f t="shared" si="106"/>
        <v>President &amp; COO</v>
      </c>
      <c r="N117" s="132" t="str">
        <f t="shared" si="106"/>
        <v>Cashel Meagher</v>
      </c>
      <c r="O117" s="219">
        <v>650000</v>
      </c>
      <c r="P117" s="125">
        <f t="shared" si="78"/>
        <v>650000</v>
      </c>
      <c r="Q117" s="455" t="s">
        <v>78</v>
      </c>
      <c r="R117" s="126" t="str">
        <f t="shared" si="79"/>
        <v>-</v>
      </c>
      <c r="S117" s="221">
        <v>512460</v>
      </c>
      <c r="T117" s="125">
        <f t="shared" si="80"/>
        <v>512460</v>
      </c>
      <c r="U117" s="127">
        <f t="shared" ref="U117:U180" si="107">IFERROR($T117/$P117,"-")</f>
        <v>0.78839999999999999</v>
      </c>
      <c r="V117" s="128"/>
      <c r="W117" s="223" t="s">
        <v>78</v>
      </c>
      <c r="X117" s="129">
        <f t="shared" ref="X117:X180" si="108">IFERROR(IF(ISNUMBER($W117)=TRUE, $W117*$P117,$V117*$P117),"-")</f>
        <v>0</v>
      </c>
      <c r="Y117" s="124">
        <f t="shared" si="58"/>
        <v>1162460</v>
      </c>
      <c r="Z117" s="130">
        <f t="shared" si="59"/>
        <v>650000</v>
      </c>
      <c r="AA117" s="225">
        <f>(1/3)*828750</f>
        <v>276250</v>
      </c>
      <c r="AB117" s="225">
        <f>(2/3)*828750</f>
        <v>552500</v>
      </c>
      <c r="AC117" s="225">
        <v>276250</v>
      </c>
      <c r="AD117" s="225" t="s">
        <v>78</v>
      </c>
      <c r="AE117" s="225" t="s">
        <v>78</v>
      </c>
      <c r="AF117" s="125">
        <f t="shared" si="100"/>
        <v>1105000</v>
      </c>
      <c r="AG117" s="127">
        <f t="shared" ref="AG117:AG180" si="109">IFERROR($AK117/$P117,"-")</f>
        <v>1.7</v>
      </c>
      <c r="AH117" s="128"/>
      <c r="AI117" s="223" t="s">
        <v>78</v>
      </c>
      <c r="AJ117" s="131">
        <f t="shared" ref="AJ117:AJ180" si="110">IFERROR(IF(ISNUMBER($AI117)=TRUE, $AI117*$P117, $AH117*$P117), "-")</f>
        <v>0</v>
      </c>
      <c r="AK117" s="368">
        <f t="shared" si="96"/>
        <v>1105000</v>
      </c>
      <c r="AL117" s="375">
        <f t="shared" si="61"/>
        <v>2267460</v>
      </c>
      <c r="AM117" s="376">
        <f t="shared" si="62"/>
        <v>650000</v>
      </c>
      <c r="AN117" s="394" t="s">
        <v>801</v>
      </c>
      <c r="AO117" s="395" t="s">
        <v>801</v>
      </c>
      <c r="AP117" s="396" t="str">
        <f t="shared" si="93"/>
        <v>-</v>
      </c>
      <c r="AQ117" s="397"/>
      <c r="AR117" s="401">
        <v>85613</v>
      </c>
      <c r="AS117" s="396">
        <f t="shared" si="94"/>
        <v>85613</v>
      </c>
      <c r="AT117" s="397"/>
      <c r="AU117" s="388">
        <f t="shared" si="63"/>
        <v>2353073</v>
      </c>
      <c r="AV117" s="389">
        <f t="shared" si="64"/>
        <v>735613</v>
      </c>
      <c r="AW117" s="353" t="s">
        <v>404</v>
      </c>
      <c r="AX117" s="403" t="s">
        <v>358</v>
      </c>
      <c r="AY117" s="404" t="s">
        <v>451</v>
      </c>
    </row>
    <row r="118" spans="1:52" ht="15" customHeight="1">
      <c r="A118" s="1" t="str">
        <f t="shared" si="92"/>
        <v>TSX:CS_2022_COO</v>
      </c>
      <c r="B118" s="1" t="str">
        <f t="shared" si="97"/>
        <v>TSX:CS_2022_NEO1</v>
      </c>
      <c r="C118" s="114" t="str">
        <f t="shared" si="82"/>
        <v>TSX:CS</v>
      </c>
      <c r="D118" s="133" t="str">
        <f>_xll.ciqfunctions.udf.CIQ(C118,"IQ_Company_Name")</f>
        <v>Capstone Copper Corp.</v>
      </c>
      <c r="E118" s="114">
        <f t="shared" si="69"/>
        <v>2022</v>
      </c>
      <c r="F118" s="448" t="s">
        <v>403</v>
      </c>
      <c r="G118" s="330" t="str">
        <f t="shared" si="84"/>
        <v>2022-12-31</v>
      </c>
      <c r="H118" s="114">
        <f t="shared" ref="H118:H181" si="111">_xlfn.DAYS(G118,F118)/_xlfn.DAYS(E118&amp;"-12-31",E118&amp;"-01-01")*12</f>
        <v>11.868131868131869</v>
      </c>
      <c r="I118" s="407" t="str">
        <f t="shared" si="76"/>
        <v>CAD</v>
      </c>
      <c r="J118" s="461">
        <f t="shared" si="99"/>
        <v>1</v>
      </c>
      <c r="K118" s="468" t="s">
        <v>277</v>
      </c>
      <c r="L118" s="465" t="str">
        <f t="shared" si="106"/>
        <v>NEO1</v>
      </c>
      <c r="M118" s="123" t="str">
        <f t="shared" si="106"/>
        <v>President &amp; COO</v>
      </c>
      <c r="N118" s="132" t="str">
        <f t="shared" si="106"/>
        <v>Cashel Meagher</v>
      </c>
      <c r="O118" s="219">
        <v>619792</v>
      </c>
      <c r="P118" s="125">
        <f t="shared" si="78"/>
        <v>626678.5777777778</v>
      </c>
      <c r="Q118" s="455" t="s">
        <v>78</v>
      </c>
      <c r="R118" s="126" t="str">
        <f t="shared" si="79"/>
        <v>-</v>
      </c>
      <c r="S118" s="221">
        <v>500625</v>
      </c>
      <c r="T118" s="125">
        <f t="shared" si="80"/>
        <v>506187.5</v>
      </c>
      <c r="U118" s="127">
        <f t="shared" si="107"/>
        <v>0.80773065802720911</v>
      </c>
      <c r="V118" s="128"/>
      <c r="W118" s="223" t="s">
        <v>78</v>
      </c>
      <c r="X118" s="129">
        <f t="shared" si="108"/>
        <v>0</v>
      </c>
      <c r="Y118" s="124">
        <f t="shared" ref="Y118:Y181" si="112">IFERROR(IF(SUM(P118,T118)=0,"-",SUM(P118,T118)),"-")</f>
        <v>1132866.0777777778</v>
      </c>
      <c r="Z118" s="130">
        <f t="shared" ref="Z118:Z181" si="113">IFERROR(IF(SUM(P118,X118)=0,"-",SUM(P118,X118)),"-")</f>
        <v>626678.5777777778</v>
      </c>
      <c r="AA118" s="422">
        <v>1062500</v>
      </c>
      <c r="AB118" s="225" t="s">
        <v>78</v>
      </c>
      <c r="AC118" s="225" t="s">
        <v>78</v>
      </c>
      <c r="AD118" s="225" t="s">
        <v>78</v>
      </c>
      <c r="AE118" s="225" t="s">
        <v>78</v>
      </c>
      <c r="AF118" s="125">
        <f t="shared" si="100"/>
        <v>1062500</v>
      </c>
      <c r="AG118" s="127">
        <f t="shared" si="109"/>
        <v>1.6954464978963519</v>
      </c>
      <c r="AH118" s="128"/>
      <c r="AI118" s="223" t="s">
        <v>78</v>
      </c>
      <c r="AJ118" s="131">
        <f t="shared" si="110"/>
        <v>0</v>
      </c>
      <c r="AK118" s="368">
        <f t="shared" si="96"/>
        <v>1062500</v>
      </c>
      <c r="AL118" s="375">
        <f t="shared" ref="AL118:AL181" si="114">IFERROR(IF(SUM(Y118,AK118)=0,"-",SUM(Y118,AK118)),"-")</f>
        <v>2195366.0777777778</v>
      </c>
      <c r="AM118" s="376">
        <f t="shared" ref="AM118:AM181" si="115">IFERROR(IF(SUM($Z118,$AJ118)=0,"-",SUM($Z118,$AJ118)),"-")</f>
        <v>626678.5777777778</v>
      </c>
      <c r="AN118" s="394" t="s">
        <v>801</v>
      </c>
      <c r="AO118" s="395" t="s">
        <v>801</v>
      </c>
      <c r="AP118" s="396" t="str">
        <f t="shared" si="93"/>
        <v>-</v>
      </c>
      <c r="AQ118" s="397"/>
      <c r="AR118" s="401">
        <v>39910</v>
      </c>
      <c r="AS118" s="396">
        <f t="shared" si="94"/>
        <v>40353.444444444445</v>
      </c>
      <c r="AT118" s="397"/>
      <c r="AU118" s="388">
        <f t="shared" ref="AU118:AU181" si="116">IFERROR(IF(SUM(AL118,AP118,AS118)=0,"-",SUM(AL118,AP118,AS118)),"-")</f>
        <v>2235719.5222222223</v>
      </c>
      <c r="AV118" s="389">
        <f t="shared" ref="AV118:AV181" si="117">IFERROR(IF(SUM(AM118,AP118,AS118)=0,"-",SUM(AM118,AP118,AS118)),"-")</f>
        <v>667032.02222222229</v>
      </c>
      <c r="AW118" s="353" t="s">
        <v>405</v>
      </c>
      <c r="AX118" s="403" t="s">
        <v>358</v>
      </c>
      <c r="AY118" s="404" t="s">
        <v>451</v>
      </c>
    </row>
    <row r="119" spans="1:52" ht="15" customHeight="1">
      <c r="A119" s="1" t="str">
        <f t="shared" si="92"/>
        <v>TSX:CS_2024_</v>
      </c>
      <c r="B119" s="1" t="str">
        <f t="shared" si="97"/>
        <v>TSX:CS_2024_CFO</v>
      </c>
      <c r="C119" s="114" t="str">
        <f t="shared" si="82"/>
        <v>TSX:CS</v>
      </c>
      <c r="D119" s="133" t="str">
        <f>_xll.ciqfunctions.udf.CIQ(C119,"IQ_Company_Name")</f>
        <v>Capstone Copper Corp.</v>
      </c>
      <c r="E119" s="114">
        <f t="shared" si="69"/>
        <v>2024</v>
      </c>
      <c r="F119" s="330" t="str">
        <f t="shared" si="105"/>
        <v>2024-01-01</v>
      </c>
      <c r="G119" s="330" t="str">
        <f t="shared" si="84"/>
        <v>2024-12-31</v>
      </c>
      <c r="H119" s="114">
        <f t="shared" si="111"/>
        <v>12</v>
      </c>
      <c r="I119" s="407" t="str">
        <f t="shared" si="76"/>
        <v>CAD</v>
      </c>
      <c r="J119" s="461">
        <f t="shared" si="99"/>
        <v>1</v>
      </c>
      <c r="K119" s="468"/>
      <c r="L119" s="464" t="s">
        <v>106</v>
      </c>
      <c r="M119" s="217" t="s">
        <v>299</v>
      </c>
      <c r="N119" s="218" t="s">
        <v>396</v>
      </c>
      <c r="O119" s="219">
        <v>532950</v>
      </c>
      <c r="P119" s="125">
        <f t="shared" si="78"/>
        <v>532950</v>
      </c>
      <c r="Q119" s="455" t="s">
        <v>78</v>
      </c>
      <c r="R119" s="126" t="str">
        <f t="shared" si="79"/>
        <v>-</v>
      </c>
      <c r="S119" s="221">
        <v>361740</v>
      </c>
      <c r="T119" s="125">
        <f t="shared" si="80"/>
        <v>361740</v>
      </c>
      <c r="U119" s="127">
        <f t="shared" si="107"/>
        <v>0.67875035181536725</v>
      </c>
      <c r="V119" s="128">
        <f>IFERROR(AVERAGE(U119:U121),"N/A")</f>
        <v>0.6790004440691747</v>
      </c>
      <c r="W119" s="223">
        <v>0.75</v>
      </c>
      <c r="X119" s="129">
        <f t="shared" si="108"/>
        <v>399712.5</v>
      </c>
      <c r="Y119" s="124">
        <f t="shared" si="112"/>
        <v>894690</v>
      </c>
      <c r="Z119" s="130">
        <f t="shared" si="113"/>
        <v>932662.5</v>
      </c>
      <c r="AA119" s="221">
        <f>679512*1/3</f>
        <v>226504</v>
      </c>
      <c r="AB119" s="221">
        <f>679512*2/3</f>
        <v>453008</v>
      </c>
      <c r="AC119" s="225">
        <v>226504</v>
      </c>
      <c r="AD119" s="225" t="s">
        <v>78</v>
      </c>
      <c r="AE119" s="225" t="s">
        <v>78</v>
      </c>
      <c r="AF119" s="125">
        <f t="shared" si="100"/>
        <v>906016</v>
      </c>
      <c r="AG119" s="127">
        <f t="shared" si="109"/>
        <v>1.7000018763486255</v>
      </c>
      <c r="AH119" s="128">
        <f>IFERROR(AVERAGE(AG119:AG121),"N/A")</f>
        <v>1.6771529570557593</v>
      </c>
      <c r="AI119" s="223">
        <v>1.7</v>
      </c>
      <c r="AJ119" s="131">
        <f t="shared" si="110"/>
        <v>906015</v>
      </c>
      <c r="AK119" s="368">
        <f t="shared" si="96"/>
        <v>906016</v>
      </c>
      <c r="AL119" s="375">
        <f t="shared" si="114"/>
        <v>1800706</v>
      </c>
      <c r="AM119" s="376">
        <f t="shared" si="115"/>
        <v>1838677.5</v>
      </c>
      <c r="AN119" s="394" t="s">
        <v>801</v>
      </c>
      <c r="AO119" s="395" t="s">
        <v>801</v>
      </c>
      <c r="AP119" s="396" t="str">
        <f t="shared" si="93"/>
        <v>-</v>
      </c>
      <c r="AQ119" s="397" t="str">
        <f>IFERROR(AVERAGE(AP119:AP121),"N/A")</f>
        <v>N/A</v>
      </c>
      <c r="AR119" s="401">
        <v>83335</v>
      </c>
      <c r="AS119" s="396">
        <f t="shared" si="94"/>
        <v>83335</v>
      </c>
      <c r="AT119" s="397">
        <f>IFERROR(AVERAGE(AS119:AS121),"N/A")</f>
        <v>74860</v>
      </c>
      <c r="AU119" s="388">
        <f t="shared" si="116"/>
        <v>1884041</v>
      </c>
      <c r="AV119" s="389">
        <f t="shared" si="117"/>
        <v>1922012.5</v>
      </c>
      <c r="AW119" s="353" t="s">
        <v>78</v>
      </c>
      <c r="AX119" s="403" t="s">
        <v>358</v>
      </c>
      <c r="AY119" s="404" t="s">
        <v>451</v>
      </c>
    </row>
    <row r="120" spans="1:52" ht="15" customHeight="1">
      <c r="A120" s="1" t="str">
        <f t="shared" si="92"/>
        <v>TSX:CS_2023_</v>
      </c>
      <c r="B120" s="1" t="str">
        <f t="shared" si="97"/>
        <v>TSX:CS_2023_CFO</v>
      </c>
      <c r="C120" s="114" t="str">
        <f t="shared" si="82"/>
        <v>TSX:CS</v>
      </c>
      <c r="D120" s="133" t="str">
        <f>_xll.ciqfunctions.udf.CIQ(C120,"IQ_Company_Name")</f>
        <v>Capstone Copper Corp.</v>
      </c>
      <c r="E120" s="114">
        <f t="shared" si="69"/>
        <v>2023</v>
      </c>
      <c r="F120" s="330" t="str">
        <f t="shared" si="105"/>
        <v>2023-01-01</v>
      </c>
      <c r="G120" s="330" t="str">
        <f t="shared" si="84"/>
        <v>2023-12-31</v>
      </c>
      <c r="H120" s="114">
        <f t="shared" si="111"/>
        <v>12</v>
      </c>
      <c r="I120" s="407" t="str">
        <f t="shared" si="76"/>
        <v>CAD</v>
      </c>
      <c r="J120" s="461">
        <f t="shared" si="99"/>
        <v>1</v>
      </c>
      <c r="K120" s="468"/>
      <c r="L120" s="465" t="str">
        <f t="shared" ref="L120:N121" si="118">L119</f>
        <v>CFO</v>
      </c>
      <c r="M120" s="123" t="str">
        <f t="shared" si="118"/>
        <v>SVP &amp; CFO</v>
      </c>
      <c r="N120" s="132" t="str">
        <f t="shared" si="118"/>
        <v>Raman Randhawa</v>
      </c>
      <c r="O120" s="219">
        <v>510000</v>
      </c>
      <c r="P120" s="125">
        <f t="shared" si="78"/>
        <v>510000</v>
      </c>
      <c r="Q120" s="455" t="s">
        <v>78</v>
      </c>
      <c r="R120" s="126" t="str">
        <f t="shared" si="79"/>
        <v>-</v>
      </c>
      <c r="S120" s="221">
        <v>340808</v>
      </c>
      <c r="T120" s="125">
        <f t="shared" si="80"/>
        <v>340808</v>
      </c>
      <c r="U120" s="127">
        <f t="shared" si="107"/>
        <v>0.66825098039215691</v>
      </c>
      <c r="V120" s="128"/>
      <c r="W120" s="223" t="s">
        <v>78</v>
      </c>
      <c r="X120" s="129">
        <f t="shared" si="108"/>
        <v>0</v>
      </c>
      <c r="Y120" s="124">
        <f t="shared" si="112"/>
        <v>850808</v>
      </c>
      <c r="Z120" s="130">
        <f t="shared" si="113"/>
        <v>510000</v>
      </c>
      <c r="AA120" s="225">
        <f>(1/3)*650250</f>
        <v>216750</v>
      </c>
      <c r="AB120" s="225">
        <f>(2/3)*650250</f>
        <v>433500</v>
      </c>
      <c r="AC120" s="225">
        <v>216750</v>
      </c>
      <c r="AD120" s="225" t="s">
        <v>78</v>
      </c>
      <c r="AE120" s="225" t="s">
        <v>78</v>
      </c>
      <c r="AF120" s="125">
        <f t="shared" si="100"/>
        <v>867000</v>
      </c>
      <c r="AG120" s="127">
        <f t="shared" si="109"/>
        <v>1.7</v>
      </c>
      <c r="AH120" s="128"/>
      <c r="AI120" s="223" t="s">
        <v>78</v>
      </c>
      <c r="AJ120" s="131">
        <f t="shared" si="110"/>
        <v>0</v>
      </c>
      <c r="AK120" s="368">
        <f t="shared" si="96"/>
        <v>867000</v>
      </c>
      <c r="AL120" s="375">
        <f t="shared" si="114"/>
        <v>1717808</v>
      </c>
      <c r="AM120" s="376">
        <f t="shared" si="115"/>
        <v>510000</v>
      </c>
      <c r="AN120" s="394" t="s">
        <v>801</v>
      </c>
      <c r="AO120" s="395" t="s">
        <v>801</v>
      </c>
      <c r="AP120" s="396" t="str">
        <f t="shared" si="93"/>
        <v>-</v>
      </c>
      <c r="AQ120" s="397"/>
      <c r="AR120" s="401">
        <v>80703</v>
      </c>
      <c r="AS120" s="396">
        <f t="shared" si="94"/>
        <v>80703</v>
      </c>
      <c r="AT120" s="397"/>
      <c r="AU120" s="388">
        <f t="shared" si="116"/>
        <v>1798511</v>
      </c>
      <c r="AV120" s="389">
        <f t="shared" si="117"/>
        <v>590703</v>
      </c>
      <c r="AW120" s="353" t="s">
        <v>78</v>
      </c>
      <c r="AX120" s="403" t="s">
        <v>358</v>
      </c>
      <c r="AY120" s="404" t="s">
        <v>451</v>
      </c>
    </row>
    <row r="121" spans="1:52" ht="15" customHeight="1">
      <c r="A121" s="1" t="str">
        <f t="shared" si="92"/>
        <v>TSX:CS_2022_</v>
      </c>
      <c r="B121" s="1" t="str">
        <f t="shared" si="97"/>
        <v>TSX:CS_2022_CFO</v>
      </c>
      <c r="C121" s="114" t="str">
        <f t="shared" si="82"/>
        <v>TSX:CS</v>
      </c>
      <c r="D121" s="133" t="str">
        <f>_xll.ciqfunctions.udf.CIQ(C121,"IQ_Company_Name")</f>
        <v>Capstone Copper Corp.</v>
      </c>
      <c r="E121" s="114">
        <f t="shared" si="69"/>
        <v>2022</v>
      </c>
      <c r="F121" s="114" t="str">
        <f t="shared" si="105"/>
        <v>2022-01-01</v>
      </c>
      <c r="G121" s="330" t="str">
        <f t="shared" si="84"/>
        <v>2022-12-31</v>
      </c>
      <c r="H121" s="114">
        <f t="shared" si="111"/>
        <v>12</v>
      </c>
      <c r="I121" s="407" t="str">
        <f t="shared" si="76"/>
        <v>CAD</v>
      </c>
      <c r="J121" s="461">
        <f t="shared" si="99"/>
        <v>1</v>
      </c>
      <c r="K121" s="468"/>
      <c r="L121" s="465" t="str">
        <f t="shared" si="118"/>
        <v>CFO</v>
      </c>
      <c r="M121" s="123" t="str">
        <f t="shared" si="118"/>
        <v>SVP &amp; CFO</v>
      </c>
      <c r="N121" s="132" t="str">
        <f t="shared" si="118"/>
        <v>Raman Randhawa</v>
      </c>
      <c r="O121" s="219">
        <v>482500</v>
      </c>
      <c r="P121" s="125">
        <f t="shared" si="78"/>
        <v>482500</v>
      </c>
      <c r="Q121" s="455" t="s">
        <v>78</v>
      </c>
      <c r="R121" s="126" t="str">
        <f t="shared" si="79"/>
        <v>-</v>
      </c>
      <c r="S121" s="221">
        <v>332925</v>
      </c>
      <c r="T121" s="125">
        <f t="shared" si="80"/>
        <v>332925</v>
      </c>
      <c r="U121" s="127">
        <f>IFERROR($T121/$P121,"-")</f>
        <v>0.69</v>
      </c>
      <c r="V121" s="128"/>
      <c r="W121" s="223" t="s">
        <v>78</v>
      </c>
      <c r="X121" s="129">
        <f t="shared" si="108"/>
        <v>0</v>
      </c>
      <c r="Y121" s="124">
        <f t="shared" si="112"/>
        <v>815425</v>
      </c>
      <c r="Z121" s="130">
        <f t="shared" si="113"/>
        <v>482500</v>
      </c>
      <c r="AA121" s="225">
        <f>(1/3)*606240</f>
        <v>202080</v>
      </c>
      <c r="AB121" s="225">
        <f>(2/3)*606240</f>
        <v>404160</v>
      </c>
      <c r="AC121" s="225">
        <v>180938</v>
      </c>
      <c r="AD121" s="225" t="s">
        <v>78</v>
      </c>
      <c r="AE121" s="225" t="s">
        <v>78</v>
      </c>
      <c r="AF121" s="125">
        <f t="shared" si="100"/>
        <v>787178</v>
      </c>
      <c r="AG121" s="127">
        <f t="shared" si="109"/>
        <v>1.6314569948186528</v>
      </c>
      <c r="AH121" s="128"/>
      <c r="AI121" s="223" t="s">
        <v>78</v>
      </c>
      <c r="AJ121" s="131">
        <f t="shared" si="110"/>
        <v>0</v>
      </c>
      <c r="AK121" s="368">
        <f t="shared" si="96"/>
        <v>787178</v>
      </c>
      <c r="AL121" s="375">
        <f t="shared" si="114"/>
        <v>1602603</v>
      </c>
      <c r="AM121" s="376">
        <f t="shared" si="115"/>
        <v>482500</v>
      </c>
      <c r="AN121" s="394" t="s">
        <v>801</v>
      </c>
      <c r="AO121" s="395" t="s">
        <v>801</v>
      </c>
      <c r="AP121" s="396" t="str">
        <f t="shared" si="93"/>
        <v>-</v>
      </c>
      <c r="AQ121" s="397"/>
      <c r="AR121" s="401">
        <v>60542</v>
      </c>
      <c r="AS121" s="396">
        <f t="shared" si="94"/>
        <v>60542</v>
      </c>
      <c r="AT121" s="397"/>
      <c r="AU121" s="388">
        <f t="shared" si="116"/>
        <v>1663145</v>
      </c>
      <c r="AV121" s="389">
        <f t="shared" si="117"/>
        <v>543042</v>
      </c>
      <c r="AW121" s="353" t="s">
        <v>78</v>
      </c>
      <c r="AX121" s="403" t="s">
        <v>358</v>
      </c>
      <c r="AY121" s="404" t="s">
        <v>451</v>
      </c>
    </row>
    <row r="122" spans="1:52" ht="15" customHeight="1">
      <c r="A122" s="1" t="str">
        <f t="shared" si="92"/>
        <v>TSX:CS_2024_Region</v>
      </c>
      <c r="B122" s="1" t="str">
        <f t="shared" si="97"/>
        <v>TSX:CS_2024_NEO2</v>
      </c>
      <c r="C122" s="114" t="str">
        <f t="shared" si="82"/>
        <v>TSX:CS</v>
      </c>
      <c r="D122" s="133" t="str">
        <f>_xll.ciqfunctions.udf.CIQ(C122,"IQ_Company_Name")</f>
        <v>Capstone Copper Corp.</v>
      </c>
      <c r="E122" s="114">
        <f t="shared" si="69"/>
        <v>2024</v>
      </c>
      <c r="F122" s="114" t="str">
        <f t="shared" si="105"/>
        <v>2024-01-01</v>
      </c>
      <c r="G122" s="330" t="str">
        <f t="shared" si="84"/>
        <v>2024-12-31</v>
      </c>
      <c r="H122" s="114">
        <f t="shared" si="111"/>
        <v>12</v>
      </c>
      <c r="I122" s="407" t="str">
        <f t="shared" si="76"/>
        <v>CAD</v>
      </c>
      <c r="J122" s="461">
        <f t="shared" si="99"/>
        <v>1</v>
      </c>
      <c r="K122" s="468" t="s">
        <v>475</v>
      </c>
      <c r="L122" s="464" t="s">
        <v>108</v>
      </c>
      <c r="M122" s="217" t="s">
        <v>400</v>
      </c>
      <c r="N122" s="218" t="s">
        <v>397</v>
      </c>
      <c r="O122" s="219">
        <v>663000</v>
      </c>
      <c r="P122" s="125">
        <f t="shared" si="78"/>
        <v>663000</v>
      </c>
      <c r="Q122" s="455" t="s">
        <v>78</v>
      </c>
      <c r="R122" s="126" t="str">
        <f t="shared" si="79"/>
        <v>-</v>
      </c>
      <c r="S122" s="221">
        <v>531063</v>
      </c>
      <c r="T122" s="125">
        <f t="shared" si="80"/>
        <v>531063</v>
      </c>
      <c r="U122" s="127">
        <f t="shared" si="107"/>
        <v>0.80100000000000005</v>
      </c>
      <c r="V122" s="128">
        <f>IFERROR(AVERAGE(U122:U124),"N/A")</f>
        <v>0.75978835428896363</v>
      </c>
      <c r="W122" s="223">
        <v>0.75</v>
      </c>
      <c r="X122" s="129">
        <f t="shared" si="108"/>
        <v>497250</v>
      </c>
      <c r="Y122" s="124">
        <f t="shared" si="112"/>
        <v>1194063</v>
      </c>
      <c r="Z122" s="130">
        <f t="shared" si="113"/>
        <v>1160250</v>
      </c>
      <c r="AA122" s="221">
        <f>745875*1/3</f>
        <v>248625</v>
      </c>
      <c r="AB122" s="221">
        <f>745875*2/3</f>
        <v>497250</v>
      </c>
      <c r="AC122" s="225">
        <v>248625</v>
      </c>
      <c r="AD122" s="225" t="s">
        <v>78</v>
      </c>
      <c r="AE122" s="225" t="s">
        <v>78</v>
      </c>
      <c r="AF122" s="125">
        <f t="shared" si="100"/>
        <v>994500</v>
      </c>
      <c r="AG122" s="127">
        <f t="shared" si="109"/>
        <v>1.5</v>
      </c>
      <c r="AH122" s="128">
        <f>IFERROR(AVERAGE(AG122:AG124),"N/A")</f>
        <v>1.5</v>
      </c>
      <c r="AI122" s="223">
        <v>1.5</v>
      </c>
      <c r="AJ122" s="131">
        <f t="shared" si="110"/>
        <v>994500</v>
      </c>
      <c r="AK122" s="368">
        <f t="shared" si="96"/>
        <v>994500</v>
      </c>
      <c r="AL122" s="375">
        <f t="shared" si="114"/>
        <v>2188563</v>
      </c>
      <c r="AM122" s="376">
        <f t="shared" si="115"/>
        <v>2154750</v>
      </c>
      <c r="AN122" s="394" t="s">
        <v>801</v>
      </c>
      <c r="AO122" s="395" t="s">
        <v>801</v>
      </c>
      <c r="AP122" s="396" t="str">
        <f t="shared" si="93"/>
        <v>-</v>
      </c>
      <c r="AQ122" s="397" t="str">
        <f>IFERROR(AVERAGE(AP122:AP124),"N/A")</f>
        <v>N/A</v>
      </c>
      <c r="AR122" s="401">
        <v>17873</v>
      </c>
      <c r="AS122" s="396">
        <f t="shared" si="94"/>
        <v>17873</v>
      </c>
      <c r="AT122" s="397">
        <f>IFERROR(AVERAGE(AS122:AS124),"N/A")</f>
        <v>18507.065789473687</v>
      </c>
      <c r="AU122" s="388">
        <f t="shared" si="116"/>
        <v>2206436</v>
      </c>
      <c r="AV122" s="389">
        <f t="shared" si="117"/>
        <v>2172623</v>
      </c>
      <c r="AW122" s="353" t="s">
        <v>78</v>
      </c>
      <c r="AX122" s="403" t="s">
        <v>358</v>
      </c>
      <c r="AY122" s="404" t="s">
        <v>451</v>
      </c>
    </row>
    <row r="123" spans="1:52" ht="15" customHeight="1">
      <c r="A123" s="1" t="str">
        <f t="shared" si="92"/>
        <v>TSX:CS_2023_Region</v>
      </c>
      <c r="B123" s="1" t="str">
        <f t="shared" si="97"/>
        <v>TSX:CS_2023_NEO2</v>
      </c>
      <c r="C123" s="114" t="str">
        <f t="shared" si="82"/>
        <v>TSX:CS</v>
      </c>
      <c r="D123" s="133" t="str">
        <f>_xll.ciqfunctions.udf.CIQ(C123,"IQ_Company_Name")</f>
        <v>Capstone Copper Corp.</v>
      </c>
      <c r="E123" s="114">
        <f>E120</f>
        <v>2023</v>
      </c>
      <c r="F123" s="453">
        <v>45139</v>
      </c>
      <c r="G123" s="330" t="str">
        <f t="shared" si="84"/>
        <v>2023-12-31</v>
      </c>
      <c r="H123" s="114">
        <f t="shared" si="111"/>
        <v>5.0109890109890109</v>
      </c>
      <c r="I123" s="407" t="str">
        <f t="shared" si="76"/>
        <v>CAD</v>
      </c>
      <c r="J123" s="461">
        <f t="shared" si="99"/>
        <v>1</v>
      </c>
      <c r="K123" s="468" t="s">
        <v>475</v>
      </c>
      <c r="L123" s="465" t="str">
        <f t="shared" ref="L123:N124" si="119">L122</f>
        <v>NEO2</v>
      </c>
      <c r="M123" s="123" t="str">
        <f t="shared" si="119"/>
        <v>SVP, Head of Chile</v>
      </c>
      <c r="N123" s="132" t="str">
        <f t="shared" si="119"/>
        <v>James Whittaker</v>
      </c>
      <c r="O123" s="219">
        <v>270833</v>
      </c>
      <c r="P123" s="125">
        <f t="shared" si="78"/>
        <v>648573.76315789472</v>
      </c>
      <c r="Q123" s="455" t="s">
        <v>78</v>
      </c>
      <c r="R123" s="126" t="str">
        <f t="shared" si="79"/>
        <v>-</v>
      </c>
      <c r="S123" s="221">
        <v>466050</v>
      </c>
      <c r="T123" s="422">
        <f>S123</f>
        <v>466050</v>
      </c>
      <c r="U123" s="127">
        <f t="shared" si="107"/>
        <v>0.7185767085779271</v>
      </c>
      <c r="V123" s="128"/>
      <c r="W123" s="223" t="s">
        <v>78</v>
      </c>
      <c r="X123" s="129">
        <f t="shared" si="108"/>
        <v>0</v>
      </c>
      <c r="Y123" s="124">
        <f t="shared" si="112"/>
        <v>1114623.7631578948</v>
      </c>
      <c r="Z123" s="130">
        <f t="shared" si="113"/>
        <v>648573.76315789472</v>
      </c>
      <c r="AA123" s="225" t="s">
        <v>78</v>
      </c>
      <c r="AB123" s="225" t="s">
        <v>78</v>
      </c>
      <c r="AC123" s="225" t="s">
        <v>78</v>
      </c>
      <c r="AD123" s="225" t="s">
        <v>78</v>
      </c>
      <c r="AE123" s="225" t="s">
        <v>78</v>
      </c>
      <c r="AF123" s="125" t="str">
        <f t="shared" si="100"/>
        <v>-</v>
      </c>
      <c r="AG123" s="127" t="str">
        <f t="shared" si="109"/>
        <v>-</v>
      </c>
      <c r="AH123" s="128"/>
      <c r="AI123" s="223" t="s">
        <v>78</v>
      </c>
      <c r="AJ123" s="131">
        <f t="shared" si="110"/>
        <v>0</v>
      </c>
      <c r="AK123" s="368" t="str">
        <f t="shared" si="96"/>
        <v>-</v>
      </c>
      <c r="AL123" s="375">
        <f t="shared" si="114"/>
        <v>1114623.7631578948</v>
      </c>
      <c r="AM123" s="376">
        <f t="shared" si="115"/>
        <v>648573.76315789472</v>
      </c>
      <c r="AN123" s="394" t="s">
        <v>801</v>
      </c>
      <c r="AO123" s="395" t="s">
        <v>801</v>
      </c>
      <c r="AP123" s="396" t="str">
        <f t="shared" si="93"/>
        <v>-</v>
      </c>
      <c r="AQ123" s="397"/>
      <c r="AR123" s="401">
        <v>7993</v>
      </c>
      <c r="AS123" s="396">
        <f t="shared" si="94"/>
        <v>19141.13157894737</v>
      </c>
      <c r="AT123" s="397"/>
      <c r="AU123" s="388">
        <f t="shared" si="116"/>
        <v>1133764.8947368423</v>
      </c>
      <c r="AV123" s="389">
        <f t="shared" si="117"/>
        <v>667714.89473684214</v>
      </c>
      <c r="AW123" s="353" t="s">
        <v>406</v>
      </c>
      <c r="AX123" s="403" t="s">
        <v>358</v>
      </c>
      <c r="AY123" s="404" t="s">
        <v>451</v>
      </c>
    </row>
    <row r="124" spans="1:52" ht="15" customHeight="1">
      <c r="A124" s="1" t="str">
        <f t="shared" si="92"/>
        <v>TSX:CS_2022_Region</v>
      </c>
      <c r="B124" s="1" t="str">
        <f t="shared" si="97"/>
        <v>TSX:CS_2022_NEO2</v>
      </c>
      <c r="C124" s="114" t="str">
        <f t="shared" si="82"/>
        <v>TSX:CS</v>
      </c>
      <c r="D124" s="133" t="str">
        <f>_xll.ciqfunctions.udf.CIQ(C124,"IQ_Company_Name")</f>
        <v>Capstone Copper Corp.</v>
      </c>
      <c r="E124" s="114">
        <f>E121</f>
        <v>2022</v>
      </c>
      <c r="F124" s="114" t="str">
        <f t="shared" si="105"/>
        <v>2022-01-01</v>
      </c>
      <c r="G124" s="330" t="str">
        <f t="shared" si="84"/>
        <v>2022-12-31</v>
      </c>
      <c r="H124" s="114">
        <f t="shared" si="111"/>
        <v>12</v>
      </c>
      <c r="I124" s="407" t="str">
        <f t="shared" si="76"/>
        <v>CAD</v>
      </c>
      <c r="J124" s="461">
        <f t="shared" si="99"/>
        <v>1</v>
      </c>
      <c r="K124" s="468" t="s">
        <v>475</v>
      </c>
      <c r="L124" s="465" t="str">
        <f t="shared" si="119"/>
        <v>NEO2</v>
      </c>
      <c r="M124" s="123" t="str">
        <f t="shared" si="119"/>
        <v>SVP, Head of Chile</v>
      </c>
      <c r="N124" s="132" t="str">
        <f t="shared" si="119"/>
        <v>James Whittaker</v>
      </c>
      <c r="O124" s="219" t="s">
        <v>78</v>
      </c>
      <c r="P124" s="125" t="str">
        <f t="shared" si="78"/>
        <v>-</v>
      </c>
      <c r="Q124" s="455" t="s">
        <v>78</v>
      </c>
      <c r="R124" s="126" t="str">
        <f t="shared" si="79"/>
        <v>-</v>
      </c>
      <c r="S124" s="221" t="s">
        <v>78</v>
      </c>
      <c r="T124" s="125" t="str">
        <f t="shared" si="80"/>
        <v>-</v>
      </c>
      <c r="U124" s="127" t="str">
        <f t="shared" si="107"/>
        <v>-</v>
      </c>
      <c r="V124" s="128"/>
      <c r="W124" s="223" t="s">
        <v>78</v>
      </c>
      <c r="X124" s="129" t="str">
        <f t="shared" si="108"/>
        <v>-</v>
      </c>
      <c r="Y124" s="124" t="str">
        <f t="shared" si="112"/>
        <v>-</v>
      </c>
      <c r="Z124" s="130" t="str">
        <f t="shared" si="113"/>
        <v>-</v>
      </c>
      <c r="AA124" s="225" t="s">
        <v>78</v>
      </c>
      <c r="AB124" s="225" t="s">
        <v>78</v>
      </c>
      <c r="AC124" s="225" t="s">
        <v>78</v>
      </c>
      <c r="AD124" s="225" t="s">
        <v>78</v>
      </c>
      <c r="AE124" s="225" t="s">
        <v>78</v>
      </c>
      <c r="AF124" s="125" t="str">
        <f t="shared" si="100"/>
        <v>-</v>
      </c>
      <c r="AG124" s="127" t="str">
        <f t="shared" si="109"/>
        <v>-</v>
      </c>
      <c r="AH124" s="128"/>
      <c r="AI124" s="223" t="s">
        <v>78</v>
      </c>
      <c r="AJ124" s="131" t="str">
        <f t="shared" si="110"/>
        <v>-</v>
      </c>
      <c r="AK124" s="368" t="str">
        <f t="shared" si="96"/>
        <v>-</v>
      </c>
      <c r="AL124" s="375" t="str">
        <f t="shared" si="114"/>
        <v>-</v>
      </c>
      <c r="AM124" s="376" t="str">
        <f t="shared" si="115"/>
        <v>-</v>
      </c>
      <c r="AN124" s="394" t="s">
        <v>78</v>
      </c>
      <c r="AO124" s="395" t="s">
        <v>78</v>
      </c>
      <c r="AP124" s="396" t="str">
        <f t="shared" si="93"/>
        <v>-</v>
      </c>
      <c r="AQ124" s="397"/>
      <c r="AR124" s="401" t="s">
        <v>78</v>
      </c>
      <c r="AS124" s="396" t="str">
        <f t="shared" si="94"/>
        <v>-</v>
      </c>
      <c r="AT124" s="397"/>
      <c r="AU124" s="388" t="str">
        <f t="shared" si="116"/>
        <v>-</v>
      </c>
      <c r="AV124" s="389" t="str">
        <f t="shared" si="117"/>
        <v>-</v>
      </c>
      <c r="AW124" s="353" t="s">
        <v>78</v>
      </c>
      <c r="AX124" s="403" t="s">
        <v>358</v>
      </c>
      <c r="AY124" s="404" t="s">
        <v>451</v>
      </c>
    </row>
    <row r="125" spans="1:52" ht="15" customHeight="1">
      <c r="A125" s="1" t="str">
        <f t="shared" si="92"/>
        <v>TSX:CS_2024_Legal</v>
      </c>
      <c r="B125" s="1" t="str">
        <f t="shared" si="97"/>
        <v>TSX:CS_2024_NEO3</v>
      </c>
      <c r="C125" s="114" t="str">
        <f t="shared" si="82"/>
        <v>TSX:CS</v>
      </c>
      <c r="D125" s="133" t="str">
        <f>_xll.ciqfunctions.udf.CIQ(C125,"IQ_Company_Name")</f>
        <v>Capstone Copper Corp.</v>
      </c>
      <c r="E125" s="114">
        <f>E122</f>
        <v>2024</v>
      </c>
      <c r="F125" s="114" t="str">
        <f t="shared" si="105"/>
        <v>2024-01-01</v>
      </c>
      <c r="G125" s="330" t="str">
        <f t="shared" si="84"/>
        <v>2024-12-31</v>
      </c>
      <c r="H125" s="114">
        <f t="shared" si="111"/>
        <v>12</v>
      </c>
      <c r="I125" s="407" t="str">
        <f t="shared" si="76"/>
        <v>CAD</v>
      </c>
      <c r="J125" s="461">
        <f t="shared" si="99"/>
        <v>1</v>
      </c>
      <c r="K125" s="468" t="s">
        <v>468</v>
      </c>
      <c r="L125" s="464" t="s">
        <v>109</v>
      </c>
      <c r="M125" s="217" t="s">
        <v>401</v>
      </c>
      <c r="N125" s="218" t="s">
        <v>398</v>
      </c>
      <c r="O125" s="219">
        <v>451568</v>
      </c>
      <c r="P125" s="125">
        <f t="shared" si="78"/>
        <v>451568</v>
      </c>
      <c r="Q125" s="455" t="s">
        <v>78</v>
      </c>
      <c r="R125" s="126" t="str">
        <f t="shared" si="79"/>
        <v>-</v>
      </c>
      <c r="S125" s="221">
        <v>306502</v>
      </c>
      <c r="T125" s="125">
        <f t="shared" si="80"/>
        <v>306502</v>
      </c>
      <c r="U125" s="127">
        <f t="shared" si="107"/>
        <v>0.67875048719129782</v>
      </c>
      <c r="V125" s="128">
        <f>IFERROR(AVERAGE(U125:U127),"N/A")</f>
        <v>0.66025013168928404</v>
      </c>
      <c r="W125" s="223">
        <v>0.75</v>
      </c>
      <c r="X125" s="129">
        <f t="shared" si="108"/>
        <v>338676</v>
      </c>
      <c r="Y125" s="124">
        <f t="shared" si="112"/>
        <v>758070</v>
      </c>
      <c r="Z125" s="130">
        <f t="shared" si="113"/>
        <v>790244</v>
      </c>
      <c r="AA125" s="221">
        <f>508014*1/3</f>
        <v>169338</v>
      </c>
      <c r="AB125" s="221">
        <f>508014*2/3</f>
        <v>338676</v>
      </c>
      <c r="AC125" s="225">
        <v>169338</v>
      </c>
      <c r="AD125" s="225" t="s">
        <v>78</v>
      </c>
      <c r="AE125" s="225" t="s">
        <v>78</v>
      </c>
      <c r="AF125" s="125">
        <f t="shared" si="100"/>
        <v>677352</v>
      </c>
      <c r="AG125" s="127">
        <f t="shared" si="109"/>
        <v>1.5</v>
      </c>
      <c r="AH125" s="128">
        <f>IFERROR(AVERAGE(AG125:AG127),"N/A")</f>
        <v>1.545632734530938</v>
      </c>
      <c r="AI125" s="223">
        <v>1.5</v>
      </c>
      <c r="AJ125" s="131">
        <f t="shared" si="110"/>
        <v>677352</v>
      </c>
      <c r="AK125" s="368">
        <f t="shared" si="96"/>
        <v>677352</v>
      </c>
      <c r="AL125" s="375">
        <f t="shared" si="114"/>
        <v>1435422</v>
      </c>
      <c r="AM125" s="376">
        <f t="shared" si="115"/>
        <v>1467596</v>
      </c>
      <c r="AN125" s="394" t="s">
        <v>801</v>
      </c>
      <c r="AO125" s="395" t="s">
        <v>801</v>
      </c>
      <c r="AP125" s="396" t="str">
        <f t="shared" si="93"/>
        <v>-</v>
      </c>
      <c r="AQ125" s="397" t="str">
        <f>IFERROR(AVERAGE(AP125:AP127),"N/A")</f>
        <v>N/A</v>
      </c>
      <c r="AR125" s="401">
        <v>72802</v>
      </c>
      <c r="AS125" s="396">
        <f t="shared" si="94"/>
        <v>72802</v>
      </c>
      <c r="AT125" s="397">
        <f>IFERROR(AVERAGE(AS125:AS127),"N/A")</f>
        <v>70413</v>
      </c>
      <c r="AU125" s="388">
        <f t="shared" si="116"/>
        <v>1508224</v>
      </c>
      <c r="AV125" s="389">
        <f t="shared" si="117"/>
        <v>1540398</v>
      </c>
      <c r="AW125" s="353" t="s">
        <v>78</v>
      </c>
      <c r="AX125" s="403" t="s">
        <v>358</v>
      </c>
      <c r="AY125" s="404" t="s">
        <v>451</v>
      </c>
    </row>
    <row r="126" spans="1:52" ht="15" customHeight="1">
      <c r="A126" s="1" t="str">
        <f t="shared" si="92"/>
        <v>TSX:CS_2023_Legal</v>
      </c>
      <c r="B126" s="1" t="str">
        <f t="shared" si="97"/>
        <v>TSX:CS_2023_NEO3</v>
      </c>
      <c r="C126" s="114" t="str">
        <f t="shared" si="82"/>
        <v>TSX:CS</v>
      </c>
      <c r="D126" s="133" t="str">
        <f>_xll.ciqfunctions.udf.CIQ(C126,"IQ_Company_Name")</f>
        <v>Capstone Copper Corp.</v>
      </c>
      <c r="E126" s="114">
        <f>E123</f>
        <v>2023</v>
      </c>
      <c r="F126" s="114" t="str">
        <f t="shared" si="105"/>
        <v>2023-01-01</v>
      </c>
      <c r="G126" s="330" t="str">
        <f t="shared" si="84"/>
        <v>2023-12-31</v>
      </c>
      <c r="H126" s="114">
        <f t="shared" si="111"/>
        <v>12</v>
      </c>
      <c r="I126" s="407" t="str">
        <f t="shared" si="76"/>
        <v>CAD</v>
      </c>
      <c r="J126" s="461">
        <f t="shared" si="99"/>
        <v>1</v>
      </c>
      <c r="K126" s="468" t="s">
        <v>468</v>
      </c>
      <c r="L126" s="465" t="str">
        <f t="shared" ref="L126:N127" si="120">L125</f>
        <v>NEO3</v>
      </c>
      <c r="M126" s="123" t="str">
        <f t="shared" si="120"/>
        <v>SVP, Risk, ESG, General Counsel &amp; Corporate Secretary</v>
      </c>
      <c r="N126" s="132" t="str">
        <f t="shared" si="120"/>
        <v>Wendy King</v>
      </c>
      <c r="O126" s="219">
        <v>434200</v>
      </c>
      <c r="P126" s="125">
        <f t="shared" si="78"/>
        <v>434200</v>
      </c>
      <c r="Q126" s="455" t="s">
        <v>78</v>
      </c>
      <c r="R126" s="126" t="str">
        <f t="shared" si="79"/>
        <v>-</v>
      </c>
      <c r="S126" s="221">
        <v>280385</v>
      </c>
      <c r="T126" s="125">
        <f t="shared" si="80"/>
        <v>280385</v>
      </c>
      <c r="U126" s="127">
        <f t="shared" si="107"/>
        <v>0.64575080608014734</v>
      </c>
      <c r="V126" s="128"/>
      <c r="W126" s="223" t="s">
        <v>78</v>
      </c>
      <c r="X126" s="129">
        <f t="shared" si="108"/>
        <v>0</v>
      </c>
      <c r="Y126" s="124">
        <f t="shared" si="112"/>
        <v>714585</v>
      </c>
      <c r="Z126" s="130">
        <f t="shared" si="113"/>
        <v>434200</v>
      </c>
      <c r="AA126" s="219">
        <f>(1/3)*488475</f>
        <v>162825</v>
      </c>
      <c r="AB126" s="225">
        <f>(2/3)*488475</f>
        <v>325650</v>
      </c>
      <c r="AC126" s="225">
        <v>162825</v>
      </c>
      <c r="AD126" s="225" t="s">
        <v>78</v>
      </c>
      <c r="AE126" s="225" t="s">
        <v>78</v>
      </c>
      <c r="AF126" s="125">
        <f t="shared" si="100"/>
        <v>651300</v>
      </c>
      <c r="AG126" s="127">
        <f t="shared" si="109"/>
        <v>1.5</v>
      </c>
      <c r="AH126" s="128"/>
      <c r="AI126" s="223" t="s">
        <v>78</v>
      </c>
      <c r="AJ126" s="131">
        <f t="shared" si="110"/>
        <v>0</v>
      </c>
      <c r="AK126" s="368">
        <f t="shared" si="96"/>
        <v>651300</v>
      </c>
      <c r="AL126" s="375">
        <f t="shared" si="114"/>
        <v>1365885</v>
      </c>
      <c r="AM126" s="376">
        <f t="shared" si="115"/>
        <v>434200</v>
      </c>
      <c r="AN126" s="394" t="s">
        <v>801</v>
      </c>
      <c r="AO126" s="395" t="s">
        <v>801</v>
      </c>
      <c r="AP126" s="396" t="str">
        <f t="shared" si="93"/>
        <v>-</v>
      </c>
      <c r="AQ126" s="397"/>
      <c r="AR126" s="401">
        <v>76506</v>
      </c>
      <c r="AS126" s="396">
        <f t="shared" si="94"/>
        <v>76506</v>
      </c>
      <c r="AT126" s="397"/>
      <c r="AU126" s="388">
        <f t="shared" si="116"/>
        <v>1442391</v>
      </c>
      <c r="AV126" s="389">
        <f t="shared" si="117"/>
        <v>510706</v>
      </c>
      <c r="AW126" s="353" t="s">
        <v>78</v>
      </c>
      <c r="AX126" s="403" t="s">
        <v>358</v>
      </c>
      <c r="AY126" s="404" t="s">
        <v>451</v>
      </c>
    </row>
    <row r="127" spans="1:52" ht="15" customHeight="1">
      <c r="A127" s="1" t="str">
        <f t="shared" si="92"/>
        <v>TSX:CS_2022_Legal</v>
      </c>
      <c r="B127" s="1" t="str">
        <f t="shared" si="97"/>
        <v>TSX:CS_2022_NEO3</v>
      </c>
      <c r="C127" s="203" t="str">
        <f t="shared" si="82"/>
        <v>TSX:CS</v>
      </c>
      <c r="D127" s="205" t="str">
        <f>_xll.ciqfunctions.udf.CIQ(C127,"IQ_Company_Name")</f>
        <v>Capstone Copper Corp.</v>
      </c>
      <c r="E127" s="204">
        <f>E124</f>
        <v>2022</v>
      </c>
      <c r="F127" s="204" t="str">
        <f t="shared" si="105"/>
        <v>2022-01-01</v>
      </c>
      <c r="G127" s="331" t="str">
        <f t="shared" si="84"/>
        <v>2022-12-31</v>
      </c>
      <c r="H127" s="204">
        <f t="shared" si="111"/>
        <v>12</v>
      </c>
      <c r="I127" s="408" t="str">
        <f t="shared" si="76"/>
        <v>CAD</v>
      </c>
      <c r="J127" s="463">
        <f t="shared" si="99"/>
        <v>1</v>
      </c>
      <c r="K127" s="470" t="s">
        <v>468</v>
      </c>
      <c r="L127" s="466" t="str">
        <f t="shared" si="120"/>
        <v>NEO3</v>
      </c>
      <c r="M127" s="206" t="str">
        <f t="shared" si="120"/>
        <v>SVP, Risk, ESG, General Counsel &amp; Corporate Secretary</v>
      </c>
      <c r="N127" s="207" t="str">
        <f t="shared" si="120"/>
        <v>Wendy King</v>
      </c>
      <c r="O127" s="220">
        <v>417500</v>
      </c>
      <c r="P127" s="209">
        <f t="shared" si="78"/>
        <v>417500</v>
      </c>
      <c r="Q127" s="456" t="s">
        <v>78</v>
      </c>
      <c r="R127" s="329" t="str">
        <f t="shared" si="79"/>
        <v>-</v>
      </c>
      <c r="S127" s="222">
        <v>273984</v>
      </c>
      <c r="T127" s="209">
        <f t="shared" si="80"/>
        <v>273984</v>
      </c>
      <c r="U127" s="211">
        <f t="shared" si="107"/>
        <v>0.65624910179640716</v>
      </c>
      <c r="V127" s="212"/>
      <c r="W127" s="224" t="s">
        <v>78</v>
      </c>
      <c r="X127" s="213">
        <f t="shared" si="108"/>
        <v>0</v>
      </c>
      <c r="Y127" s="208">
        <f t="shared" si="112"/>
        <v>691484</v>
      </c>
      <c r="Z127" s="214">
        <f t="shared" si="113"/>
        <v>417500</v>
      </c>
      <c r="AA127" s="452">
        <f>(1/3)*526842</f>
        <v>175614</v>
      </c>
      <c r="AB127" s="446">
        <f>(2/3)*526842</f>
        <v>351228</v>
      </c>
      <c r="AC127" s="446">
        <v>156563</v>
      </c>
      <c r="AD127" s="226" t="s">
        <v>78</v>
      </c>
      <c r="AE127" s="226" t="s">
        <v>78</v>
      </c>
      <c r="AF127" s="420">
        <f t="shared" si="100"/>
        <v>683405</v>
      </c>
      <c r="AG127" s="211">
        <f t="shared" si="109"/>
        <v>1.6368982035928143</v>
      </c>
      <c r="AH127" s="212"/>
      <c r="AI127" s="224" t="s">
        <v>78</v>
      </c>
      <c r="AJ127" s="215">
        <f t="shared" si="110"/>
        <v>0</v>
      </c>
      <c r="AK127" s="369">
        <f t="shared" si="96"/>
        <v>683405</v>
      </c>
      <c r="AL127" s="377">
        <f t="shared" si="114"/>
        <v>1374889</v>
      </c>
      <c r="AM127" s="378">
        <f t="shared" si="115"/>
        <v>417500</v>
      </c>
      <c r="AN127" s="398" t="s">
        <v>801</v>
      </c>
      <c r="AO127" s="399" t="s">
        <v>801</v>
      </c>
      <c r="AP127" s="396" t="str">
        <f t="shared" si="93"/>
        <v>-</v>
      </c>
      <c r="AQ127" s="400"/>
      <c r="AR127" s="402">
        <v>61931</v>
      </c>
      <c r="AS127" s="396">
        <f t="shared" si="94"/>
        <v>61931</v>
      </c>
      <c r="AT127" s="400"/>
      <c r="AU127" s="390">
        <f t="shared" si="116"/>
        <v>1436820</v>
      </c>
      <c r="AV127" s="391">
        <f t="shared" si="117"/>
        <v>479431</v>
      </c>
      <c r="AW127" s="354" t="s">
        <v>78</v>
      </c>
      <c r="AX127" s="405" t="s">
        <v>358</v>
      </c>
      <c r="AY127" s="404" t="s">
        <v>451</v>
      </c>
    </row>
    <row r="128" spans="1:52" ht="15" customHeight="1">
      <c r="A128" s="1" t="str">
        <f t="shared" si="92"/>
        <v>TSX:IMG_2024_</v>
      </c>
      <c r="B128" s="1" t="str">
        <f t="shared" si="97"/>
        <v>TSX:IMG_2024_CEO</v>
      </c>
      <c r="C128" s="216" t="str">
        <f>D10</f>
        <v>TSX:IMG</v>
      </c>
      <c r="D128" s="133" t="str">
        <f>_xll.ciqfunctions.udf.CIQ(C128,"IQ_Company_Name")</f>
        <v>IAMGOLD Corporation</v>
      </c>
      <c r="E128" s="328">
        <v>2024</v>
      </c>
      <c r="F128" s="330" t="str">
        <f t="shared" si="105"/>
        <v>2024-01-01</v>
      </c>
      <c r="G128" s="330" t="str">
        <f t="shared" si="84"/>
        <v>2024-12-31</v>
      </c>
      <c r="H128" s="114">
        <f t="shared" si="111"/>
        <v>12</v>
      </c>
      <c r="I128" s="328" t="s">
        <v>2</v>
      </c>
      <c r="J128" s="461">
        <f t="shared" si="99"/>
        <v>1</v>
      </c>
      <c r="K128" s="468"/>
      <c r="L128" s="464" t="s">
        <v>79</v>
      </c>
      <c r="M128" s="217" t="s">
        <v>79</v>
      </c>
      <c r="N128" s="218" t="s">
        <v>286</v>
      </c>
      <c r="O128" s="219">
        <v>901250</v>
      </c>
      <c r="P128" s="125">
        <f>IFERROR(O128*(12/$H128)*$J128,"-")</f>
        <v>901250</v>
      </c>
      <c r="Q128" s="455" t="s">
        <v>78</v>
      </c>
      <c r="R128" s="126" t="str">
        <f t="shared" si="79"/>
        <v>-</v>
      </c>
      <c r="S128" s="221">
        <v>1347819</v>
      </c>
      <c r="T128" s="125">
        <f t="shared" ref="T128:T137" si="121">IFERROR(S128*(12/$H128)*$J128,"-")</f>
        <v>1347819</v>
      </c>
      <c r="U128" s="127">
        <f t="shared" si="107"/>
        <v>1.4954995839112344</v>
      </c>
      <c r="V128" s="128">
        <f>IFERROR(AVERAGE(U128:U130),"N/A")</f>
        <v>1.3695760776699029</v>
      </c>
      <c r="W128" s="223">
        <v>1.25</v>
      </c>
      <c r="X128" s="129">
        <f t="shared" si="108"/>
        <v>1126562.5</v>
      </c>
      <c r="Y128" s="124">
        <f t="shared" si="112"/>
        <v>2249069</v>
      </c>
      <c r="Z128" s="130">
        <f t="shared" si="113"/>
        <v>2027812.5</v>
      </c>
      <c r="AA128" s="221">
        <f>1656588*(0.333333333333333)</f>
        <v>552195.99999999942</v>
      </c>
      <c r="AB128" s="428">
        <f>1656588*(0.666666666666667)</f>
        <v>1104392.0000000005</v>
      </c>
      <c r="AC128" s="225">
        <v>563279</v>
      </c>
      <c r="AD128" s="225" t="s">
        <v>78</v>
      </c>
      <c r="AE128" s="225" t="s">
        <v>78</v>
      </c>
      <c r="AF128" s="125">
        <f t="shared" ref="AF128:AF142" si="122">IFERROR(IF(SUM(AA128:AE128)=0,IF(COUNTIF($AA128:$AE128,"=0")&gt;0,"$0","-"),SUM(AA128:AE128)),"-")</f>
        <v>2219867</v>
      </c>
      <c r="AG128" s="127">
        <f t="shared" si="109"/>
        <v>2.463097919556172</v>
      </c>
      <c r="AH128" s="128">
        <f>IFERROR(AVERAGE(AG128:AG130),"N/A")</f>
        <v>2.199784379976935</v>
      </c>
      <c r="AI128" s="423">
        <v>2.5</v>
      </c>
      <c r="AJ128" s="131">
        <f t="shared" si="110"/>
        <v>2253125</v>
      </c>
      <c r="AK128" s="368">
        <f t="shared" si="96"/>
        <v>2219867</v>
      </c>
      <c r="AL128" s="375">
        <f t="shared" si="114"/>
        <v>4468936</v>
      </c>
      <c r="AM128" s="376">
        <f t="shared" si="115"/>
        <v>4280937.5</v>
      </c>
      <c r="AN128" s="394">
        <v>34604</v>
      </c>
      <c r="AO128" s="424" t="s">
        <v>274</v>
      </c>
      <c r="AP128" s="396">
        <f t="shared" si="93"/>
        <v>34604</v>
      </c>
      <c r="AQ128" s="409">
        <f>IFERROR(AVERAGE(AP128:AP130),"N/A")</f>
        <v>36863.014598540147</v>
      </c>
      <c r="AR128" s="401">
        <v>141955</v>
      </c>
      <c r="AS128" s="396">
        <f t="shared" si="94"/>
        <v>141955</v>
      </c>
      <c r="AT128" s="409">
        <f>IFERROR(AVERAGE(AS128:AS130),"N/A")</f>
        <v>143188.98905109489</v>
      </c>
      <c r="AU128" s="388">
        <f t="shared" si="116"/>
        <v>4645495</v>
      </c>
      <c r="AV128" s="389">
        <f t="shared" si="117"/>
        <v>4457496.5</v>
      </c>
      <c r="AW128" s="425" t="s">
        <v>345</v>
      </c>
      <c r="AX128" s="403" t="s">
        <v>275</v>
      </c>
      <c r="AY128" s="404" t="s">
        <v>276</v>
      </c>
      <c r="AZ128" s="1" t="s">
        <v>453</v>
      </c>
    </row>
    <row r="129" spans="1:52" ht="15" customHeight="1">
      <c r="A129" s="1" t="str">
        <f t="shared" si="92"/>
        <v>TSX:IMG_2023_</v>
      </c>
      <c r="B129" s="1" t="str">
        <f t="shared" si="97"/>
        <v>TSX:IMG_2023_CEO</v>
      </c>
      <c r="C129" s="114" t="str">
        <f>C128</f>
        <v>TSX:IMG</v>
      </c>
      <c r="D129" s="133" t="str">
        <f>_xll.ciqfunctions.udf.CIQ(C129,"IQ_Company_Name")</f>
        <v>IAMGOLD Corporation</v>
      </c>
      <c r="E129" s="328">
        <v>2023</v>
      </c>
      <c r="F129" s="429" t="str">
        <f>E129&amp;"-04-01"</f>
        <v>2023-04-01</v>
      </c>
      <c r="G129" s="330" t="str">
        <f t="shared" si="84"/>
        <v>2023-12-31</v>
      </c>
      <c r="H129" s="114">
        <f t="shared" si="111"/>
        <v>9.0329670329670328</v>
      </c>
      <c r="I129" s="407" t="str">
        <f t="shared" ref="I129:I142" si="123">I128</f>
        <v>CAD</v>
      </c>
      <c r="J129" s="461">
        <f t="shared" si="99"/>
        <v>1</v>
      </c>
      <c r="K129" s="468"/>
      <c r="L129" s="465" t="str">
        <f t="shared" ref="L129:N130" si="124">L128</f>
        <v>CEO</v>
      </c>
      <c r="M129" s="123" t="str">
        <f t="shared" si="124"/>
        <v>CEO</v>
      </c>
      <c r="N129" s="132" t="str">
        <f t="shared" si="124"/>
        <v>Renaud Adams</v>
      </c>
      <c r="O129" s="219">
        <v>656250</v>
      </c>
      <c r="P129" s="125">
        <f>IFERROR(O129*(12/$H129)*$J129,"-")</f>
        <v>871806.56934306561</v>
      </c>
      <c r="Q129" s="455" t="s">
        <v>78</v>
      </c>
      <c r="R129" s="126" t="str">
        <f t="shared" si="79"/>
        <v>-</v>
      </c>
      <c r="S129" s="221">
        <v>816147</v>
      </c>
      <c r="T129" s="125">
        <f t="shared" si="121"/>
        <v>1084224.4817518247</v>
      </c>
      <c r="U129" s="127">
        <f t="shared" si="107"/>
        <v>1.2436525714285716</v>
      </c>
      <c r="V129" s="128"/>
      <c r="W129" s="223" t="s">
        <v>78</v>
      </c>
      <c r="X129" s="129">
        <f t="shared" si="108"/>
        <v>0</v>
      </c>
      <c r="Y129" s="124">
        <f t="shared" si="112"/>
        <v>1956031.0510948903</v>
      </c>
      <c r="Z129" s="130">
        <f t="shared" si="113"/>
        <v>871806.56934306561</v>
      </c>
      <c r="AA129" s="426">
        <v>425401</v>
      </c>
      <c r="AB129" s="428">
        <f>850798</f>
        <v>850798</v>
      </c>
      <c r="AC129" s="225">
        <v>412029</v>
      </c>
      <c r="AD129" s="225" t="s">
        <v>78</v>
      </c>
      <c r="AE129" s="225" t="s">
        <v>78</v>
      </c>
      <c r="AF129" s="125">
        <f t="shared" si="122"/>
        <v>1688228</v>
      </c>
      <c r="AG129" s="127">
        <f t="shared" si="109"/>
        <v>1.9364708403976978</v>
      </c>
      <c r="AH129" s="128"/>
      <c r="AI129" s="223" t="s">
        <v>78</v>
      </c>
      <c r="AJ129" s="131">
        <f t="shared" si="110"/>
        <v>0</v>
      </c>
      <c r="AK129" s="368">
        <f t="shared" si="96"/>
        <v>1688228</v>
      </c>
      <c r="AL129" s="375">
        <f t="shared" si="114"/>
        <v>3644259.0510948906</v>
      </c>
      <c r="AM129" s="376">
        <f t="shared" si="115"/>
        <v>871806.56934306561</v>
      </c>
      <c r="AN129" s="394">
        <v>29449</v>
      </c>
      <c r="AO129" s="395" t="s">
        <v>78</v>
      </c>
      <c r="AP129" s="396">
        <f t="shared" si="93"/>
        <v>39122.029197080286</v>
      </c>
      <c r="AQ129" s="397"/>
      <c r="AR129" s="401">
        <v>108714</v>
      </c>
      <c r="AS129" s="396">
        <f t="shared" si="94"/>
        <v>144422.97810218978</v>
      </c>
      <c r="AT129" s="397"/>
      <c r="AU129" s="388">
        <f t="shared" si="116"/>
        <v>3827804.0583941606</v>
      </c>
      <c r="AV129" s="389">
        <f t="shared" si="117"/>
        <v>1055351.5766423356</v>
      </c>
      <c r="AW129" s="353" t="s">
        <v>78</v>
      </c>
      <c r="AX129" s="403" t="s">
        <v>275</v>
      </c>
      <c r="AY129" s="404" t="s">
        <v>276</v>
      </c>
      <c r="AZ129" s="1" t="s">
        <v>453</v>
      </c>
    </row>
    <row r="130" spans="1:52" ht="15" customHeight="1">
      <c r="A130" s="1" t="str">
        <f t="shared" si="92"/>
        <v>TSX:IMG_2022_</v>
      </c>
      <c r="B130" s="1" t="str">
        <f t="shared" si="97"/>
        <v>TSX:IMG_2022_CEO</v>
      </c>
      <c r="C130" s="114" t="str">
        <f t="shared" si="82"/>
        <v>TSX:IMG</v>
      </c>
      <c r="D130" s="133" t="str">
        <f>_xll.ciqfunctions.udf.CIQ(C130,"IQ_Company_Name")</f>
        <v>IAMGOLD Corporation</v>
      </c>
      <c r="E130" s="328">
        <v>2022</v>
      </c>
      <c r="F130" s="114" t="str">
        <f t="shared" si="105"/>
        <v>2022-01-01</v>
      </c>
      <c r="G130" s="330" t="str">
        <f t="shared" si="84"/>
        <v>2022-12-31</v>
      </c>
      <c r="H130" s="114">
        <f t="shared" si="111"/>
        <v>12</v>
      </c>
      <c r="I130" s="407" t="str">
        <f t="shared" si="123"/>
        <v>CAD</v>
      </c>
      <c r="J130" s="461">
        <f t="shared" si="99"/>
        <v>1</v>
      </c>
      <c r="K130" s="468"/>
      <c r="L130" s="465" t="str">
        <f t="shared" si="124"/>
        <v>CEO</v>
      </c>
      <c r="M130" s="123" t="str">
        <f t="shared" si="124"/>
        <v>CEO</v>
      </c>
      <c r="N130" s="132" t="str">
        <f t="shared" si="124"/>
        <v>Renaud Adams</v>
      </c>
      <c r="O130" s="219" t="s">
        <v>78</v>
      </c>
      <c r="P130" s="125" t="str">
        <f>IFERROR(O130*(12/$H130)*$J130,"-")</f>
        <v>-</v>
      </c>
      <c r="Q130" s="455" t="s">
        <v>78</v>
      </c>
      <c r="R130" s="126" t="str">
        <f t="shared" si="79"/>
        <v>-</v>
      </c>
      <c r="S130" s="221" t="s">
        <v>78</v>
      </c>
      <c r="T130" s="125" t="str">
        <f t="shared" si="121"/>
        <v>-</v>
      </c>
      <c r="U130" s="127" t="str">
        <f t="shared" si="107"/>
        <v>-</v>
      </c>
      <c r="V130" s="128"/>
      <c r="W130" s="223" t="s">
        <v>78</v>
      </c>
      <c r="X130" s="129" t="str">
        <f t="shared" si="108"/>
        <v>-</v>
      </c>
      <c r="Y130" s="124" t="str">
        <f t="shared" si="112"/>
        <v>-</v>
      </c>
      <c r="Z130" s="130" t="str">
        <f t="shared" si="113"/>
        <v>-</v>
      </c>
      <c r="AA130" s="221" t="s">
        <v>78</v>
      </c>
      <c r="AB130" s="225" t="s">
        <v>78</v>
      </c>
      <c r="AC130" s="225" t="s">
        <v>78</v>
      </c>
      <c r="AD130" s="225" t="s">
        <v>78</v>
      </c>
      <c r="AE130" s="225" t="s">
        <v>78</v>
      </c>
      <c r="AF130" s="125" t="str">
        <f t="shared" si="122"/>
        <v>-</v>
      </c>
      <c r="AG130" s="127" t="str">
        <f t="shared" si="109"/>
        <v>-</v>
      </c>
      <c r="AH130" s="128"/>
      <c r="AI130" s="223" t="s">
        <v>78</v>
      </c>
      <c r="AJ130" s="131" t="str">
        <f t="shared" si="110"/>
        <v>-</v>
      </c>
      <c r="AK130" s="368" t="str">
        <f t="shared" si="96"/>
        <v>-</v>
      </c>
      <c r="AL130" s="375" t="str">
        <f t="shared" si="114"/>
        <v>-</v>
      </c>
      <c r="AM130" s="376" t="str">
        <f t="shared" si="115"/>
        <v>-</v>
      </c>
      <c r="AN130" s="394" t="s">
        <v>78</v>
      </c>
      <c r="AO130" s="395" t="s">
        <v>78</v>
      </c>
      <c r="AP130" s="396" t="str">
        <f t="shared" si="93"/>
        <v>-</v>
      </c>
      <c r="AQ130" s="397"/>
      <c r="AR130" s="401" t="s">
        <v>78</v>
      </c>
      <c r="AS130" s="396" t="str">
        <f t="shared" si="94"/>
        <v>-</v>
      </c>
      <c r="AT130" s="397"/>
      <c r="AU130" s="388" t="str">
        <f t="shared" si="116"/>
        <v>-</v>
      </c>
      <c r="AV130" s="389" t="str">
        <f t="shared" si="117"/>
        <v>-</v>
      </c>
      <c r="AW130" s="353" t="s">
        <v>78</v>
      </c>
      <c r="AX130" s="403" t="s">
        <v>275</v>
      </c>
      <c r="AY130" s="404" t="s">
        <v>276</v>
      </c>
      <c r="AZ130" s="1" t="s">
        <v>453</v>
      </c>
    </row>
    <row r="131" spans="1:52" ht="15" customHeight="1">
      <c r="A131" s="1" t="str">
        <f t="shared" si="92"/>
        <v>TSX:IMG_2024_</v>
      </c>
      <c r="B131" s="1" t="str">
        <f t="shared" si="97"/>
        <v>TSX:IMG_2024_CFO</v>
      </c>
      <c r="C131" s="114" t="str">
        <f t="shared" si="82"/>
        <v>TSX:IMG</v>
      </c>
      <c r="D131" s="133" t="str">
        <f>_xll.ciqfunctions.udf.CIQ(C131,"IQ_Company_Name")</f>
        <v>IAMGOLD Corporation</v>
      </c>
      <c r="E131" s="114">
        <f t="shared" ref="E131:E142" si="125">E128</f>
        <v>2024</v>
      </c>
      <c r="F131" s="114" t="str">
        <f t="shared" si="105"/>
        <v>2024-01-01</v>
      </c>
      <c r="G131" s="330" t="str">
        <f t="shared" si="84"/>
        <v>2024-12-31</v>
      </c>
      <c r="H131" s="114">
        <f t="shared" si="111"/>
        <v>12</v>
      </c>
      <c r="I131" s="407" t="str">
        <f t="shared" si="123"/>
        <v>CAD</v>
      </c>
      <c r="J131" s="461">
        <f t="shared" si="99"/>
        <v>1</v>
      </c>
      <c r="K131" s="468"/>
      <c r="L131" s="464" t="s">
        <v>106</v>
      </c>
      <c r="M131" s="217" t="s">
        <v>106</v>
      </c>
      <c r="N131" s="218" t="s">
        <v>287</v>
      </c>
      <c r="O131" s="219">
        <v>525280</v>
      </c>
      <c r="P131" s="125">
        <f t="shared" si="78"/>
        <v>525280</v>
      </c>
      <c r="Q131" s="455" t="s">
        <v>78</v>
      </c>
      <c r="R131" s="126" t="str">
        <f t="shared" si="79"/>
        <v>-</v>
      </c>
      <c r="S131" s="221">
        <v>505571</v>
      </c>
      <c r="T131" s="125">
        <f t="shared" si="121"/>
        <v>505571</v>
      </c>
      <c r="U131" s="127">
        <f t="shared" si="107"/>
        <v>0.96247905878769413</v>
      </c>
      <c r="V131" s="128">
        <f>IFERROR(AVERAGE(U131:U133),"N/A")</f>
        <v>0.96247905878769413</v>
      </c>
      <c r="W131" s="223">
        <v>0.8</v>
      </c>
      <c r="X131" s="129">
        <f t="shared" si="108"/>
        <v>420224</v>
      </c>
      <c r="Y131" s="124">
        <f t="shared" si="112"/>
        <v>1030851</v>
      </c>
      <c r="Z131" s="130">
        <f t="shared" si="113"/>
        <v>945504</v>
      </c>
      <c r="AA131" s="221">
        <f>579315*(0.333333333333333)</f>
        <v>193104.9999999998</v>
      </c>
      <c r="AB131" s="225">
        <f>579315*(0.666666666666667)</f>
        <v>386210.00000000017</v>
      </c>
      <c r="AC131" s="225">
        <v>196980</v>
      </c>
      <c r="AD131" s="225" t="s">
        <v>78</v>
      </c>
      <c r="AE131" s="225" t="s">
        <v>78</v>
      </c>
      <c r="AF131" s="125">
        <f t="shared" si="122"/>
        <v>776295</v>
      </c>
      <c r="AG131" s="127">
        <f t="shared" si="109"/>
        <v>1.4778689460858971</v>
      </c>
      <c r="AH131" s="128">
        <f>IFERROR(AVERAGE(AG131:AG133),"N/A")</f>
        <v>1.4778689460858971</v>
      </c>
      <c r="AI131" s="423">
        <v>1.5</v>
      </c>
      <c r="AJ131" s="131">
        <f t="shared" si="110"/>
        <v>787920</v>
      </c>
      <c r="AK131" s="368">
        <f t="shared" si="96"/>
        <v>776295</v>
      </c>
      <c r="AL131" s="375">
        <f t="shared" si="114"/>
        <v>1807146</v>
      </c>
      <c r="AM131" s="376">
        <f t="shared" si="115"/>
        <v>1733424</v>
      </c>
      <c r="AN131" s="394">
        <v>18566</v>
      </c>
      <c r="AO131" s="424" t="s">
        <v>274</v>
      </c>
      <c r="AP131" s="396">
        <f t="shared" si="93"/>
        <v>18566</v>
      </c>
      <c r="AQ131" s="397">
        <f>IFERROR(AVERAGE(AP131:AP133),"N/A")</f>
        <v>18566</v>
      </c>
      <c r="AR131" s="401">
        <v>43557</v>
      </c>
      <c r="AS131" s="396">
        <f t="shared" si="94"/>
        <v>43557</v>
      </c>
      <c r="AT131" s="397">
        <f>IFERROR(AVERAGE(AS131:AS133),"N/A")</f>
        <v>43557</v>
      </c>
      <c r="AU131" s="388">
        <f t="shared" si="116"/>
        <v>1869269</v>
      </c>
      <c r="AV131" s="389">
        <f t="shared" si="117"/>
        <v>1795547</v>
      </c>
      <c r="AW131" s="353" t="s">
        <v>288</v>
      </c>
      <c r="AX131" s="403" t="s">
        <v>275</v>
      </c>
      <c r="AY131" s="404" t="s">
        <v>276</v>
      </c>
      <c r="AZ131" s="1" t="s">
        <v>453</v>
      </c>
    </row>
    <row r="132" spans="1:52" ht="15" customHeight="1">
      <c r="A132" s="1" t="str">
        <f t="shared" si="92"/>
        <v>TSX:IMG_2023_</v>
      </c>
      <c r="B132" s="1" t="str">
        <f t="shared" si="97"/>
        <v>TSX:IMG_2023_CFO</v>
      </c>
      <c r="C132" s="114" t="str">
        <f t="shared" si="82"/>
        <v>TSX:IMG</v>
      </c>
      <c r="D132" s="133" t="str">
        <f>_xll.ciqfunctions.udf.CIQ(C132,"IQ_Company_Name")</f>
        <v>IAMGOLD Corporation</v>
      </c>
      <c r="E132" s="114">
        <f t="shared" si="125"/>
        <v>2023</v>
      </c>
      <c r="F132" s="328" t="str">
        <f>E132&amp;"-03-06"</f>
        <v>2023-03-06</v>
      </c>
      <c r="G132" s="330" t="str">
        <f t="shared" si="84"/>
        <v>2023-12-31</v>
      </c>
      <c r="H132" s="114">
        <f t="shared" si="111"/>
        <v>9.8901098901098905</v>
      </c>
      <c r="I132" s="407" t="str">
        <f t="shared" si="123"/>
        <v>CAD</v>
      </c>
      <c r="J132" s="461">
        <f t="shared" si="99"/>
        <v>1</v>
      </c>
      <c r="K132" s="468"/>
      <c r="L132" s="465" t="str">
        <f t="shared" ref="L132:N133" si="126">L131</f>
        <v>CFO</v>
      </c>
      <c r="M132" s="123" t="str">
        <f t="shared" si="126"/>
        <v>CFO</v>
      </c>
      <c r="N132" s="132" t="str">
        <f t="shared" si="126"/>
        <v>Maarten Theunissen</v>
      </c>
      <c r="O132" s="219" t="s">
        <v>78</v>
      </c>
      <c r="P132" s="125" t="str">
        <f t="shared" ref="P132:P142" si="127">IFERROR(O132*(12/$H132)*$J132,"-")</f>
        <v>-</v>
      </c>
      <c r="Q132" s="455" t="s">
        <v>78</v>
      </c>
      <c r="R132" s="126" t="str">
        <f t="shared" si="79"/>
        <v>-</v>
      </c>
      <c r="S132" s="221" t="s">
        <v>78</v>
      </c>
      <c r="T132" s="125" t="str">
        <f t="shared" si="121"/>
        <v>-</v>
      </c>
      <c r="U132" s="127" t="str">
        <f t="shared" si="107"/>
        <v>-</v>
      </c>
      <c r="V132" s="128"/>
      <c r="W132" s="223" t="s">
        <v>78</v>
      </c>
      <c r="X132" s="129" t="str">
        <f t="shared" si="108"/>
        <v>-</v>
      </c>
      <c r="Y132" s="124" t="str">
        <f t="shared" si="112"/>
        <v>-</v>
      </c>
      <c r="Z132" s="130" t="str">
        <f t="shared" si="113"/>
        <v>-</v>
      </c>
      <c r="AA132" s="221" t="s">
        <v>78</v>
      </c>
      <c r="AB132" s="225" t="s">
        <v>78</v>
      </c>
      <c r="AC132" s="225" t="s">
        <v>78</v>
      </c>
      <c r="AD132" s="225" t="s">
        <v>78</v>
      </c>
      <c r="AE132" s="225" t="s">
        <v>78</v>
      </c>
      <c r="AF132" s="125" t="str">
        <f t="shared" si="122"/>
        <v>-</v>
      </c>
      <c r="AG132" s="127" t="str">
        <f t="shared" si="109"/>
        <v>-</v>
      </c>
      <c r="AH132" s="128"/>
      <c r="AI132" s="223" t="s">
        <v>78</v>
      </c>
      <c r="AJ132" s="131" t="str">
        <f t="shared" si="110"/>
        <v>-</v>
      </c>
      <c r="AK132" s="368" t="str">
        <f t="shared" si="96"/>
        <v>-</v>
      </c>
      <c r="AL132" s="375" t="str">
        <f t="shared" si="114"/>
        <v>-</v>
      </c>
      <c r="AM132" s="376" t="str">
        <f t="shared" si="115"/>
        <v>-</v>
      </c>
      <c r="AN132" s="394" t="s">
        <v>78</v>
      </c>
      <c r="AO132" s="395" t="s">
        <v>78</v>
      </c>
      <c r="AP132" s="396" t="str">
        <f t="shared" si="93"/>
        <v>-</v>
      </c>
      <c r="AQ132" s="397"/>
      <c r="AR132" s="401" t="s">
        <v>78</v>
      </c>
      <c r="AS132" s="396" t="str">
        <f t="shared" si="94"/>
        <v>-</v>
      </c>
      <c r="AT132" s="397"/>
      <c r="AU132" s="388" t="str">
        <f t="shared" si="116"/>
        <v>-</v>
      </c>
      <c r="AV132" s="389" t="str">
        <f t="shared" si="117"/>
        <v>-</v>
      </c>
      <c r="AW132" s="353" t="s">
        <v>78</v>
      </c>
      <c r="AX132" s="403" t="s">
        <v>275</v>
      </c>
      <c r="AY132" s="404" t="s">
        <v>276</v>
      </c>
      <c r="AZ132" s="1" t="s">
        <v>453</v>
      </c>
    </row>
    <row r="133" spans="1:52" ht="15" customHeight="1">
      <c r="A133" s="1" t="str">
        <f t="shared" si="92"/>
        <v>TSX:IMG_2022_</v>
      </c>
      <c r="B133" s="1" t="str">
        <f t="shared" si="97"/>
        <v>TSX:IMG_2022_CFO</v>
      </c>
      <c r="C133" s="114" t="str">
        <f t="shared" ref="C133:C196" si="128">C132</f>
        <v>TSX:IMG</v>
      </c>
      <c r="D133" s="133" t="str">
        <f>_xll.ciqfunctions.udf.CIQ(C133,"IQ_Company_Name")</f>
        <v>IAMGOLD Corporation</v>
      </c>
      <c r="E133" s="114">
        <f t="shared" si="125"/>
        <v>2022</v>
      </c>
      <c r="F133" s="114" t="str">
        <f t="shared" si="105"/>
        <v>2022-01-01</v>
      </c>
      <c r="G133" s="330" t="str">
        <f t="shared" si="84"/>
        <v>2022-12-31</v>
      </c>
      <c r="H133" s="114">
        <f t="shared" si="111"/>
        <v>12</v>
      </c>
      <c r="I133" s="407" t="str">
        <f t="shared" si="123"/>
        <v>CAD</v>
      </c>
      <c r="J133" s="461">
        <f t="shared" si="99"/>
        <v>1</v>
      </c>
      <c r="K133" s="468"/>
      <c r="L133" s="465" t="str">
        <f t="shared" si="126"/>
        <v>CFO</v>
      </c>
      <c r="M133" s="123" t="str">
        <f t="shared" si="126"/>
        <v>CFO</v>
      </c>
      <c r="N133" s="132" t="str">
        <f t="shared" si="126"/>
        <v>Maarten Theunissen</v>
      </c>
      <c r="O133" s="219" t="s">
        <v>78</v>
      </c>
      <c r="P133" s="125" t="str">
        <f t="shared" si="127"/>
        <v>-</v>
      </c>
      <c r="Q133" s="455" t="s">
        <v>78</v>
      </c>
      <c r="R133" s="126" t="str">
        <f t="shared" ref="R133:R142" si="129">IFERROR(IF((Q133*$J133)=0,"-",(Q133*$J133)),"-")</f>
        <v>-</v>
      </c>
      <c r="S133" s="221" t="s">
        <v>78</v>
      </c>
      <c r="T133" s="125" t="str">
        <f t="shared" si="121"/>
        <v>-</v>
      </c>
      <c r="U133" s="127" t="str">
        <f t="shared" si="107"/>
        <v>-</v>
      </c>
      <c r="V133" s="128"/>
      <c r="W133" s="223" t="s">
        <v>78</v>
      </c>
      <c r="X133" s="129" t="str">
        <f t="shared" si="108"/>
        <v>-</v>
      </c>
      <c r="Y133" s="124" t="str">
        <f t="shared" si="112"/>
        <v>-</v>
      </c>
      <c r="Z133" s="130" t="str">
        <f t="shared" si="113"/>
        <v>-</v>
      </c>
      <c r="AA133" s="221" t="s">
        <v>78</v>
      </c>
      <c r="AB133" s="225" t="s">
        <v>78</v>
      </c>
      <c r="AC133" s="225" t="s">
        <v>78</v>
      </c>
      <c r="AD133" s="225" t="s">
        <v>78</v>
      </c>
      <c r="AE133" s="225" t="s">
        <v>78</v>
      </c>
      <c r="AF133" s="125" t="str">
        <f t="shared" si="122"/>
        <v>-</v>
      </c>
      <c r="AG133" s="127" t="str">
        <f t="shared" si="109"/>
        <v>-</v>
      </c>
      <c r="AH133" s="128"/>
      <c r="AI133" s="223" t="s">
        <v>78</v>
      </c>
      <c r="AJ133" s="131" t="str">
        <f t="shared" si="110"/>
        <v>-</v>
      </c>
      <c r="AK133" s="368" t="str">
        <f t="shared" si="96"/>
        <v>-</v>
      </c>
      <c r="AL133" s="375" t="str">
        <f t="shared" ref="AL133:AL142" si="130">IFERROR(IF(SUM(Y133,AK133)=0,"-",SUM(Y133,AK133)),"-")</f>
        <v>-</v>
      </c>
      <c r="AM133" s="376" t="str">
        <f t="shared" si="115"/>
        <v>-</v>
      </c>
      <c r="AN133" s="394" t="s">
        <v>78</v>
      </c>
      <c r="AO133" s="395" t="s">
        <v>78</v>
      </c>
      <c r="AP133" s="396" t="str">
        <f t="shared" si="93"/>
        <v>-</v>
      </c>
      <c r="AQ133" s="397"/>
      <c r="AR133" s="401" t="s">
        <v>78</v>
      </c>
      <c r="AS133" s="396" t="str">
        <f t="shared" si="94"/>
        <v>-</v>
      </c>
      <c r="AT133" s="397"/>
      <c r="AU133" s="388" t="str">
        <f t="shared" si="116"/>
        <v>-</v>
      </c>
      <c r="AV133" s="389" t="str">
        <f t="shared" si="117"/>
        <v>-</v>
      </c>
      <c r="AW133" s="353" t="s">
        <v>78</v>
      </c>
      <c r="AX133" s="403" t="s">
        <v>275</v>
      </c>
      <c r="AY133" s="404" t="s">
        <v>276</v>
      </c>
      <c r="AZ133" s="1" t="s">
        <v>453</v>
      </c>
    </row>
    <row r="134" spans="1:52" ht="15" customHeight="1">
      <c r="A134" s="1" t="str">
        <f t="shared" si="92"/>
        <v>TSX:IMG_2024_COO</v>
      </c>
      <c r="B134" s="1" t="str">
        <f t="shared" si="97"/>
        <v>TSX:IMG_2024_NEO1</v>
      </c>
      <c r="C134" s="114" t="str">
        <f t="shared" si="128"/>
        <v>TSX:IMG</v>
      </c>
      <c r="D134" s="133" t="str">
        <f>_xll.ciqfunctions.udf.CIQ(C134,"IQ_Company_Name")</f>
        <v>IAMGOLD Corporation</v>
      </c>
      <c r="E134" s="114">
        <f t="shared" si="125"/>
        <v>2024</v>
      </c>
      <c r="F134" s="330" t="str">
        <f t="shared" si="105"/>
        <v>2024-01-01</v>
      </c>
      <c r="G134" s="330" t="str">
        <f t="shared" si="84"/>
        <v>2024-12-31</v>
      </c>
      <c r="H134" s="114">
        <f t="shared" si="111"/>
        <v>12</v>
      </c>
      <c r="I134" s="407" t="str">
        <f t="shared" si="123"/>
        <v>CAD</v>
      </c>
      <c r="J134" s="461">
        <f t="shared" si="99"/>
        <v>1</v>
      </c>
      <c r="K134" s="468" t="s">
        <v>277</v>
      </c>
      <c r="L134" s="464" t="s">
        <v>107</v>
      </c>
      <c r="M134" s="217" t="s">
        <v>277</v>
      </c>
      <c r="N134" s="218" t="s">
        <v>289</v>
      </c>
      <c r="O134" s="219">
        <v>600320</v>
      </c>
      <c r="P134" s="125">
        <f t="shared" si="127"/>
        <v>600320</v>
      </c>
      <c r="Q134" s="455" t="s">
        <v>78</v>
      </c>
      <c r="R134" s="126" t="str">
        <f t="shared" si="129"/>
        <v>-</v>
      </c>
      <c r="S134" s="426">
        <v>577796</v>
      </c>
      <c r="T134" s="125">
        <f t="shared" si="121"/>
        <v>577796</v>
      </c>
      <c r="U134" s="127">
        <f t="shared" si="107"/>
        <v>0.96248001066098077</v>
      </c>
      <c r="V134" s="128">
        <f>IFERROR(AVERAGE(U134:U136),"N/A")</f>
        <v>0.96248001066098077</v>
      </c>
      <c r="W134" s="223">
        <v>0.8</v>
      </c>
      <c r="X134" s="129">
        <f t="shared" si="108"/>
        <v>480256</v>
      </c>
      <c r="Y134" s="124">
        <f t="shared" si="112"/>
        <v>1178116</v>
      </c>
      <c r="Z134" s="130">
        <f t="shared" si="113"/>
        <v>1080576</v>
      </c>
      <c r="AA134" s="221">
        <f>706206*(0.333333333333333)</f>
        <v>235401.99999999974</v>
      </c>
      <c r="AB134" s="225">
        <f>706206*(0.666666666666667)</f>
        <v>470804.00000000023</v>
      </c>
      <c r="AC134" s="225">
        <v>240130</v>
      </c>
      <c r="AD134" s="225" t="s">
        <v>78</v>
      </c>
      <c r="AE134" s="225" t="s">
        <v>78</v>
      </c>
      <c r="AF134" s="125">
        <f t="shared" si="122"/>
        <v>946336</v>
      </c>
      <c r="AG134" s="127">
        <f t="shared" si="109"/>
        <v>1.5763859275053305</v>
      </c>
      <c r="AH134" s="128">
        <f>IFERROR(AVERAGE(AG134:AG136),"N/A")</f>
        <v>1.5763859275053305</v>
      </c>
      <c r="AI134" s="423">
        <v>1.6</v>
      </c>
      <c r="AJ134" s="131">
        <f t="shared" si="110"/>
        <v>960512</v>
      </c>
      <c r="AK134" s="368">
        <f t="shared" si="96"/>
        <v>946336</v>
      </c>
      <c r="AL134" s="375">
        <f t="shared" si="130"/>
        <v>2124452</v>
      </c>
      <c r="AM134" s="376">
        <f t="shared" si="115"/>
        <v>2041088</v>
      </c>
      <c r="AN134" s="394">
        <v>29258</v>
      </c>
      <c r="AO134" s="424" t="s">
        <v>274</v>
      </c>
      <c r="AP134" s="396">
        <f t="shared" si="93"/>
        <v>29258</v>
      </c>
      <c r="AQ134" s="397">
        <f>IFERROR(AVERAGE(AP134:AP136),"N/A")</f>
        <v>29258</v>
      </c>
      <c r="AR134" s="401">
        <v>63462</v>
      </c>
      <c r="AS134" s="396">
        <f t="shared" si="94"/>
        <v>63462</v>
      </c>
      <c r="AT134" s="397">
        <f>IFERROR(AVERAGE(AS134:AS136),"N/A")</f>
        <v>63462</v>
      </c>
      <c r="AU134" s="388">
        <f t="shared" si="116"/>
        <v>2217172</v>
      </c>
      <c r="AV134" s="389">
        <f t="shared" si="117"/>
        <v>2133808</v>
      </c>
      <c r="AW134" s="353" t="s">
        <v>290</v>
      </c>
      <c r="AX134" s="403" t="s">
        <v>275</v>
      </c>
      <c r="AY134" s="404" t="s">
        <v>276</v>
      </c>
      <c r="AZ134" s="1" t="s">
        <v>453</v>
      </c>
    </row>
    <row r="135" spans="1:52" ht="15" customHeight="1">
      <c r="A135" s="1" t="str">
        <f t="shared" si="92"/>
        <v>TSX:IMG_2023_COO</v>
      </c>
      <c r="B135" s="1" t="str">
        <f t="shared" si="97"/>
        <v>TSX:IMG_2023_NEO1</v>
      </c>
      <c r="C135" s="114" t="str">
        <f t="shared" si="128"/>
        <v>TSX:IMG</v>
      </c>
      <c r="D135" s="133" t="str">
        <f>_xll.ciqfunctions.udf.CIQ(C135,"IQ_Company_Name")</f>
        <v>IAMGOLD Corporation</v>
      </c>
      <c r="E135" s="114">
        <f t="shared" si="125"/>
        <v>2023</v>
      </c>
      <c r="F135" s="429" t="str">
        <f>E135&amp;"-09-13"</f>
        <v>2023-09-13</v>
      </c>
      <c r="G135" s="330" t="str">
        <f t="shared" si="84"/>
        <v>2023-12-31</v>
      </c>
      <c r="H135" s="114">
        <f t="shared" si="111"/>
        <v>3.5934065934065931</v>
      </c>
      <c r="I135" s="407" t="str">
        <f t="shared" si="123"/>
        <v>CAD</v>
      </c>
      <c r="J135" s="461">
        <f t="shared" si="99"/>
        <v>1</v>
      </c>
      <c r="K135" s="468" t="s">
        <v>277</v>
      </c>
      <c r="L135" s="465" t="str">
        <f t="shared" ref="L135:N136" si="131">L134</f>
        <v>NEO1</v>
      </c>
      <c r="M135" s="123" t="str">
        <f t="shared" si="131"/>
        <v>COO</v>
      </c>
      <c r="N135" s="132" t="str">
        <f t="shared" si="131"/>
        <v>Bruno Lemelin</v>
      </c>
      <c r="O135" s="219" t="s">
        <v>78</v>
      </c>
      <c r="P135" s="125" t="str">
        <f t="shared" si="127"/>
        <v>-</v>
      </c>
      <c r="Q135" s="455" t="s">
        <v>78</v>
      </c>
      <c r="R135" s="126" t="str">
        <f t="shared" si="129"/>
        <v>-</v>
      </c>
      <c r="S135" s="221" t="s">
        <v>78</v>
      </c>
      <c r="T135" s="125" t="str">
        <f t="shared" si="121"/>
        <v>-</v>
      </c>
      <c r="U135" s="127" t="str">
        <f t="shared" si="107"/>
        <v>-</v>
      </c>
      <c r="V135" s="128"/>
      <c r="W135" s="223" t="s">
        <v>78</v>
      </c>
      <c r="X135" s="129" t="str">
        <f t="shared" si="108"/>
        <v>-</v>
      </c>
      <c r="Y135" s="124" t="str">
        <f t="shared" si="112"/>
        <v>-</v>
      </c>
      <c r="Z135" s="130" t="str">
        <f t="shared" si="113"/>
        <v>-</v>
      </c>
      <c r="AA135" s="221" t="s">
        <v>78</v>
      </c>
      <c r="AB135" s="225" t="s">
        <v>78</v>
      </c>
      <c r="AC135" s="225" t="s">
        <v>78</v>
      </c>
      <c r="AD135" s="225" t="s">
        <v>78</v>
      </c>
      <c r="AE135" s="225" t="s">
        <v>78</v>
      </c>
      <c r="AF135" s="125" t="str">
        <f t="shared" si="122"/>
        <v>-</v>
      </c>
      <c r="AG135" s="127" t="str">
        <f t="shared" si="109"/>
        <v>-</v>
      </c>
      <c r="AH135" s="128"/>
      <c r="AI135" s="223" t="s">
        <v>78</v>
      </c>
      <c r="AJ135" s="131" t="str">
        <f t="shared" si="110"/>
        <v>-</v>
      </c>
      <c r="AK135" s="368" t="str">
        <f t="shared" si="96"/>
        <v>-</v>
      </c>
      <c r="AL135" s="375" t="str">
        <f t="shared" si="130"/>
        <v>-</v>
      </c>
      <c r="AM135" s="376" t="str">
        <f t="shared" si="115"/>
        <v>-</v>
      </c>
      <c r="AN135" s="394" t="s">
        <v>78</v>
      </c>
      <c r="AO135" s="395" t="s">
        <v>78</v>
      </c>
      <c r="AP135" s="396" t="str">
        <f t="shared" si="93"/>
        <v>-</v>
      </c>
      <c r="AQ135" s="397"/>
      <c r="AR135" s="401" t="s">
        <v>78</v>
      </c>
      <c r="AS135" s="396" t="str">
        <f t="shared" si="94"/>
        <v>-</v>
      </c>
      <c r="AT135" s="397"/>
      <c r="AU135" s="388" t="str">
        <f t="shared" si="116"/>
        <v>-</v>
      </c>
      <c r="AV135" s="389" t="str">
        <f t="shared" si="117"/>
        <v>-</v>
      </c>
      <c r="AW135" s="353" t="s">
        <v>78</v>
      </c>
      <c r="AX135" s="403" t="s">
        <v>275</v>
      </c>
      <c r="AY135" s="404" t="s">
        <v>276</v>
      </c>
      <c r="AZ135" s="1" t="s">
        <v>453</v>
      </c>
    </row>
    <row r="136" spans="1:52" ht="15" customHeight="1">
      <c r="A136" s="1" t="str">
        <f t="shared" si="92"/>
        <v>TSX:IMG_2022_COO</v>
      </c>
      <c r="B136" s="1" t="str">
        <f t="shared" si="97"/>
        <v>TSX:IMG_2022_NEO1</v>
      </c>
      <c r="C136" s="114" t="str">
        <f t="shared" si="128"/>
        <v>TSX:IMG</v>
      </c>
      <c r="D136" s="133" t="str">
        <f>_xll.ciqfunctions.udf.CIQ(C136,"IQ_Company_Name")</f>
        <v>IAMGOLD Corporation</v>
      </c>
      <c r="E136" s="114">
        <f t="shared" si="125"/>
        <v>2022</v>
      </c>
      <c r="F136" s="114" t="str">
        <f t="shared" si="105"/>
        <v>2022-01-01</v>
      </c>
      <c r="G136" s="330" t="str">
        <f t="shared" si="84"/>
        <v>2022-12-31</v>
      </c>
      <c r="H136" s="114">
        <f t="shared" si="111"/>
        <v>12</v>
      </c>
      <c r="I136" s="407" t="str">
        <f t="shared" si="123"/>
        <v>CAD</v>
      </c>
      <c r="J136" s="461">
        <f t="shared" si="99"/>
        <v>1</v>
      </c>
      <c r="K136" s="468" t="s">
        <v>277</v>
      </c>
      <c r="L136" s="465" t="str">
        <f t="shared" si="131"/>
        <v>NEO1</v>
      </c>
      <c r="M136" s="123" t="str">
        <f t="shared" si="131"/>
        <v>COO</v>
      </c>
      <c r="N136" s="132" t="str">
        <f t="shared" si="131"/>
        <v>Bruno Lemelin</v>
      </c>
      <c r="O136" s="219" t="s">
        <v>78</v>
      </c>
      <c r="P136" s="125" t="str">
        <f t="shared" si="127"/>
        <v>-</v>
      </c>
      <c r="Q136" s="455" t="s">
        <v>78</v>
      </c>
      <c r="R136" s="126" t="str">
        <f t="shared" si="129"/>
        <v>-</v>
      </c>
      <c r="S136" s="221" t="s">
        <v>78</v>
      </c>
      <c r="T136" s="125" t="str">
        <f t="shared" si="121"/>
        <v>-</v>
      </c>
      <c r="U136" s="127" t="str">
        <f>IFERROR($T136/$P136,"-")</f>
        <v>-</v>
      </c>
      <c r="V136" s="128"/>
      <c r="W136" s="223" t="s">
        <v>78</v>
      </c>
      <c r="X136" s="129" t="str">
        <f t="shared" si="108"/>
        <v>-</v>
      </c>
      <c r="Y136" s="124" t="str">
        <f t="shared" si="112"/>
        <v>-</v>
      </c>
      <c r="Z136" s="130" t="str">
        <f t="shared" si="113"/>
        <v>-</v>
      </c>
      <c r="AA136" s="221" t="s">
        <v>78</v>
      </c>
      <c r="AB136" s="225" t="s">
        <v>78</v>
      </c>
      <c r="AC136" s="225" t="s">
        <v>78</v>
      </c>
      <c r="AD136" s="225" t="s">
        <v>78</v>
      </c>
      <c r="AE136" s="225" t="s">
        <v>78</v>
      </c>
      <c r="AF136" s="125" t="str">
        <f t="shared" si="122"/>
        <v>-</v>
      </c>
      <c r="AG136" s="127" t="str">
        <f t="shared" si="109"/>
        <v>-</v>
      </c>
      <c r="AH136" s="128"/>
      <c r="AI136" s="223" t="s">
        <v>78</v>
      </c>
      <c r="AJ136" s="131" t="str">
        <f t="shared" si="110"/>
        <v>-</v>
      </c>
      <c r="AK136" s="368" t="str">
        <f t="shared" si="96"/>
        <v>-</v>
      </c>
      <c r="AL136" s="375" t="str">
        <f t="shared" si="130"/>
        <v>-</v>
      </c>
      <c r="AM136" s="376" t="str">
        <f t="shared" si="115"/>
        <v>-</v>
      </c>
      <c r="AN136" s="394" t="s">
        <v>78</v>
      </c>
      <c r="AO136" s="395" t="s">
        <v>78</v>
      </c>
      <c r="AP136" s="396" t="str">
        <f t="shared" si="93"/>
        <v>-</v>
      </c>
      <c r="AQ136" s="397"/>
      <c r="AR136" s="401" t="s">
        <v>78</v>
      </c>
      <c r="AS136" s="396" t="str">
        <f t="shared" si="94"/>
        <v>-</v>
      </c>
      <c r="AT136" s="397"/>
      <c r="AU136" s="388" t="str">
        <f t="shared" si="116"/>
        <v>-</v>
      </c>
      <c r="AV136" s="389" t="str">
        <f t="shared" si="117"/>
        <v>-</v>
      </c>
      <c r="AW136" s="353" t="s">
        <v>78</v>
      </c>
      <c r="AX136" s="403" t="s">
        <v>275</v>
      </c>
      <c r="AY136" s="404" t="s">
        <v>276</v>
      </c>
      <c r="AZ136" s="1" t="s">
        <v>453</v>
      </c>
    </row>
    <row r="137" spans="1:52" ht="15" customHeight="1">
      <c r="A137" s="1" t="str">
        <f t="shared" si="92"/>
        <v>TSX:IMG_2024_</v>
      </c>
      <c r="B137" s="1" t="str">
        <f t="shared" si="97"/>
        <v>TSX:IMG_2024_NEO3</v>
      </c>
      <c r="C137" s="114" t="str">
        <f t="shared" si="128"/>
        <v>TSX:IMG</v>
      </c>
      <c r="D137" s="133" t="str">
        <f>_xll.ciqfunctions.udf.CIQ(C137,"IQ_Company_Name")</f>
        <v>IAMGOLD Corporation</v>
      </c>
      <c r="E137" s="114">
        <f t="shared" si="125"/>
        <v>2024</v>
      </c>
      <c r="F137" s="114" t="str">
        <f t="shared" si="105"/>
        <v>2024-01-01</v>
      </c>
      <c r="G137" s="330" t="str">
        <f t="shared" si="84"/>
        <v>2024-12-31</v>
      </c>
      <c r="H137" s="114">
        <f t="shared" si="111"/>
        <v>12</v>
      </c>
      <c r="I137" s="407" t="str">
        <f t="shared" si="123"/>
        <v>CAD</v>
      </c>
      <c r="J137" s="461">
        <f t="shared" si="99"/>
        <v>1</v>
      </c>
      <c r="K137" s="468"/>
      <c r="L137" s="467" t="s">
        <v>109</v>
      </c>
      <c r="M137" s="427" t="s">
        <v>291</v>
      </c>
      <c r="N137" s="218" t="s">
        <v>292</v>
      </c>
      <c r="O137" s="219">
        <v>400140</v>
      </c>
      <c r="P137" s="125">
        <f t="shared" si="127"/>
        <v>400140</v>
      </c>
      <c r="Q137" s="455" t="s">
        <v>78</v>
      </c>
      <c r="R137" s="126" t="str">
        <f t="shared" si="129"/>
        <v>-</v>
      </c>
      <c r="S137" s="221">
        <v>312915</v>
      </c>
      <c r="T137" s="125">
        <f t="shared" si="121"/>
        <v>312915</v>
      </c>
      <c r="U137" s="127">
        <f t="shared" si="107"/>
        <v>0.7820137951716899</v>
      </c>
      <c r="V137" s="128">
        <f>IFERROR(AVERAGE(U137:U139),"N/A")</f>
        <v>0.7820137951716899</v>
      </c>
      <c r="W137" s="423">
        <v>0.7</v>
      </c>
      <c r="X137" s="129">
        <f t="shared" si="108"/>
        <v>280098</v>
      </c>
      <c r="Y137" s="124">
        <f t="shared" si="112"/>
        <v>713055</v>
      </c>
      <c r="Z137" s="130">
        <f t="shared" si="113"/>
        <v>680238</v>
      </c>
      <c r="AA137" s="221">
        <f>382464*(0.333333333333333)</f>
        <v>127487.99999999987</v>
      </c>
      <c r="AB137" s="225">
        <f>382464*(0.666666666666667)</f>
        <v>254976.00000000012</v>
      </c>
      <c r="AC137" s="422">
        <v>130047</v>
      </c>
      <c r="AD137" s="225" t="s">
        <v>78</v>
      </c>
      <c r="AE137" s="225" t="s">
        <v>78</v>
      </c>
      <c r="AF137" s="125">
        <f t="shared" si="122"/>
        <v>512511</v>
      </c>
      <c r="AG137" s="127">
        <f t="shared" si="109"/>
        <v>1.2808292097765781</v>
      </c>
      <c r="AH137" s="128">
        <f>IFERROR(AVERAGE(AG137:AG139),"N/A")</f>
        <v>1.2808292097765781</v>
      </c>
      <c r="AI137" s="423">
        <v>1.5</v>
      </c>
      <c r="AJ137" s="131">
        <f t="shared" si="110"/>
        <v>600210</v>
      </c>
      <c r="AK137" s="368">
        <f t="shared" si="96"/>
        <v>512511</v>
      </c>
      <c r="AL137" s="375">
        <f t="shared" si="130"/>
        <v>1225566</v>
      </c>
      <c r="AM137" s="376">
        <f t="shared" si="115"/>
        <v>1280448</v>
      </c>
      <c r="AN137" s="394">
        <v>19494</v>
      </c>
      <c r="AO137" s="424" t="s">
        <v>274</v>
      </c>
      <c r="AP137" s="396">
        <f t="shared" si="93"/>
        <v>19494</v>
      </c>
      <c r="AQ137" s="397">
        <f>IFERROR(AVERAGE(AP137:AP139),"N/A")</f>
        <v>19494</v>
      </c>
      <c r="AR137" s="401">
        <v>27431</v>
      </c>
      <c r="AS137" s="396">
        <f t="shared" si="94"/>
        <v>27431</v>
      </c>
      <c r="AT137" s="397">
        <f>IFERROR(AVERAGE(AS137:AS139),"N/A")</f>
        <v>27431</v>
      </c>
      <c r="AU137" s="388">
        <f t="shared" si="116"/>
        <v>1272491</v>
      </c>
      <c r="AV137" s="389">
        <f t="shared" si="117"/>
        <v>1327373</v>
      </c>
      <c r="AW137" s="425" t="s">
        <v>293</v>
      </c>
      <c r="AX137" s="403" t="s">
        <v>275</v>
      </c>
      <c r="AY137" s="404" t="s">
        <v>276</v>
      </c>
      <c r="AZ137" s="1" t="s">
        <v>453</v>
      </c>
    </row>
    <row r="138" spans="1:52" ht="15" customHeight="1">
      <c r="A138" s="1" t="str">
        <f t="shared" si="92"/>
        <v>TSX:IMG_2023_</v>
      </c>
      <c r="B138" s="1" t="str">
        <f t="shared" si="97"/>
        <v>TSX:IMG_2023_NEO3</v>
      </c>
      <c r="C138" s="114" t="str">
        <f t="shared" si="128"/>
        <v>TSX:IMG</v>
      </c>
      <c r="D138" s="133" t="str">
        <f>_xll.ciqfunctions.udf.CIQ(C138,"IQ_Company_Name")</f>
        <v>IAMGOLD Corporation</v>
      </c>
      <c r="E138" s="114">
        <f t="shared" si="125"/>
        <v>2023</v>
      </c>
      <c r="F138" s="114" t="str">
        <f t="shared" si="105"/>
        <v>2023-01-01</v>
      </c>
      <c r="G138" s="330" t="str">
        <f t="shared" si="84"/>
        <v>2023-12-31</v>
      </c>
      <c r="H138" s="114">
        <f t="shared" si="111"/>
        <v>12</v>
      </c>
      <c r="I138" s="407" t="str">
        <f t="shared" si="123"/>
        <v>CAD</v>
      </c>
      <c r="J138" s="461">
        <f t="shared" si="99"/>
        <v>1</v>
      </c>
      <c r="K138" s="468"/>
      <c r="L138" s="465" t="str">
        <f t="shared" ref="L138:N139" si="132">L137</f>
        <v>NEO3</v>
      </c>
      <c r="M138" s="123" t="str">
        <f t="shared" si="132"/>
        <v>Chief People Officer</v>
      </c>
      <c r="N138" s="132" t="str">
        <f t="shared" si="132"/>
        <v>Dorena Quinn</v>
      </c>
      <c r="O138" s="219" t="s">
        <v>78</v>
      </c>
      <c r="P138" s="125" t="str">
        <f t="shared" si="127"/>
        <v>-</v>
      </c>
      <c r="Q138" s="455" t="s">
        <v>78</v>
      </c>
      <c r="R138" s="126" t="str">
        <f t="shared" si="129"/>
        <v>-</v>
      </c>
      <c r="S138" s="221" t="s">
        <v>78</v>
      </c>
      <c r="T138" s="422" t="str">
        <f>S138</f>
        <v>-</v>
      </c>
      <c r="U138" s="127" t="str">
        <f t="shared" si="107"/>
        <v>-</v>
      </c>
      <c r="V138" s="128"/>
      <c r="W138" s="223" t="s">
        <v>78</v>
      </c>
      <c r="X138" s="129" t="str">
        <f t="shared" si="108"/>
        <v>-</v>
      </c>
      <c r="Y138" s="124" t="str">
        <f t="shared" si="112"/>
        <v>-</v>
      </c>
      <c r="Z138" s="130" t="str">
        <f t="shared" si="113"/>
        <v>-</v>
      </c>
      <c r="AA138" s="221" t="s">
        <v>78</v>
      </c>
      <c r="AB138" s="225" t="s">
        <v>78</v>
      </c>
      <c r="AC138" s="225" t="s">
        <v>78</v>
      </c>
      <c r="AD138" s="225" t="s">
        <v>78</v>
      </c>
      <c r="AE138" s="225" t="s">
        <v>78</v>
      </c>
      <c r="AF138" s="125" t="str">
        <f t="shared" si="122"/>
        <v>-</v>
      </c>
      <c r="AG138" s="127" t="str">
        <f t="shared" si="109"/>
        <v>-</v>
      </c>
      <c r="AH138" s="128"/>
      <c r="AI138" s="223" t="s">
        <v>78</v>
      </c>
      <c r="AJ138" s="131" t="str">
        <f t="shared" si="110"/>
        <v>-</v>
      </c>
      <c r="AK138" s="368" t="str">
        <f t="shared" si="96"/>
        <v>-</v>
      </c>
      <c r="AL138" s="375" t="str">
        <f t="shared" si="130"/>
        <v>-</v>
      </c>
      <c r="AM138" s="376" t="str">
        <f t="shared" si="115"/>
        <v>-</v>
      </c>
      <c r="AN138" s="394" t="s">
        <v>78</v>
      </c>
      <c r="AO138" s="395" t="s">
        <v>78</v>
      </c>
      <c r="AP138" s="396" t="str">
        <f t="shared" si="93"/>
        <v>-</v>
      </c>
      <c r="AQ138" s="397"/>
      <c r="AR138" s="401" t="s">
        <v>78</v>
      </c>
      <c r="AS138" s="396" t="str">
        <f t="shared" si="94"/>
        <v>-</v>
      </c>
      <c r="AT138" s="397"/>
      <c r="AU138" s="388" t="str">
        <f t="shared" si="116"/>
        <v>-</v>
      </c>
      <c r="AV138" s="389" t="str">
        <f t="shared" si="117"/>
        <v>-</v>
      </c>
      <c r="AW138" s="353" t="s">
        <v>78</v>
      </c>
      <c r="AX138" s="403" t="s">
        <v>275</v>
      </c>
      <c r="AY138" s="404" t="s">
        <v>276</v>
      </c>
      <c r="AZ138" s="1" t="s">
        <v>453</v>
      </c>
    </row>
    <row r="139" spans="1:52" ht="15" customHeight="1">
      <c r="A139" s="1" t="str">
        <f t="shared" si="92"/>
        <v>TSX:IMG_2022_</v>
      </c>
      <c r="B139" s="1" t="str">
        <f t="shared" si="97"/>
        <v>TSX:IMG_2022_NEO3</v>
      </c>
      <c r="C139" s="114" t="str">
        <f t="shared" si="128"/>
        <v>TSX:IMG</v>
      </c>
      <c r="D139" s="133" t="str">
        <f>_xll.ciqfunctions.udf.CIQ(C139,"IQ_Company_Name")</f>
        <v>IAMGOLD Corporation</v>
      </c>
      <c r="E139" s="114">
        <f t="shared" si="125"/>
        <v>2022</v>
      </c>
      <c r="F139" s="328" t="str">
        <f>E139&amp;"-06-07"</f>
        <v>2022-06-07</v>
      </c>
      <c r="G139" s="330" t="str">
        <f t="shared" si="84"/>
        <v>2022-12-31</v>
      </c>
      <c r="H139" s="114">
        <f t="shared" si="111"/>
        <v>6.8241758241758239</v>
      </c>
      <c r="I139" s="407" t="str">
        <f t="shared" si="123"/>
        <v>CAD</v>
      </c>
      <c r="J139" s="461">
        <f t="shared" si="99"/>
        <v>1</v>
      </c>
      <c r="K139" s="468"/>
      <c r="L139" s="465" t="str">
        <f t="shared" si="132"/>
        <v>NEO3</v>
      </c>
      <c r="M139" s="123" t="str">
        <f t="shared" si="132"/>
        <v>Chief People Officer</v>
      </c>
      <c r="N139" s="132" t="str">
        <f t="shared" si="132"/>
        <v>Dorena Quinn</v>
      </c>
      <c r="O139" s="219" t="s">
        <v>78</v>
      </c>
      <c r="P139" s="125" t="str">
        <f t="shared" si="127"/>
        <v>-</v>
      </c>
      <c r="Q139" s="455" t="s">
        <v>78</v>
      </c>
      <c r="R139" s="126" t="str">
        <f t="shared" si="129"/>
        <v>-</v>
      </c>
      <c r="S139" s="221" t="s">
        <v>78</v>
      </c>
      <c r="T139" s="125" t="str">
        <f>IFERROR(S139*(12/$H139)*$J139,"-")</f>
        <v>-</v>
      </c>
      <c r="U139" s="127" t="str">
        <f t="shared" si="107"/>
        <v>-</v>
      </c>
      <c r="V139" s="128"/>
      <c r="W139" s="223" t="s">
        <v>78</v>
      </c>
      <c r="X139" s="129" t="str">
        <f t="shared" si="108"/>
        <v>-</v>
      </c>
      <c r="Y139" s="124" t="str">
        <f t="shared" si="112"/>
        <v>-</v>
      </c>
      <c r="Z139" s="130" t="str">
        <f t="shared" si="113"/>
        <v>-</v>
      </c>
      <c r="AA139" s="221" t="s">
        <v>78</v>
      </c>
      <c r="AB139" s="225" t="s">
        <v>78</v>
      </c>
      <c r="AC139" s="225" t="s">
        <v>78</v>
      </c>
      <c r="AD139" s="225" t="s">
        <v>78</v>
      </c>
      <c r="AE139" s="225" t="s">
        <v>78</v>
      </c>
      <c r="AF139" s="125" t="str">
        <f t="shared" si="122"/>
        <v>-</v>
      </c>
      <c r="AG139" s="127" t="str">
        <f t="shared" si="109"/>
        <v>-</v>
      </c>
      <c r="AH139" s="128"/>
      <c r="AI139" s="223" t="s">
        <v>78</v>
      </c>
      <c r="AJ139" s="131" t="str">
        <f t="shared" si="110"/>
        <v>-</v>
      </c>
      <c r="AK139" s="368" t="str">
        <f t="shared" si="96"/>
        <v>-</v>
      </c>
      <c r="AL139" s="375" t="str">
        <f t="shared" si="130"/>
        <v>-</v>
      </c>
      <c r="AM139" s="376" t="str">
        <f t="shared" si="115"/>
        <v>-</v>
      </c>
      <c r="AN139" s="394" t="s">
        <v>78</v>
      </c>
      <c r="AO139" s="395" t="s">
        <v>78</v>
      </c>
      <c r="AP139" s="396" t="str">
        <f t="shared" si="93"/>
        <v>-</v>
      </c>
      <c r="AQ139" s="397"/>
      <c r="AR139" s="401" t="s">
        <v>78</v>
      </c>
      <c r="AS139" s="396" t="str">
        <f t="shared" si="94"/>
        <v>-</v>
      </c>
      <c r="AT139" s="397"/>
      <c r="AU139" s="388" t="str">
        <f t="shared" si="116"/>
        <v>-</v>
      </c>
      <c r="AV139" s="389" t="str">
        <f t="shared" si="117"/>
        <v>-</v>
      </c>
      <c r="AW139" s="353" t="s">
        <v>78</v>
      </c>
      <c r="AX139" s="403" t="s">
        <v>275</v>
      </c>
      <c r="AY139" s="404" t="s">
        <v>276</v>
      </c>
      <c r="AZ139" s="1" t="s">
        <v>453</v>
      </c>
    </row>
    <row r="140" spans="1:52" ht="15" customHeight="1">
      <c r="A140" s="1" t="str">
        <f t="shared" si="92"/>
        <v>TSX:IMG_2024_Legal</v>
      </c>
      <c r="B140" s="1" t="str">
        <f t="shared" si="97"/>
        <v>TSX:IMG_2024_NEO2</v>
      </c>
      <c r="C140" s="114" t="str">
        <f t="shared" si="128"/>
        <v>TSX:IMG</v>
      </c>
      <c r="D140" s="133" t="str">
        <f>_xll.ciqfunctions.udf.CIQ(C140,"IQ_Company_Name")</f>
        <v>IAMGOLD Corporation</v>
      </c>
      <c r="E140" s="114">
        <f t="shared" si="125"/>
        <v>2024</v>
      </c>
      <c r="F140" s="114" t="str">
        <f t="shared" si="105"/>
        <v>2024-01-01</v>
      </c>
      <c r="G140" s="330" t="str">
        <f>E140&amp;"-12-31"</f>
        <v>2024-12-31</v>
      </c>
      <c r="H140" s="114">
        <f t="shared" si="111"/>
        <v>12</v>
      </c>
      <c r="I140" s="407" t="str">
        <f t="shared" si="123"/>
        <v>CAD</v>
      </c>
      <c r="J140" s="461">
        <f t="shared" si="99"/>
        <v>1</v>
      </c>
      <c r="K140" s="468" t="s">
        <v>468</v>
      </c>
      <c r="L140" s="467" t="s">
        <v>108</v>
      </c>
      <c r="M140" s="217" t="s">
        <v>294</v>
      </c>
      <c r="N140" s="218" t="s">
        <v>295</v>
      </c>
      <c r="O140" s="219">
        <v>449904</v>
      </c>
      <c r="P140" s="125">
        <f t="shared" si="127"/>
        <v>449904</v>
      </c>
      <c r="Q140" s="455" t="s">
        <v>78</v>
      </c>
      <c r="R140" s="126" t="str">
        <f t="shared" si="129"/>
        <v>-</v>
      </c>
      <c r="S140" s="221" t="s">
        <v>78</v>
      </c>
      <c r="T140" s="125" t="str">
        <f>IFERROR(S140*(12/$H140)*$J140,"-")</f>
        <v>-</v>
      </c>
      <c r="U140" s="127" t="str">
        <f t="shared" si="107"/>
        <v>-</v>
      </c>
      <c r="V140" s="128">
        <f>IFERROR(AVERAGE(U140:U142),"N/A")</f>
        <v>0.70174061355311357</v>
      </c>
      <c r="W140" s="223">
        <v>0.65</v>
      </c>
      <c r="X140" s="129">
        <f t="shared" si="108"/>
        <v>292437.60000000003</v>
      </c>
      <c r="Y140" s="124">
        <f t="shared" si="112"/>
        <v>449904</v>
      </c>
      <c r="Z140" s="130">
        <f t="shared" si="113"/>
        <v>742341.60000000009</v>
      </c>
      <c r="AA140" s="221" t="s">
        <v>78</v>
      </c>
      <c r="AB140" s="225" t="s">
        <v>78</v>
      </c>
      <c r="AC140" s="225" t="s">
        <v>78</v>
      </c>
      <c r="AD140" s="225" t="s">
        <v>78</v>
      </c>
      <c r="AE140" s="225" t="s">
        <v>78</v>
      </c>
      <c r="AF140" s="125" t="str">
        <f t="shared" si="122"/>
        <v>-</v>
      </c>
      <c r="AG140" s="127" t="str">
        <f t="shared" si="109"/>
        <v>-</v>
      </c>
      <c r="AH140" s="128">
        <f>IFERROR(AVERAGE(AG140:AG142),"N/A")</f>
        <v>1.2639732600732603</v>
      </c>
      <c r="AI140" s="423">
        <v>1.3</v>
      </c>
      <c r="AJ140" s="131">
        <f t="shared" si="110"/>
        <v>584875.20000000007</v>
      </c>
      <c r="AK140" s="368" t="str">
        <f t="shared" si="96"/>
        <v>-</v>
      </c>
      <c r="AL140" s="375">
        <f t="shared" si="130"/>
        <v>449904</v>
      </c>
      <c r="AM140" s="376">
        <f t="shared" si="115"/>
        <v>1327216.8000000003</v>
      </c>
      <c r="AN140" s="394">
        <v>19482</v>
      </c>
      <c r="AO140" s="424" t="s">
        <v>274</v>
      </c>
      <c r="AP140" s="396">
        <f t="shared" si="93"/>
        <v>19482</v>
      </c>
      <c r="AQ140" s="397">
        <f>IFERROR(AVERAGE(AP140:AP142),"N/A")</f>
        <v>21204</v>
      </c>
      <c r="AR140" s="401">
        <v>36735</v>
      </c>
      <c r="AS140" s="396">
        <f t="shared" si="94"/>
        <v>36735</v>
      </c>
      <c r="AT140" s="397">
        <f>IFERROR(AVERAGE(AS140:AS142),"N/A")</f>
        <v>32670.666666666668</v>
      </c>
      <c r="AU140" s="388">
        <f t="shared" si="116"/>
        <v>506121</v>
      </c>
      <c r="AV140" s="389">
        <f t="shared" si="117"/>
        <v>1383433.8000000003</v>
      </c>
      <c r="AW140" s="353" t="s">
        <v>296</v>
      </c>
      <c r="AX140" s="403" t="s">
        <v>275</v>
      </c>
      <c r="AY140" s="404" t="s">
        <v>276</v>
      </c>
      <c r="AZ140" s="1" t="s">
        <v>453</v>
      </c>
    </row>
    <row r="141" spans="1:52" ht="15" customHeight="1">
      <c r="A141" s="1" t="str">
        <f t="shared" si="92"/>
        <v>TSX:IMG_2023_Legal</v>
      </c>
      <c r="B141" s="1" t="str">
        <f t="shared" si="97"/>
        <v>TSX:IMG_2023_NEO2</v>
      </c>
      <c r="C141" s="114" t="str">
        <f t="shared" si="128"/>
        <v>TSX:IMG</v>
      </c>
      <c r="D141" s="133" t="str">
        <f>_xll.ciqfunctions.udf.CIQ(C141,"IQ_Company_Name")</f>
        <v>IAMGOLD Corporation</v>
      </c>
      <c r="E141" s="114">
        <f t="shared" si="125"/>
        <v>2023</v>
      </c>
      <c r="F141" s="114" t="str">
        <f t="shared" si="105"/>
        <v>2023-01-01</v>
      </c>
      <c r="G141" s="330" t="str">
        <f>E141&amp;"-12-31"</f>
        <v>2023-12-31</v>
      </c>
      <c r="H141" s="114">
        <f t="shared" si="111"/>
        <v>12</v>
      </c>
      <c r="I141" s="407" t="str">
        <f t="shared" si="123"/>
        <v>CAD</v>
      </c>
      <c r="J141" s="461">
        <f t="shared" si="99"/>
        <v>1</v>
      </c>
      <c r="K141" s="468" t="s">
        <v>468</v>
      </c>
      <c r="L141" s="465" t="str">
        <f t="shared" ref="L141:N142" si="133">L140</f>
        <v>NEO2</v>
      </c>
      <c r="M141" s="123" t="str">
        <f t="shared" si="133"/>
        <v>SVP, General Counsel &amp; Corporate Secretary</v>
      </c>
      <c r="N141" s="132" t="str">
        <f t="shared" si="133"/>
        <v>Tim Bradburn</v>
      </c>
      <c r="O141" s="219">
        <v>436800</v>
      </c>
      <c r="P141" s="125">
        <f t="shared" si="127"/>
        <v>436800</v>
      </c>
      <c r="Q141" s="455" t="s">
        <v>78</v>
      </c>
      <c r="R141" s="126" t="str">
        <f t="shared" si="129"/>
        <v>-</v>
      </c>
      <c r="S141" s="221">
        <v>282955</v>
      </c>
      <c r="T141" s="125">
        <f>IFERROR(S141*(12/$H141)*$J141,"-")</f>
        <v>282955</v>
      </c>
      <c r="U141" s="127">
        <f t="shared" si="107"/>
        <v>0.64779075091575089</v>
      </c>
      <c r="V141" s="128"/>
      <c r="W141" s="223" t="s">
        <v>78</v>
      </c>
      <c r="X141" s="129">
        <f t="shared" si="108"/>
        <v>0</v>
      </c>
      <c r="Y141" s="124">
        <f t="shared" si="112"/>
        <v>719755</v>
      </c>
      <c r="Z141" s="130">
        <f t="shared" si="113"/>
        <v>436800</v>
      </c>
      <c r="AA141" s="221">
        <f>439698*(0.333333333333333)</f>
        <v>146565.99999999985</v>
      </c>
      <c r="AB141" s="225">
        <f>439698*(0.666666666666667)</f>
        <v>293132.00000000012</v>
      </c>
      <c r="AC141" s="225">
        <v>141960</v>
      </c>
      <c r="AD141" s="225" t="s">
        <v>78</v>
      </c>
      <c r="AE141" s="225" t="s">
        <v>78</v>
      </c>
      <c r="AF141" s="125">
        <f t="shared" si="122"/>
        <v>581658</v>
      </c>
      <c r="AG141" s="127">
        <f t="shared" si="109"/>
        <v>1.3316346153846155</v>
      </c>
      <c r="AH141" s="128"/>
      <c r="AI141" s="223" t="s">
        <v>78</v>
      </c>
      <c r="AJ141" s="131">
        <f t="shared" si="110"/>
        <v>0</v>
      </c>
      <c r="AK141" s="368">
        <f t="shared" si="96"/>
        <v>581658</v>
      </c>
      <c r="AL141" s="375">
        <f t="shared" si="130"/>
        <v>1301413</v>
      </c>
      <c r="AM141" s="376">
        <f t="shared" si="115"/>
        <v>436800</v>
      </c>
      <c r="AN141" s="394">
        <v>23476</v>
      </c>
      <c r="AO141" s="395" t="s">
        <v>78</v>
      </c>
      <c r="AP141" s="396">
        <f t="shared" si="93"/>
        <v>23476</v>
      </c>
      <c r="AQ141" s="397"/>
      <c r="AR141" s="401">
        <v>35137</v>
      </c>
      <c r="AS141" s="396">
        <f t="shared" si="94"/>
        <v>35137</v>
      </c>
      <c r="AT141" s="397"/>
      <c r="AU141" s="388">
        <f t="shared" si="116"/>
        <v>1360026</v>
      </c>
      <c r="AV141" s="389">
        <f t="shared" si="117"/>
        <v>495413</v>
      </c>
      <c r="AW141" s="353" t="s">
        <v>78</v>
      </c>
      <c r="AX141" s="403" t="s">
        <v>275</v>
      </c>
      <c r="AY141" s="404" t="s">
        <v>276</v>
      </c>
      <c r="AZ141" s="1" t="s">
        <v>453</v>
      </c>
    </row>
    <row r="142" spans="1:52" ht="15" customHeight="1">
      <c r="A142" s="1" t="str">
        <f t="shared" si="92"/>
        <v>TSX:IMG_2022_Legal</v>
      </c>
      <c r="B142" s="1" t="str">
        <f t="shared" si="97"/>
        <v>TSX:IMG_2022_NEO2</v>
      </c>
      <c r="C142" s="203" t="str">
        <f t="shared" si="128"/>
        <v>TSX:IMG</v>
      </c>
      <c r="D142" s="205" t="str">
        <f>_xll.ciqfunctions.udf.CIQ(C142,"IQ_Company_Name")</f>
        <v>IAMGOLD Corporation</v>
      </c>
      <c r="E142" s="204">
        <f t="shared" si="125"/>
        <v>2022</v>
      </c>
      <c r="F142" s="204" t="str">
        <f t="shared" si="105"/>
        <v>2022-01-01</v>
      </c>
      <c r="G142" s="331" t="str">
        <f>E142&amp;"-12-31"</f>
        <v>2022-12-31</v>
      </c>
      <c r="H142" s="204">
        <f t="shared" si="111"/>
        <v>12</v>
      </c>
      <c r="I142" s="408" t="str">
        <f t="shared" si="123"/>
        <v>CAD</v>
      </c>
      <c r="J142" s="463">
        <f t="shared" si="99"/>
        <v>1</v>
      </c>
      <c r="K142" s="470" t="s">
        <v>468</v>
      </c>
      <c r="L142" s="466" t="str">
        <f t="shared" si="133"/>
        <v>NEO2</v>
      </c>
      <c r="M142" s="206" t="str">
        <f t="shared" si="133"/>
        <v>SVP, General Counsel &amp; Corporate Secretary</v>
      </c>
      <c r="N142" s="207" t="str">
        <f t="shared" si="133"/>
        <v>Tim Bradburn</v>
      </c>
      <c r="O142" s="220">
        <v>420000</v>
      </c>
      <c r="P142" s="209">
        <f t="shared" si="127"/>
        <v>420000</v>
      </c>
      <c r="Q142" s="456" t="s">
        <v>78</v>
      </c>
      <c r="R142" s="329" t="str">
        <f t="shared" si="129"/>
        <v>-</v>
      </c>
      <c r="S142" s="222">
        <v>317390</v>
      </c>
      <c r="T142" s="209">
        <f>IFERROR(S142*(12/$H142)*$J142,"-")</f>
        <v>317390</v>
      </c>
      <c r="U142" s="211">
        <f t="shared" si="107"/>
        <v>0.75569047619047625</v>
      </c>
      <c r="V142" s="212"/>
      <c r="W142" s="224" t="s">
        <v>78</v>
      </c>
      <c r="X142" s="213">
        <f t="shared" si="108"/>
        <v>0</v>
      </c>
      <c r="Y142" s="208">
        <f t="shared" si="112"/>
        <v>737390</v>
      </c>
      <c r="Z142" s="214">
        <f t="shared" si="113"/>
        <v>420000</v>
      </c>
      <c r="AA142" s="222">
        <f>366048*(0.333333333333333)</f>
        <v>122015.99999999987</v>
      </c>
      <c r="AB142" s="226">
        <f>366048*(0.666666666666667)</f>
        <v>244032.00000000012</v>
      </c>
      <c r="AC142" s="226">
        <v>136403</v>
      </c>
      <c r="AD142" s="226" t="s">
        <v>78</v>
      </c>
      <c r="AE142" s="226" t="s">
        <v>78</v>
      </c>
      <c r="AF142" s="420">
        <f t="shared" si="122"/>
        <v>502451</v>
      </c>
      <c r="AG142" s="211">
        <f t="shared" si="109"/>
        <v>1.1963119047619049</v>
      </c>
      <c r="AH142" s="212"/>
      <c r="AI142" s="224" t="s">
        <v>78</v>
      </c>
      <c r="AJ142" s="215">
        <f t="shared" si="110"/>
        <v>0</v>
      </c>
      <c r="AK142" s="369">
        <f t="shared" si="96"/>
        <v>502451</v>
      </c>
      <c r="AL142" s="377">
        <f t="shared" si="130"/>
        <v>1239841</v>
      </c>
      <c r="AM142" s="378">
        <f t="shared" si="115"/>
        <v>420000</v>
      </c>
      <c r="AN142" s="398">
        <v>20654</v>
      </c>
      <c r="AO142" s="399" t="s">
        <v>78</v>
      </c>
      <c r="AP142" s="396">
        <f t="shared" si="93"/>
        <v>20654</v>
      </c>
      <c r="AQ142" s="400"/>
      <c r="AR142" s="402">
        <v>26140</v>
      </c>
      <c r="AS142" s="396">
        <f t="shared" si="94"/>
        <v>26140</v>
      </c>
      <c r="AT142" s="400"/>
      <c r="AU142" s="390">
        <f t="shared" si="116"/>
        <v>1286635</v>
      </c>
      <c r="AV142" s="391">
        <f t="shared" si="117"/>
        <v>466794</v>
      </c>
      <c r="AW142" s="354" t="s">
        <v>78</v>
      </c>
      <c r="AX142" s="405" t="s">
        <v>275</v>
      </c>
      <c r="AY142" s="406" t="s">
        <v>276</v>
      </c>
      <c r="AZ142" s="1" t="s">
        <v>453</v>
      </c>
    </row>
    <row r="143" spans="1:52" ht="15" customHeight="1">
      <c r="A143" s="1" t="str">
        <f t="shared" si="92"/>
        <v>TSX:BTO_2024_</v>
      </c>
      <c r="B143" s="1" t="str">
        <f t="shared" si="97"/>
        <v>TSX:BTO_2024_CEO</v>
      </c>
      <c r="C143" s="216" t="str">
        <f>D11</f>
        <v>TSX:BTO</v>
      </c>
      <c r="D143" s="133" t="str">
        <f>_xll.ciqfunctions.udf.CIQ(C143,"IQ_Company_Name")</f>
        <v>B2Gold Corp.</v>
      </c>
      <c r="E143" s="328">
        <f>$F$9</f>
        <v>2024</v>
      </c>
      <c r="F143" s="330" t="str">
        <f t="shared" si="105"/>
        <v>2024-01-01</v>
      </c>
      <c r="G143" s="330" t="str">
        <f t="shared" ref="G143:G203" si="134">E143&amp;"-12-31"</f>
        <v>2024-12-31</v>
      </c>
      <c r="H143" s="114">
        <f t="shared" si="111"/>
        <v>12</v>
      </c>
      <c r="I143" s="328" t="str">
        <f>$G$5</f>
        <v>CAD</v>
      </c>
      <c r="J143" s="461">
        <f t="shared" si="99"/>
        <v>1</v>
      </c>
      <c r="K143" s="468"/>
      <c r="L143" s="464" t="s">
        <v>79</v>
      </c>
      <c r="M143" s="217" t="s">
        <v>272</v>
      </c>
      <c r="N143" s="218" t="s">
        <v>407</v>
      </c>
      <c r="O143" s="219">
        <v>1300000</v>
      </c>
      <c r="P143" s="125">
        <f t="shared" ref="P143:P190" si="135">IFERROR(O143*(12/$H143)*$J143,"-")</f>
        <v>1300000</v>
      </c>
      <c r="Q143" s="311" t="s">
        <v>78</v>
      </c>
      <c r="R143" s="126" t="str">
        <f t="shared" ref="R143:R187" si="136">IFERROR(IF((Q143*$J143)=0,"-",(Q143*$J143)),"-")</f>
        <v>-</v>
      </c>
      <c r="S143" s="221">
        <v>643500</v>
      </c>
      <c r="T143" s="125">
        <f t="shared" ref="T143:T187" si="137">IFERROR(S143*(12/$H143)*$J143,"-")</f>
        <v>643500</v>
      </c>
      <c r="U143" s="127">
        <f t="shared" si="107"/>
        <v>0.495</v>
      </c>
      <c r="V143" s="128">
        <f>IFERROR(AVERAGE(U143:U145),"N/A")</f>
        <v>0.62012820512820521</v>
      </c>
      <c r="W143" s="223">
        <v>0.75</v>
      </c>
      <c r="X143" s="129">
        <f t="shared" si="108"/>
        <v>975000</v>
      </c>
      <c r="Y143" s="124">
        <f t="shared" si="112"/>
        <v>1943500</v>
      </c>
      <c r="Z143" s="130">
        <f t="shared" si="113"/>
        <v>2275000</v>
      </c>
      <c r="AA143" s="221">
        <f>3500000*0.6</f>
        <v>2100000</v>
      </c>
      <c r="AB143" s="225">
        <f>3500000*0.4</f>
        <v>1400000</v>
      </c>
      <c r="AC143" s="225" t="s">
        <v>78</v>
      </c>
      <c r="AD143" s="225" t="s">
        <v>78</v>
      </c>
      <c r="AE143" s="225" t="s">
        <v>78</v>
      </c>
      <c r="AF143" s="125">
        <f t="shared" si="100"/>
        <v>3500000</v>
      </c>
      <c r="AG143" s="127">
        <f t="shared" si="109"/>
        <v>2.6923076923076925</v>
      </c>
      <c r="AH143" s="128">
        <f>IFERROR(AVERAGE(AG143:AG145),"N/A")</f>
        <v>3.0769230769230771</v>
      </c>
      <c r="AI143" s="223">
        <f>(34+34)/18</f>
        <v>3.7777777777777777</v>
      </c>
      <c r="AJ143" s="131">
        <f t="shared" si="110"/>
        <v>4911111.111111111</v>
      </c>
      <c r="AK143" s="368">
        <f t="shared" ref="AK143:AK174" si="138">IFERROR($AF143*$J143,"-")</f>
        <v>3500000</v>
      </c>
      <c r="AL143" s="375">
        <f t="shared" si="114"/>
        <v>5443500</v>
      </c>
      <c r="AM143" s="376">
        <f t="shared" si="115"/>
        <v>7186111.111111111</v>
      </c>
      <c r="AN143" s="394" t="s">
        <v>801</v>
      </c>
      <c r="AO143" s="395" t="s">
        <v>801</v>
      </c>
      <c r="AP143" s="396" t="str">
        <f t="shared" si="93"/>
        <v>-</v>
      </c>
      <c r="AQ143" s="409" t="str">
        <f>IFERROR(AVERAGE(AP143:AP145),"N/A")</f>
        <v>N/A</v>
      </c>
      <c r="AR143" s="439">
        <f>303652-162438-134262</f>
        <v>6952</v>
      </c>
      <c r="AS143" s="396">
        <f t="shared" si="94"/>
        <v>6952</v>
      </c>
      <c r="AT143" s="409">
        <f>IFERROR(AVERAGE(AS143:AS145),"N/A")</f>
        <v>6952.5</v>
      </c>
      <c r="AU143" s="388">
        <f t="shared" si="116"/>
        <v>5450452</v>
      </c>
      <c r="AV143" s="389">
        <f t="shared" si="117"/>
        <v>7193063.111111111</v>
      </c>
      <c r="AW143" s="447" t="s">
        <v>804</v>
      </c>
      <c r="AX143" s="418" t="s">
        <v>358</v>
      </c>
      <c r="AY143" s="404" t="s">
        <v>451</v>
      </c>
    </row>
    <row r="144" spans="1:52" ht="15" customHeight="1">
      <c r="A144" s="1" t="str">
        <f t="shared" si="92"/>
        <v>TSX:BTO_2023_</v>
      </c>
      <c r="B144" s="1" t="str">
        <f t="shared" si="97"/>
        <v>TSX:BTO_2023_CEO</v>
      </c>
      <c r="C144" s="114" t="str">
        <f>C143</f>
        <v>TSX:BTO</v>
      </c>
      <c r="D144" s="133" t="str">
        <f>_xll.ciqfunctions.udf.CIQ(C144,"IQ_Company_Name")</f>
        <v>B2Gold Corp.</v>
      </c>
      <c r="E144" s="328">
        <f>$F$10</f>
        <v>2023</v>
      </c>
      <c r="F144" s="330" t="str">
        <f t="shared" si="105"/>
        <v>2023-01-01</v>
      </c>
      <c r="G144" s="330" t="str">
        <f t="shared" si="134"/>
        <v>2023-12-31</v>
      </c>
      <c r="H144" s="114">
        <f t="shared" si="111"/>
        <v>12</v>
      </c>
      <c r="I144" s="407" t="str">
        <f>I143</f>
        <v>CAD</v>
      </c>
      <c r="J144" s="461">
        <f t="shared" si="99"/>
        <v>1</v>
      </c>
      <c r="K144" s="468"/>
      <c r="L144" s="465" t="str">
        <f t="shared" ref="L144:N145" si="139">L143</f>
        <v>CEO</v>
      </c>
      <c r="M144" s="123" t="str">
        <f t="shared" si="139"/>
        <v>President &amp; CEO</v>
      </c>
      <c r="N144" s="132" t="str">
        <f t="shared" si="139"/>
        <v>Clive Johnson</v>
      </c>
      <c r="O144" s="219">
        <v>1300000</v>
      </c>
      <c r="P144" s="125">
        <f t="shared" si="135"/>
        <v>1300000</v>
      </c>
      <c r="Q144" s="311" t="s">
        <v>78</v>
      </c>
      <c r="R144" s="126" t="str">
        <f t="shared" si="136"/>
        <v>-</v>
      </c>
      <c r="S144" s="221">
        <v>800000</v>
      </c>
      <c r="T144" s="125">
        <f t="shared" si="137"/>
        <v>800000</v>
      </c>
      <c r="U144" s="127">
        <f t="shared" si="107"/>
        <v>0.61538461538461542</v>
      </c>
      <c r="V144" s="128"/>
      <c r="W144" s="223" t="s">
        <v>78</v>
      </c>
      <c r="X144" s="129">
        <f t="shared" si="108"/>
        <v>0</v>
      </c>
      <c r="Y144" s="124">
        <f t="shared" si="112"/>
        <v>2100000</v>
      </c>
      <c r="Z144" s="130">
        <f t="shared" si="113"/>
        <v>1300000</v>
      </c>
      <c r="AA144" s="225">
        <f>3500000*(0.5)</f>
        <v>1750000</v>
      </c>
      <c r="AB144" s="225">
        <f>3500000*(0.5)</f>
        <v>1750000</v>
      </c>
      <c r="AC144" s="225" t="s">
        <v>78</v>
      </c>
      <c r="AD144" s="225" t="s">
        <v>78</v>
      </c>
      <c r="AE144" s="225" t="s">
        <v>78</v>
      </c>
      <c r="AF144" s="125">
        <f t="shared" si="100"/>
        <v>3500000</v>
      </c>
      <c r="AG144" s="127">
        <f t="shared" si="109"/>
        <v>2.6923076923076925</v>
      </c>
      <c r="AH144" s="128"/>
      <c r="AI144" s="223" t="s">
        <v>78</v>
      </c>
      <c r="AJ144" s="131">
        <f t="shared" si="110"/>
        <v>0</v>
      </c>
      <c r="AK144" s="368">
        <f t="shared" si="138"/>
        <v>3500000</v>
      </c>
      <c r="AL144" s="375">
        <f t="shared" si="114"/>
        <v>5600000</v>
      </c>
      <c r="AM144" s="376">
        <f t="shared" si="115"/>
        <v>1300000</v>
      </c>
      <c r="AN144" s="394" t="s">
        <v>801</v>
      </c>
      <c r="AO144" s="395" t="s">
        <v>801</v>
      </c>
      <c r="AP144" s="396" t="str">
        <f t="shared" si="93"/>
        <v>-</v>
      </c>
      <c r="AQ144" s="397"/>
      <c r="AR144" s="439">
        <f>510558-201179-302426</f>
        <v>6953</v>
      </c>
      <c r="AS144" s="396">
        <f t="shared" si="94"/>
        <v>6953</v>
      </c>
      <c r="AT144" s="397"/>
      <c r="AU144" s="388">
        <f t="shared" si="116"/>
        <v>5606953</v>
      </c>
      <c r="AV144" s="389">
        <f t="shared" si="117"/>
        <v>1306953</v>
      </c>
      <c r="AW144" s="353" t="s">
        <v>78</v>
      </c>
      <c r="AX144" s="403" t="s">
        <v>358</v>
      </c>
      <c r="AY144" s="404" t="s">
        <v>451</v>
      </c>
    </row>
    <row r="145" spans="1:52" ht="15" customHeight="1">
      <c r="A145" s="1" t="str">
        <f t="shared" si="92"/>
        <v>TSX:BTO_2022_</v>
      </c>
      <c r="B145" s="1" t="str">
        <f t="shared" si="97"/>
        <v>TSX:BTO_2022_CEO</v>
      </c>
      <c r="C145" s="114" t="str">
        <f t="shared" si="128"/>
        <v>TSX:BTO</v>
      </c>
      <c r="D145" s="133" t="str">
        <f>_xll.ciqfunctions.udf.CIQ(C145,"IQ_Company_Name")</f>
        <v>B2Gold Corp.</v>
      </c>
      <c r="E145" s="328">
        <f>$F$11</f>
        <v>2022</v>
      </c>
      <c r="F145" s="114" t="str">
        <f t="shared" si="105"/>
        <v>2022-01-01</v>
      </c>
      <c r="G145" s="330" t="str">
        <f t="shared" si="134"/>
        <v>2022-12-31</v>
      </c>
      <c r="H145" s="114">
        <f t="shared" si="111"/>
        <v>12</v>
      </c>
      <c r="I145" s="407" t="str">
        <f>I144</f>
        <v>CAD</v>
      </c>
      <c r="J145" s="461">
        <f t="shared" si="99"/>
        <v>1</v>
      </c>
      <c r="K145" s="468"/>
      <c r="L145" s="465" t="str">
        <f t="shared" si="139"/>
        <v>CEO</v>
      </c>
      <c r="M145" s="123" t="str">
        <f t="shared" si="139"/>
        <v>President &amp; CEO</v>
      </c>
      <c r="N145" s="132" t="str">
        <f t="shared" si="139"/>
        <v>Clive Johnson</v>
      </c>
      <c r="O145" s="219">
        <v>1300000</v>
      </c>
      <c r="P145" s="125">
        <f t="shared" si="135"/>
        <v>1300000</v>
      </c>
      <c r="Q145" s="311" t="s">
        <v>78</v>
      </c>
      <c r="R145" s="126" t="str">
        <f t="shared" si="136"/>
        <v>-</v>
      </c>
      <c r="S145" s="221">
        <v>975000</v>
      </c>
      <c r="T145" s="125">
        <f t="shared" si="137"/>
        <v>975000</v>
      </c>
      <c r="U145" s="127">
        <f t="shared" si="107"/>
        <v>0.75</v>
      </c>
      <c r="V145" s="128"/>
      <c r="W145" s="223" t="s">
        <v>78</v>
      </c>
      <c r="X145" s="129">
        <f t="shared" si="108"/>
        <v>0</v>
      </c>
      <c r="Y145" s="124">
        <f t="shared" si="112"/>
        <v>2275000</v>
      </c>
      <c r="Z145" s="130">
        <f t="shared" si="113"/>
        <v>1300000</v>
      </c>
      <c r="AA145" s="225">
        <f>5000000*(0.5)</f>
        <v>2500000</v>
      </c>
      <c r="AB145" s="225">
        <f>5000000*(0.5)</f>
        <v>2500000</v>
      </c>
      <c r="AC145" s="225" t="s">
        <v>78</v>
      </c>
      <c r="AD145" s="225" t="s">
        <v>78</v>
      </c>
      <c r="AE145" s="225" t="s">
        <v>78</v>
      </c>
      <c r="AF145" s="125">
        <f t="shared" si="100"/>
        <v>5000000</v>
      </c>
      <c r="AG145" s="127">
        <f t="shared" si="109"/>
        <v>3.8461538461538463</v>
      </c>
      <c r="AH145" s="128"/>
      <c r="AI145" s="223" t="s">
        <v>78</v>
      </c>
      <c r="AJ145" s="131">
        <f t="shared" si="110"/>
        <v>0</v>
      </c>
      <c r="AK145" s="368">
        <f t="shared" si="138"/>
        <v>5000000</v>
      </c>
      <c r="AL145" s="375">
        <f t="shared" si="114"/>
        <v>7275000</v>
      </c>
      <c r="AM145" s="376">
        <f t="shared" si="115"/>
        <v>1300000</v>
      </c>
      <c r="AN145" s="394" t="s">
        <v>801</v>
      </c>
      <c r="AO145" s="395" t="s">
        <v>801</v>
      </c>
      <c r="AP145" s="396" t="str">
        <f t="shared" si="93"/>
        <v>-</v>
      </c>
      <c r="AQ145" s="397"/>
      <c r="AR145" s="439" t="s">
        <v>78</v>
      </c>
      <c r="AS145" s="396" t="str">
        <f t="shared" si="94"/>
        <v>-</v>
      </c>
      <c r="AT145" s="397"/>
      <c r="AU145" s="388">
        <f t="shared" si="116"/>
        <v>7275000</v>
      </c>
      <c r="AV145" s="389">
        <f t="shared" si="117"/>
        <v>1300000</v>
      </c>
      <c r="AW145" s="353" t="s">
        <v>78</v>
      </c>
      <c r="AX145" s="403" t="s">
        <v>358</v>
      </c>
      <c r="AY145" s="404" t="s">
        <v>451</v>
      </c>
    </row>
    <row r="146" spans="1:52" ht="15" customHeight="1">
      <c r="A146" s="1" t="str">
        <f t="shared" si="92"/>
        <v>TSX:BTO_2024_</v>
      </c>
      <c r="B146" s="1" t="str">
        <f t="shared" si="97"/>
        <v>TSX:BTO_2024_CFO</v>
      </c>
      <c r="C146" s="114" t="str">
        <f t="shared" si="128"/>
        <v>TSX:BTO</v>
      </c>
      <c r="D146" s="133" t="str">
        <f>_xll.ciqfunctions.udf.CIQ(C146,"IQ_Company_Name")</f>
        <v>B2Gold Corp.</v>
      </c>
      <c r="E146" s="114">
        <f t="shared" ref="E146:E157" si="140">E143</f>
        <v>2024</v>
      </c>
      <c r="F146" s="114" t="str">
        <f t="shared" si="105"/>
        <v>2024-01-01</v>
      </c>
      <c r="G146" s="330" t="str">
        <f t="shared" si="134"/>
        <v>2024-12-31</v>
      </c>
      <c r="H146" s="114">
        <f t="shared" si="111"/>
        <v>12</v>
      </c>
      <c r="I146" s="407" t="str">
        <f>I145</f>
        <v>CAD</v>
      </c>
      <c r="J146" s="461">
        <f t="shared" si="99"/>
        <v>1</v>
      </c>
      <c r="K146" s="468"/>
      <c r="L146" s="464" t="s">
        <v>106</v>
      </c>
      <c r="M146" s="217" t="s">
        <v>412</v>
      </c>
      <c r="N146" s="218" t="s">
        <v>408</v>
      </c>
      <c r="O146" s="219">
        <v>650000</v>
      </c>
      <c r="P146" s="125">
        <f t="shared" si="135"/>
        <v>650000</v>
      </c>
      <c r="Q146" s="311" t="s">
        <v>78</v>
      </c>
      <c r="R146" s="126" t="str">
        <f t="shared" si="136"/>
        <v>-</v>
      </c>
      <c r="S146" s="221">
        <v>321750</v>
      </c>
      <c r="T146" s="125">
        <f t="shared" si="137"/>
        <v>321750</v>
      </c>
      <c r="U146" s="127">
        <f t="shared" si="107"/>
        <v>0.495</v>
      </c>
      <c r="V146" s="128">
        <f>IFERROR(AVERAGE(U146:U148),"N/A")</f>
        <v>0.66500000000000004</v>
      </c>
      <c r="W146" s="223">
        <v>0.75</v>
      </c>
      <c r="X146" s="129">
        <f t="shared" si="108"/>
        <v>487500</v>
      </c>
      <c r="Y146" s="124">
        <f t="shared" si="112"/>
        <v>971750</v>
      </c>
      <c r="Z146" s="130">
        <f t="shared" si="113"/>
        <v>1137500</v>
      </c>
      <c r="AA146" s="225">
        <f t="shared" ref="AA146:AB151" si="141">1750000*(0.5)</f>
        <v>875000</v>
      </c>
      <c r="AB146" s="225">
        <f t="shared" si="141"/>
        <v>875000</v>
      </c>
      <c r="AC146" s="225" t="s">
        <v>78</v>
      </c>
      <c r="AD146" s="225" t="s">
        <v>78</v>
      </c>
      <c r="AE146" s="225" t="s">
        <v>78</v>
      </c>
      <c r="AF146" s="125">
        <f t="shared" si="100"/>
        <v>1750000</v>
      </c>
      <c r="AG146" s="127">
        <f t="shared" si="109"/>
        <v>2.6923076923076925</v>
      </c>
      <c r="AH146" s="128">
        <f>IFERROR(AVERAGE(AG146:AG148),"N/A")</f>
        <v>2.6923076923076921</v>
      </c>
      <c r="AI146" s="223" t="s">
        <v>78</v>
      </c>
      <c r="AJ146" s="131">
        <f t="shared" si="110"/>
        <v>1749999.9999999998</v>
      </c>
      <c r="AK146" s="368">
        <f t="shared" si="138"/>
        <v>1750000</v>
      </c>
      <c r="AL146" s="375">
        <f t="shared" si="114"/>
        <v>2721750</v>
      </c>
      <c r="AM146" s="376">
        <f t="shared" si="115"/>
        <v>2887500</v>
      </c>
      <c r="AN146" s="394" t="s">
        <v>801</v>
      </c>
      <c r="AO146" s="395" t="s">
        <v>801</v>
      </c>
      <c r="AP146" s="396" t="str">
        <f t="shared" si="93"/>
        <v>-</v>
      </c>
      <c r="AQ146" s="397" t="str">
        <f>IFERROR(AVERAGE(AP146:AP148),"N/A")</f>
        <v>N/A</v>
      </c>
      <c r="AR146" s="439">
        <f>97563-50321-40290</f>
        <v>6952</v>
      </c>
      <c r="AS146" s="396">
        <f t="shared" si="94"/>
        <v>6952</v>
      </c>
      <c r="AT146" s="397">
        <f>IFERROR(AVERAGE(AS146:AS148),"N/A")</f>
        <v>6952.5</v>
      </c>
      <c r="AU146" s="388">
        <f t="shared" si="116"/>
        <v>2728702</v>
      </c>
      <c r="AV146" s="389">
        <f t="shared" si="117"/>
        <v>2894452</v>
      </c>
      <c r="AW146" s="353" t="s">
        <v>78</v>
      </c>
      <c r="AX146" s="403" t="s">
        <v>358</v>
      </c>
      <c r="AY146" s="404" t="s">
        <v>451</v>
      </c>
    </row>
    <row r="147" spans="1:52" ht="15" customHeight="1">
      <c r="A147" s="1" t="str">
        <f t="shared" si="92"/>
        <v>TSX:BTO_2023_</v>
      </c>
      <c r="B147" s="1" t="str">
        <f t="shared" si="97"/>
        <v>TSX:BTO_2023_CFO</v>
      </c>
      <c r="C147" s="114" t="str">
        <f t="shared" si="128"/>
        <v>TSX:BTO</v>
      </c>
      <c r="D147" s="133" t="str">
        <f>_xll.ciqfunctions.udf.CIQ(C147,"IQ_Company_Name")</f>
        <v>B2Gold Corp.</v>
      </c>
      <c r="E147" s="114">
        <f t="shared" si="140"/>
        <v>2023</v>
      </c>
      <c r="F147" s="114" t="str">
        <f t="shared" si="105"/>
        <v>2023-01-01</v>
      </c>
      <c r="G147" s="330" t="str">
        <f t="shared" si="134"/>
        <v>2023-12-31</v>
      </c>
      <c r="H147" s="114">
        <f t="shared" si="111"/>
        <v>12</v>
      </c>
      <c r="I147" s="407" t="str">
        <f>I146</f>
        <v>CAD</v>
      </c>
      <c r="J147" s="461">
        <f t="shared" si="99"/>
        <v>1</v>
      </c>
      <c r="K147" s="468"/>
      <c r="L147" s="465" t="str">
        <f t="shared" ref="L147:N148" si="142">L146</f>
        <v>CFO</v>
      </c>
      <c r="M147" s="123" t="str">
        <f t="shared" si="142"/>
        <v>SVP, Finance &amp; CFO</v>
      </c>
      <c r="N147" s="132" t="str">
        <f t="shared" si="142"/>
        <v>Michael Cinnamond</v>
      </c>
      <c r="O147" s="219">
        <v>650000</v>
      </c>
      <c r="P147" s="125">
        <f t="shared" si="135"/>
        <v>650000</v>
      </c>
      <c r="Q147" s="311" t="s">
        <v>78</v>
      </c>
      <c r="R147" s="126" t="str">
        <f t="shared" si="136"/>
        <v>-</v>
      </c>
      <c r="S147" s="221">
        <v>487500</v>
      </c>
      <c r="T147" s="125">
        <f t="shared" si="137"/>
        <v>487500</v>
      </c>
      <c r="U147" s="127">
        <f t="shared" si="107"/>
        <v>0.75</v>
      </c>
      <c r="V147" s="128"/>
      <c r="W147" s="223" t="s">
        <v>78</v>
      </c>
      <c r="X147" s="129">
        <f t="shared" si="108"/>
        <v>0</v>
      </c>
      <c r="Y147" s="124">
        <f t="shared" si="112"/>
        <v>1137500</v>
      </c>
      <c r="Z147" s="130">
        <f t="shared" si="113"/>
        <v>650000</v>
      </c>
      <c r="AA147" s="225">
        <f t="shared" si="141"/>
        <v>875000</v>
      </c>
      <c r="AB147" s="225">
        <f t="shared" si="141"/>
        <v>875000</v>
      </c>
      <c r="AC147" s="225" t="s">
        <v>78</v>
      </c>
      <c r="AD147" s="225" t="s">
        <v>78</v>
      </c>
      <c r="AE147" s="225" t="s">
        <v>78</v>
      </c>
      <c r="AF147" s="125">
        <f t="shared" si="100"/>
        <v>1750000</v>
      </c>
      <c r="AG147" s="127">
        <f t="shared" si="109"/>
        <v>2.6923076923076925</v>
      </c>
      <c r="AH147" s="128"/>
      <c r="AI147" s="223" t="s">
        <v>78</v>
      </c>
      <c r="AJ147" s="131">
        <f t="shared" si="110"/>
        <v>0</v>
      </c>
      <c r="AK147" s="368">
        <f t="shared" si="138"/>
        <v>1750000</v>
      </c>
      <c r="AL147" s="375">
        <f t="shared" si="114"/>
        <v>2887500</v>
      </c>
      <c r="AM147" s="376">
        <f t="shared" si="115"/>
        <v>650000</v>
      </c>
      <c r="AN147" s="394" t="s">
        <v>801</v>
      </c>
      <c r="AO147" s="395" t="s">
        <v>801</v>
      </c>
      <c r="AP147" s="396" t="str">
        <f t="shared" si="93"/>
        <v>-</v>
      </c>
      <c r="AQ147" s="397"/>
      <c r="AR147" s="439">
        <f>165924-64292-94679</f>
        <v>6953</v>
      </c>
      <c r="AS147" s="396">
        <f t="shared" si="94"/>
        <v>6953</v>
      </c>
      <c r="AT147" s="397"/>
      <c r="AU147" s="388">
        <f t="shared" si="116"/>
        <v>2894453</v>
      </c>
      <c r="AV147" s="389">
        <f t="shared" si="117"/>
        <v>656953</v>
      </c>
      <c r="AW147" s="353" t="s">
        <v>78</v>
      </c>
      <c r="AX147" s="403" t="s">
        <v>358</v>
      </c>
      <c r="AY147" s="404" t="s">
        <v>451</v>
      </c>
    </row>
    <row r="148" spans="1:52" ht="15" customHeight="1">
      <c r="A148" s="1" t="str">
        <f t="shared" si="92"/>
        <v>TSX:BTO_2022_</v>
      </c>
      <c r="B148" s="1" t="str">
        <f t="shared" si="97"/>
        <v>TSX:BTO_2022_CFO</v>
      </c>
      <c r="C148" s="114" t="str">
        <f t="shared" si="128"/>
        <v>TSX:BTO</v>
      </c>
      <c r="D148" s="133" t="str">
        <f>_xll.ciqfunctions.udf.CIQ(C148,"IQ_Company_Name")</f>
        <v>B2Gold Corp.</v>
      </c>
      <c r="E148" s="114">
        <f t="shared" si="140"/>
        <v>2022</v>
      </c>
      <c r="F148" s="114" t="str">
        <f t="shared" si="105"/>
        <v>2022-01-01</v>
      </c>
      <c r="G148" s="330" t="str">
        <f t="shared" si="134"/>
        <v>2022-12-31</v>
      </c>
      <c r="H148" s="114">
        <f t="shared" si="111"/>
        <v>12</v>
      </c>
      <c r="I148" s="407" t="str">
        <f t="shared" ref="I148:I187" si="143">I147</f>
        <v>CAD</v>
      </c>
      <c r="J148" s="461">
        <f t="shared" si="99"/>
        <v>1</v>
      </c>
      <c r="K148" s="468"/>
      <c r="L148" s="465" t="str">
        <f t="shared" si="142"/>
        <v>CFO</v>
      </c>
      <c r="M148" s="123" t="str">
        <f t="shared" si="142"/>
        <v>SVP, Finance &amp; CFO</v>
      </c>
      <c r="N148" s="132" t="str">
        <f t="shared" si="142"/>
        <v>Michael Cinnamond</v>
      </c>
      <c r="O148" s="219">
        <v>650000</v>
      </c>
      <c r="P148" s="125">
        <f t="shared" si="135"/>
        <v>650000</v>
      </c>
      <c r="Q148" s="311" t="s">
        <v>78</v>
      </c>
      <c r="R148" s="126" t="str">
        <f t="shared" si="136"/>
        <v>-</v>
      </c>
      <c r="S148" s="221">
        <v>487500</v>
      </c>
      <c r="T148" s="125">
        <f t="shared" si="137"/>
        <v>487500</v>
      </c>
      <c r="U148" s="127">
        <f t="shared" si="107"/>
        <v>0.75</v>
      </c>
      <c r="V148" s="128"/>
      <c r="W148" s="223" t="s">
        <v>78</v>
      </c>
      <c r="X148" s="129">
        <f t="shared" si="108"/>
        <v>0</v>
      </c>
      <c r="Y148" s="124">
        <f t="shared" si="112"/>
        <v>1137500</v>
      </c>
      <c r="Z148" s="130">
        <f t="shared" si="113"/>
        <v>650000</v>
      </c>
      <c r="AA148" s="225">
        <f t="shared" si="141"/>
        <v>875000</v>
      </c>
      <c r="AB148" s="225">
        <f t="shared" si="141"/>
        <v>875000</v>
      </c>
      <c r="AC148" s="225" t="s">
        <v>78</v>
      </c>
      <c r="AD148" s="225" t="s">
        <v>78</v>
      </c>
      <c r="AE148" s="225" t="s">
        <v>78</v>
      </c>
      <c r="AF148" s="125">
        <f t="shared" si="100"/>
        <v>1750000</v>
      </c>
      <c r="AG148" s="127">
        <f t="shared" si="109"/>
        <v>2.6923076923076925</v>
      </c>
      <c r="AH148" s="128"/>
      <c r="AI148" s="223" t="s">
        <v>78</v>
      </c>
      <c r="AJ148" s="131">
        <f t="shared" si="110"/>
        <v>0</v>
      </c>
      <c r="AK148" s="368">
        <f t="shared" si="138"/>
        <v>1750000</v>
      </c>
      <c r="AL148" s="375">
        <f t="shared" si="114"/>
        <v>2887500</v>
      </c>
      <c r="AM148" s="376">
        <f t="shared" si="115"/>
        <v>650000</v>
      </c>
      <c r="AN148" s="394" t="s">
        <v>801</v>
      </c>
      <c r="AO148" s="395" t="s">
        <v>801</v>
      </c>
      <c r="AP148" s="396" t="str">
        <f t="shared" si="93"/>
        <v>-</v>
      </c>
      <c r="AQ148" s="397"/>
      <c r="AR148" s="439" t="s">
        <v>78</v>
      </c>
      <c r="AS148" s="396" t="str">
        <f t="shared" si="94"/>
        <v>-</v>
      </c>
      <c r="AT148" s="397"/>
      <c r="AU148" s="388">
        <f t="shared" si="116"/>
        <v>2887500</v>
      </c>
      <c r="AV148" s="389">
        <f t="shared" si="117"/>
        <v>650000</v>
      </c>
      <c r="AW148" s="353" t="s">
        <v>78</v>
      </c>
      <c r="AX148" s="403" t="s">
        <v>358</v>
      </c>
      <c r="AY148" s="404" t="s">
        <v>451</v>
      </c>
    </row>
    <row r="149" spans="1:52" ht="15" customHeight="1">
      <c r="A149" s="1" t="str">
        <f t="shared" si="92"/>
        <v>TSX:BTO_2024_COO</v>
      </c>
      <c r="B149" s="1" t="str">
        <f t="shared" si="97"/>
        <v>TSX:BTO_2024_NEO1</v>
      </c>
      <c r="C149" s="114" t="str">
        <f t="shared" si="128"/>
        <v>TSX:BTO</v>
      </c>
      <c r="D149" s="133" t="str">
        <f>_xll.ciqfunctions.udf.CIQ(C149,"IQ_Company_Name")</f>
        <v>B2Gold Corp.</v>
      </c>
      <c r="E149" s="114">
        <f t="shared" si="140"/>
        <v>2024</v>
      </c>
      <c r="F149" s="330" t="str">
        <f t="shared" si="105"/>
        <v>2024-01-01</v>
      </c>
      <c r="G149" s="330" t="str">
        <f t="shared" si="134"/>
        <v>2024-12-31</v>
      </c>
      <c r="H149" s="114">
        <f t="shared" si="111"/>
        <v>12</v>
      </c>
      <c r="I149" s="407" t="str">
        <f t="shared" si="143"/>
        <v>CAD</v>
      </c>
      <c r="J149" s="461">
        <f t="shared" si="99"/>
        <v>1</v>
      </c>
      <c r="K149" s="468" t="s">
        <v>277</v>
      </c>
      <c r="L149" s="464" t="s">
        <v>107</v>
      </c>
      <c r="M149" s="217" t="s">
        <v>413</v>
      </c>
      <c r="N149" s="218" t="s">
        <v>409</v>
      </c>
      <c r="O149" s="219">
        <v>650000</v>
      </c>
      <c r="P149" s="125">
        <f t="shared" si="135"/>
        <v>650000</v>
      </c>
      <c r="Q149" s="311" t="s">
        <v>78</v>
      </c>
      <c r="R149" s="126" t="str">
        <f t="shared" si="136"/>
        <v>-</v>
      </c>
      <c r="S149" s="221">
        <v>321750</v>
      </c>
      <c r="T149" s="125">
        <f t="shared" si="137"/>
        <v>321750</v>
      </c>
      <c r="U149" s="127">
        <f t="shared" si="107"/>
        <v>0.495</v>
      </c>
      <c r="V149" s="128">
        <f>IFERROR(AVERAGE(U149:U151),"N/A")</f>
        <v>0.66500000000000004</v>
      </c>
      <c r="W149" s="223">
        <v>0.75</v>
      </c>
      <c r="X149" s="129">
        <f t="shared" si="108"/>
        <v>487500</v>
      </c>
      <c r="Y149" s="124">
        <f t="shared" si="112"/>
        <v>971750</v>
      </c>
      <c r="Z149" s="130">
        <f t="shared" si="113"/>
        <v>1137500</v>
      </c>
      <c r="AA149" s="225">
        <f t="shared" si="141"/>
        <v>875000</v>
      </c>
      <c r="AB149" s="225">
        <f t="shared" si="141"/>
        <v>875000</v>
      </c>
      <c r="AC149" s="225" t="s">
        <v>78</v>
      </c>
      <c r="AD149" s="225" t="s">
        <v>78</v>
      </c>
      <c r="AE149" s="225" t="s">
        <v>78</v>
      </c>
      <c r="AF149" s="125">
        <f t="shared" si="100"/>
        <v>1750000</v>
      </c>
      <c r="AG149" s="127">
        <f t="shared" si="109"/>
        <v>2.6923076923076925</v>
      </c>
      <c r="AH149" s="128">
        <f>IFERROR(AVERAGE(AG149:AG151),"N/A")</f>
        <v>2.6923076923076921</v>
      </c>
      <c r="AI149" s="223" t="s">
        <v>78</v>
      </c>
      <c r="AJ149" s="131">
        <f t="shared" si="110"/>
        <v>1749999.9999999998</v>
      </c>
      <c r="AK149" s="368">
        <f t="shared" si="138"/>
        <v>1750000</v>
      </c>
      <c r="AL149" s="375">
        <f t="shared" si="114"/>
        <v>2721750</v>
      </c>
      <c r="AM149" s="376">
        <f t="shared" si="115"/>
        <v>2887500</v>
      </c>
      <c r="AN149" s="394" t="s">
        <v>801</v>
      </c>
      <c r="AO149" s="395" t="s">
        <v>801</v>
      </c>
      <c r="AP149" s="396" t="str">
        <f t="shared" si="93"/>
        <v>-</v>
      </c>
      <c r="AQ149" s="397" t="str">
        <f>IFERROR(AVERAGE(AP149:AP151),"N/A")</f>
        <v>N/A</v>
      </c>
      <c r="AR149" s="439">
        <f>91611-50321-40290</f>
        <v>1000</v>
      </c>
      <c r="AS149" s="396">
        <f t="shared" si="94"/>
        <v>1000</v>
      </c>
      <c r="AT149" s="397">
        <f>IFERROR(AVERAGE(AS149:AS151),"N/A")</f>
        <v>1000.5</v>
      </c>
      <c r="AU149" s="388">
        <f t="shared" si="116"/>
        <v>2722750</v>
      </c>
      <c r="AV149" s="389">
        <f t="shared" si="117"/>
        <v>2888500</v>
      </c>
      <c r="AW149" s="353" t="s">
        <v>78</v>
      </c>
      <c r="AX149" s="403" t="s">
        <v>358</v>
      </c>
      <c r="AY149" s="404" t="s">
        <v>451</v>
      </c>
    </row>
    <row r="150" spans="1:52" ht="15" customHeight="1">
      <c r="A150" s="1" t="str">
        <f t="shared" si="92"/>
        <v>TSX:BTO_2023_COO</v>
      </c>
      <c r="B150" s="1" t="str">
        <f t="shared" si="97"/>
        <v>TSX:BTO_2023_NEO1</v>
      </c>
      <c r="C150" s="114" t="str">
        <f t="shared" si="128"/>
        <v>TSX:BTO</v>
      </c>
      <c r="D150" s="133" t="str">
        <f>_xll.ciqfunctions.udf.CIQ(C150,"IQ_Company_Name")</f>
        <v>B2Gold Corp.</v>
      </c>
      <c r="E150" s="114">
        <f t="shared" si="140"/>
        <v>2023</v>
      </c>
      <c r="F150" s="330" t="str">
        <f t="shared" si="105"/>
        <v>2023-01-01</v>
      </c>
      <c r="G150" s="330" t="str">
        <f t="shared" si="134"/>
        <v>2023-12-31</v>
      </c>
      <c r="H150" s="114">
        <f t="shared" si="111"/>
        <v>12</v>
      </c>
      <c r="I150" s="407" t="str">
        <f t="shared" si="143"/>
        <v>CAD</v>
      </c>
      <c r="J150" s="461">
        <f t="shared" si="99"/>
        <v>1</v>
      </c>
      <c r="K150" s="468" t="s">
        <v>277</v>
      </c>
      <c r="L150" s="465" t="str">
        <f t="shared" ref="L150:N151" si="144">L149</f>
        <v>NEO1</v>
      </c>
      <c r="M150" s="123" t="str">
        <f t="shared" si="144"/>
        <v>SVP, Operations &amp; COO</v>
      </c>
      <c r="N150" s="132" t="str">
        <f t="shared" si="144"/>
        <v>William Lytle</v>
      </c>
      <c r="O150" s="219">
        <v>650000</v>
      </c>
      <c r="P150" s="125">
        <f t="shared" si="135"/>
        <v>650000</v>
      </c>
      <c r="Q150" s="311" t="s">
        <v>78</v>
      </c>
      <c r="R150" s="126" t="str">
        <f t="shared" si="136"/>
        <v>-</v>
      </c>
      <c r="S150" s="221">
        <v>487500</v>
      </c>
      <c r="T150" s="125">
        <f t="shared" si="137"/>
        <v>487500</v>
      </c>
      <c r="U150" s="127">
        <f t="shared" si="107"/>
        <v>0.75</v>
      </c>
      <c r="V150" s="128"/>
      <c r="W150" s="223" t="s">
        <v>78</v>
      </c>
      <c r="X150" s="129">
        <f t="shared" si="108"/>
        <v>0</v>
      </c>
      <c r="Y150" s="124">
        <f t="shared" si="112"/>
        <v>1137500</v>
      </c>
      <c r="Z150" s="130">
        <f t="shared" si="113"/>
        <v>650000</v>
      </c>
      <c r="AA150" s="225">
        <f t="shared" si="141"/>
        <v>875000</v>
      </c>
      <c r="AB150" s="225">
        <f t="shared" si="141"/>
        <v>875000</v>
      </c>
      <c r="AC150" s="225" t="s">
        <v>78</v>
      </c>
      <c r="AD150" s="225" t="s">
        <v>78</v>
      </c>
      <c r="AE150" s="225" t="s">
        <v>78</v>
      </c>
      <c r="AF150" s="125">
        <f t="shared" si="100"/>
        <v>1750000</v>
      </c>
      <c r="AG150" s="127">
        <f t="shared" si="109"/>
        <v>2.6923076923076925</v>
      </c>
      <c r="AH150" s="128"/>
      <c r="AI150" s="223" t="s">
        <v>78</v>
      </c>
      <c r="AJ150" s="131">
        <f t="shared" si="110"/>
        <v>0</v>
      </c>
      <c r="AK150" s="368">
        <f t="shared" si="138"/>
        <v>1750000</v>
      </c>
      <c r="AL150" s="375">
        <f t="shared" si="114"/>
        <v>2887500</v>
      </c>
      <c r="AM150" s="376">
        <f t="shared" si="115"/>
        <v>650000</v>
      </c>
      <c r="AN150" s="394" t="s">
        <v>801</v>
      </c>
      <c r="AO150" s="395" t="s">
        <v>801</v>
      </c>
      <c r="AP150" s="396" t="str">
        <f t="shared" si="93"/>
        <v>-</v>
      </c>
      <c r="AQ150" s="397"/>
      <c r="AR150" s="439">
        <f>159972-64292-94679</f>
        <v>1001</v>
      </c>
      <c r="AS150" s="396">
        <f t="shared" si="94"/>
        <v>1001</v>
      </c>
      <c r="AT150" s="397"/>
      <c r="AU150" s="388">
        <f t="shared" si="116"/>
        <v>2888501</v>
      </c>
      <c r="AV150" s="389">
        <f t="shared" si="117"/>
        <v>651001</v>
      </c>
      <c r="AW150" s="353" t="s">
        <v>78</v>
      </c>
      <c r="AX150" s="403" t="s">
        <v>358</v>
      </c>
      <c r="AY150" s="404" t="s">
        <v>451</v>
      </c>
    </row>
    <row r="151" spans="1:52" ht="15" customHeight="1">
      <c r="A151" s="1" t="str">
        <f t="shared" si="92"/>
        <v>TSX:BTO_2022_COO</v>
      </c>
      <c r="B151" s="1" t="str">
        <f t="shared" si="97"/>
        <v>TSX:BTO_2022_NEO1</v>
      </c>
      <c r="C151" s="114" t="str">
        <f t="shared" si="128"/>
        <v>TSX:BTO</v>
      </c>
      <c r="D151" s="133" t="str">
        <f>_xll.ciqfunctions.udf.CIQ(C151,"IQ_Company_Name")</f>
        <v>B2Gold Corp.</v>
      </c>
      <c r="E151" s="114">
        <f t="shared" si="140"/>
        <v>2022</v>
      </c>
      <c r="F151" s="114" t="str">
        <f t="shared" si="105"/>
        <v>2022-01-01</v>
      </c>
      <c r="G151" s="330" t="str">
        <f t="shared" si="134"/>
        <v>2022-12-31</v>
      </c>
      <c r="H151" s="114">
        <f t="shared" si="111"/>
        <v>12</v>
      </c>
      <c r="I151" s="407" t="str">
        <f t="shared" si="143"/>
        <v>CAD</v>
      </c>
      <c r="J151" s="461">
        <f t="shared" si="99"/>
        <v>1</v>
      </c>
      <c r="K151" s="468" t="s">
        <v>277</v>
      </c>
      <c r="L151" s="465" t="str">
        <f t="shared" si="144"/>
        <v>NEO1</v>
      </c>
      <c r="M151" s="123" t="str">
        <f t="shared" si="144"/>
        <v>SVP, Operations &amp; COO</v>
      </c>
      <c r="N151" s="132" t="str">
        <f t="shared" si="144"/>
        <v>William Lytle</v>
      </c>
      <c r="O151" s="219">
        <v>650000</v>
      </c>
      <c r="P151" s="125">
        <f t="shared" si="135"/>
        <v>650000</v>
      </c>
      <c r="Q151" s="311" t="s">
        <v>78</v>
      </c>
      <c r="R151" s="126" t="str">
        <f t="shared" si="136"/>
        <v>-</v>
      </c>
      <c r="S151" s="221">
        <v>487500</v>
      </c>
      <c r="T151" s="125">
        <f t="shared" si="137"/>
        <v>487500</v>
      </c>
      <c r="U151" s="127">
        <f t="shared" si="107"/>
        <v>0.75</v>
      </c>
      <c r="V151" s="128"/>
      <c r="W151" s="223" t="s">
        <v>78</v>
      </c>
      <c r="X151" s="129">
        <f t="shared" si="108"/>
        <v>0</v>
      </c>
      <c r="Y151" s="124">
        <f t="shared" si="112"/>
        <v>1137500</v>
      </c>
      <c r="Z151" s="130">
        <f t="shared" si="113"/>
        <v>650000</v>
      </c>
      <c r="AA151" s="225">
        <f t="shared" si="141"/>
        <v>875000</v>
      </c>
      <c r="AB151" s="225">
        <f t="shared" si="141"/>
        <v>875000</v>
      </c>
      <c r="AC151" s="225" t="s">
        <v>78</v>
      </c>
      <c r="AD151" s="225" t="s">
        <v>78</v>
      </c>
      <c r="AE151" s="225" t="s">
        <v>78</v>
      </c>
      <c r="AF151" s="125">
        <f t="shared" si="100"/>
        <v>1750000</v>
      </c>
      <c r="AG151" s="127">
        <f t="shared" si="109"/>
        <v>2.6923076923076925</v>
      </c>
      <c r="AH151" s="128"/>
      <c r="AI151" s="223" t="s">
        <v>78</v>
      </c>
      <c r="AJ151" s="131">
        <f t="shared" si="110"/>
        <v>0</v>
      </c>
      <c r="AK151" s="368">
        <f t="shared" si="138"/>
        <v>1750000</v>
      </c>
      <c r="AL151" s="375">
        <f t="shared" si="114"/>
        <v>2887500</v>
      </c>
      <c r="AM151" s="376">
        <f t="shared" si="115"/>
        <v>650000</v>
      </c>
      <c r="AN151" s="394" t="s">
        <v>801</v>
      </c>
      <c r="AO151" s="395" t="s">
        <v>801</v>
      </c>
      <c r="AP151" s="396" t="str">
        <f t="shared" si="93"/>
        <v>-</v>
      </c>
      <c r="AQ151" s="397"/>
      <c r="AR151" s="439" t="s">
        <v>78</v>
      </c>
      <c r="AS151" s="396" t="str">
        <f t="shared" si="94"/>
        <v>-</v>
      </c>
      <c r="AT151" s="397"/>
      <c r="AU151" s="388">
        <f t="shared" si="116"/>
        <v>2887500</v>
      </c>
      <c r="AV151" s="389">
        <f t="shared" si="117"/>
        <v>650000</v>
      </c>
      <c r="AW151" s="353" t="s">
        <v>78</v>
      </c>
      <c r="AX151" s="403" t="s">
        <v>358</v>
      </c>
      <c r="AY151" s="404" t="s">
        <v>451</v>
      </c>
    </row>
    <row r="152" spans="1:52" ht="15" customHeight="1">
      <c r="A152" s="1" t="str">
        <f t="shared" si="92"/>
        <v>TSX:BTO_2024_Legal</v>
      </c>
      <c r="B152" s="1" t="str">
        <f t="shared" si="97"/>
        <v>TSX:BTO_2024_NEO2</v>
      </c>
      <c r="C152" s="114" t="str">
        <f t="shared" si="128"/>
        <v>TSX:BTO</v>
      </c>
      <c r="D152" s="133" t="str">
        <f>_xll.ciqfunctions.udf.CIQ(C152,"IQ_Company_Name")</f>
        <v>B2Gold Corp.</v>
      </c>
      <c r="E152" s="114">
        <f t="shared" si="140"/>
        <v>2024</v>
      </c>
      <c r="F152" s="114" t="str">
        <f t="shared" si="105"/>
        <v>2024-01-01</v>
      </c>
      <c r="G152" s="330" t="str">
        <f t="shared" si="134"/>
        <v>2024-12-31</v>
      </c>
      <c r="H152" s="114">
        <f t="shared" si="111"/>
        <v>12</v>
      </c>
      <c r="I152" s="407" t="str">
        <f t="shared" si="143"/>
        <v>CAD</v>
      </c>
      <c r="J152" s="461">
        <f t="shared" si="99"/>
        <v>1</v>
      </c>
      <c r="K152" s="468" t="s">
        <v>468</v>
      </c>
      <c r="L152" s="464" t="s">
        <v>108</v>
      </c>
      <c r="M152" s="454" t="s">
        <v>414</v>
      </c>
      <c r="N152" s="218" t="s">
        <v>410</v>
      </c>
      <c r="O152" s="219">
        <v>625000</v>
      </c>
      <c r="P152" s="125">
        <f t="shared" si="135"/>
        <v>625000</v>
      </c>
      <c r="Q152" s="311" t="s">
        <v>78</v>
      </c>
      <c r="R152" s="126" t="str">
        <f t="shared" si="136"/>
        <v>-</v>
      </c>
      <c r="S152" s="221">
        <v>309375</v>
      </c>
      <c r="T152" s="125">
        <f t="shared" si="137"/>
        <v>309375</v>
      </c>
      <c r="U152" s="127">
        <f t="shared" si="107"/>
        <v>0.495</v>
      </c>
      <c r="V152" s="128">
        <f>IFERROR(AVERAGE(U152:U154),"N/A")</f>
        <v>0.69175276752767534</v>
      </c>
      <c r="W152" s="223">
        <v>0.75</v>
      </c>
      <c r="X152" s="129">
        <f t="shared" si="108"/>
        <v>468750</v>
      </c>
      <c r="Y152" s="124">
        <f t="shared" si="112"/>
        <v>934375</v>
      </c>
      <c r="Z152" s="130">
        <f t="shared" si="113"/>
        <v>1093750</v>
      </c>
      <c r="AA152" s="225">
        <f>1700000*(0.5)</f>
        <v>850000</v>
      </c>
      <c r="AB152" s="225">
        <f>1700000*(0.5)</f>
        <v>850000</v>
      </c>
      <c r="AC152" s="225" t="s">
        <v>78</v>
      </c>
      <c r="AD152" s="225" t="s">
        <v>78</v>
      </c>
      <c r="AE152" s="225" t="s">
        <v>78</v>
      </c>
      <c r="AF152" s="125">
        <f t="shared" si="100"/>
        <v>1700000</v>
      </c>
      <c r="AG152" s="127">
        <f t="shared" si="109"/>
        <v>2.72</v>
      </c>
      <c r="AH152" s="128">
        <f>IFERROR(AVERAGE(AG152:AG154),"N/A")</f>
        <v>2.7150922509225097</v>
      </c>
      <c r="AI152" s="223" t="s">
        <v>78</v>
      </c>
      <c r="AJ152" s="131">
        <f t="shared" si="110"/>
        <v>1696932.6568265685</v>
      </c>
      <c r="AK152" s="368">
        <f t="shared" si="138"/>
        <v>1700000</v>
      </c>
      <c r="AL152" s="375">
        <f t="shared" si="114"/>
        <v>2634375</v>
      </c>
      <c r="AM152" s="376">
        <f t="shared" si="115"/>
        <v>2790682.6568265688</v>
      </c>
      <c r="AN152" s="394" t="s">
        <v>801</v>
      </c>
      <c r="AO152" s="395" t="s">
        <v>801</v>
      </c>
      <c r="AP152" s="396" t="str">
        <f t="shared" si="93"/>
        <v>-</v>
      </c>
      <c r="AQ152" s="397" t="str">
        <f>IFERROR(AVERAGE(AP152:AP154),"N/A")</f>
        <v>N/A</v>
      </c>
      <c r="AR152" s="439">
        <f>42820-25116-10752</f>
        <v>6952</v>
      </c>
      <c r="AS152" s="396">
        <f t="shared" si="94"/>
        <v>6952</v>
      </c>
      <c r="AT152" s="397">
        <f>IFERROR(AVERAGE(AS152:AS154),"N/A")</f>
        <v>7510</v>
      </c>
      <c r="AU152" s="388">
        <f t="shared" si="116"/>
        <v>2641327</v>
      </c>
      <c r="AV152" s="389">
        <f t="shared" si="117"/>
        <v>2797634.6568265688</v>
      </c>
      <c r="AW152" s="353" t="s">
        <v>78</v>
      </c>
      <c r="AX152" s="403" t="s">
        <v>358</v>
      </c>
      <c r="AY152" s="404" t="s">
        <v>451</v>
      </c>
    </row>
    <row r="153" spans="1:52" ht="15" customHeight="1">
      <c r="A153" s="1" t="str">
        <f t="shared" si="92"/>
        <v>TSX:BTO_2023_Legal</v>
      </c>
      <c r="B153" s="1" t="str">
        <f t="shared" si="97"/>
        <v>TSX:BTO_2023_NEO2</v>
      </c>
      <c r="C153" s="114" t="str">
        <f t="shared" si="128"/>
        <v>TSX:BTO</v>
      </c>
      <c r="D153" s="133" t="str">
        <f>_xll.ciqfunctions.udf.CIQ(C153,"IQ_Company_Name")</f>
        <v>B2Gold Corp.</v>
      </c>
      <c r="E153" s="114">
        <f t="shared" si="140"/>
        <v>2023</v>
      </c>
      <c r="F153" s="114" t="str">
        <f t="shared" si="105"/>
        <v>2023-01-01</v>
      </c>
      <c r="G153" s="330" t="str">
        <f t="shared" si="134"/>
        <v>2023-12-31</v>
      </c>
      <c r="H153" s="114">
        <f t="shared" si="111"/>
        <v>12</v>
      </c>
      <c r="I153" s="407" t="str">
        <f t="shared" si="143"/>
        <v>CAD</v>
      </c>
      <c r="J153" s="461">
        <f t="shared" si="99"/>
        <v>1</v>
      </c>
      <c r="K153" s="468" t="s">
        <v>468</v>
      </c>
      <c r="L153" s="465" t="str">
        <f t="shared" ref="L153:N154" si="145">L152</f>
        <v>NEO2</v>
      </c>
      <c r="M153" s="123" t="str">
        <f t="shared" si="145"/>
        <v>SVP, Legal and Corporate Communications</v>
      </c>
      <c r="N153" s="132" t="str">
        <f t="shared" si="145"/>
        <v>Randall Chatwin</v>
      </c>
      <c r="O153" s="219">
        <v>600000</v>
      </c>
      <c r="P153" s="125">
        <f t="shared" si="135"/>
        <v>600000</v>
      </c>
      <c r="Q153" s="311" t="s">
        <v>78</v>
      </c>
      <c r="R153" s="126" t="str">
        <f t="shared" si="136"/>
        <v>-</v>
      </c>
      <c r="S153" s="221">
        <v>450000</v>
      </c>
      <c r="T153" s="125">
        <f t="shared" si="137"/>
        <v>450000</v>
      </c>
      <c r="U153" s="127">
        <f t="shared" si="107"/>
        <v>0.75</v>
      </c>
      <c r="V153" s="128"/>
      <c r="W153" s="223" t="s">
        <v>78</v>
      </c>
      <c r="X153" s="129">
        <f t="shared" si="108"/>
        <v>0</v>
      </c>
      <c r="Y153" s="124">
        <f t="shared" si="112"/>
        <v>1050000</v>
      </c>
      <c r="Z153" s="130">
        <f t="shared" si="113"/>
        <v>600000</v>
      </c>
      <c r="AA153" s="225">
        <f>1650000*(0.5)</f>
        <v>825000</v>
      </c>
      <c r="AB153" s="225">
        <f>1650000*(0.5)</f>
        <v>825000</v>
      </c>
      <c r="AC153" s="225" t="s">
        <v>78</v>
      </c>
      <c r="AD153" s="225" t="s">
        <v>78</v>
      </c>
      <c r="AE153" s="225" t="s">
        <v>78</v>
      </c>
      <c r="AF153" s="125">
        <f t="shared" si="100"/>
        <v>1650000</v>
      </c>
      <c r="AG153" s="127">
        <f t="shared" si="109"/>
        <v>2.75</v>
      </c>
      <c r="AH153" s="128"/>
      <c r="AI153" s="223" t="s">
        <v>78</v>
      </c>
      <c r="AJ153" s="131">
        <f t="shared" si="110"/>
        <v>0</v>
      </c>
      <c r="AK153" s="368">
        <f t="shared" si="138"/>
        <v>1650000</v>
      </c>
      <c r="AL153" s="375">
        <f t="shared" si="114"/>
        <v>2700000</v>
      </c>
      <c r="AM153" s="376">
        <f t="shared" si="115"/>
        <v>600000</v>
      </c>
      <c r="AN153" s="394" t="s">
        <v>801</v>
      </c>
      <c r="AO153" s="395" t="s">
        <v>801</v>
      </c>
      <c r="AP153" s="396" t="str">
        <f t="shared" si="93"/>
        <v>-</v>
      </c>
      <c r="AQ153" s="397"/>
      <c r="AR153" s="439">
        <f>97103-39368-49667</f>
        <v>8068</v>
      </c>
      <c r="AS153" s="396">
        <f t="shared" si="94"/>
        <v>8068</v>
      </c>
      <c r="AT153" s="397"/>
      <c r="AU153" s="388">
        <f t="shared" si="116"/>
        <v>2708068</v>
      </c>
      <c r="AV153" s="389">
        <f t="shared" si="117"/>
        <v>608068</v>
      </c>
      <c r="AW153" s="353" t="s">
        <v>78</v>
      </c>
      <c r="AX153" s="403" t="s">
        <v>358</v>
      </c>
      <c r="AY153" s="404" t="s">
        <v>451</v>
      </c>
    </row>
    <row r="154" spans="1:52" ht="15" customHeight="1">
      <c r="A154" s="1" t="str">
        <f t="shared" si="92"/>
        <v>TSX:BTO_2022_Legal</v>
      </c>
      <c r="B154" s="1" t="str">
        <f t="shared" si="97"/>
        <v>TSX:BTO_2022_NEO2</v>
      </c>
      <c r="C154" s="114" t="str">
        <f t="shared" si="128"/>
        <v>TSX:BTO</v>
      </c>
      <c r="D154" s="133" t="str">
        <f>_xll.ciqfunctions.udf.CIQ(C154,"IQ_Company_Name")</f>
        <v>B2Gold Corp.</v>
      </c>
      <c r="E154" s="114">
        <f t="shared" si="140"/>
        <v>2022</v>
      </c>
      <c r="F154" s="114" t="str">
        <f t="shared" si="105"/>
        <v>2022-01-01</v>
      </c>
      <c r="G154" s="330" t="str">
        <f t="shared" si="134"/>
        <v>2022-12-31</v>
      </c>
      <c r="H154" s="114">
        <f t="shared" si="111"/>
        <v>12</v>
      </c>
      <c r="I154" s="407" t="str">
        <f t="shared" si="143"/>
        <v>CAD</v>
      </c>
      <c r="J154" s="461">
        <f t="shared" si="99"/>
        <v>1</v>
      </c>
      <c r="K154" s="468" t="s">
        <v>468</v>
      </c>
      <c r="L154" s="465" t="str">
        <f t="shared" si="145"/>
        <v>NEO2</v>
      </c>
      <c r="M154" s="123" t="str">
        <f t="shared" si="145"/>
        <v>SVP, Legal and Corporate Communications</v>
      </c>
      <c r="N154" s="132" t="str">
        <f t="shared" si="145"/>
        <v>Randall Chatwin</v>
      </c>
      <c r="O154" s="219">
        <v>542000</v>
      </c>
      <c r="P154" s="125">
        <f t="shared" si="135"/>
        <v>542000</v>
      </c>
      <c r="Q154" s="311" t="s">
        <v>78</v>
      </c>
      <c r="R154" s="126" t="str">
        <f t="shared" si="136"/>
        <v>-</v>
      </c>
      <c r="S154" s="221">
        <v>450000</v>
      </c>
      <c r="T154" s="125">
        <f t="shared" si="137"/>
        <v>450000</v>
      </c>
      <c r="U154" s="127">
        <f t="shared" si="107"/>
        <v>0.8302583025830258</v>
      </c>
      <c r="V154" s="128"/>
      <c r="W154" s="223" t="s">
        <v>78</v>
      </c>
      <c r="X154" s="129">
        <f t="shared" si="108"/>
        <v>0</v>
      </c>
      <c r="Y154" s="124">
        <f t="shared" si="112"/>
        <v>992000</v>
      </c>
      <c r="Z154" s="130">
        <f t="shared" si="113"/>
        <v>542000</v>
      </c>
      <c r="AA154" s="225">
        <f t="shared" ref="AA154:AB156" si="146">1450000*(0.5)</f>
        <v>725000</v>
      </c>
      <c r="AB154" s="225">
        <f t="shared" si="146"/>
        <v>725000</v>
      </c>
      <c r="AC154" s="225" t="s">
        <v>78</v>
      </c>
      <c r="AD154" s="225" t="s">
        <v>78</v>
      </c>
      <c r="AE154" s="225" t="s">
        <v>78</v>
      </c>
      <c r="AF154" s="125">
        <f t="shared" si="100"/>
        <v>1450000</v>
      </c>
      <c r="AG154" s="127">
        <f t="shared" si="109"/>
        <v>2.6752767527675276</v>
      </c>
      <c r="AH154" s="128"/>
      <c r="AI154" s="223" t="s">
        <v>78</v>
      </c>
      <c r="AJ154" s="131">
        <f t="shared" si="110"/>
        <v>0</v>
      </c>
      <c r="AK154" s="368">
        <f t="shared" si="138"/>
        <v>1450000</v>
      </c>
      <c r="AL154" s="375">
        <f t="shared" si="114"/>
        <v>2442000</v>
      </c>
      <c r="AM154" s="376">
        <f t="shared" si="115"/>
        <v>542000</v>
      </c>
      <c r="AN154" s="394" t="s">
        <v>801</v>
      </c>
      <c r="AO154" s="395" t="s">
        <v>801</v>
      </c>
      <c r="AP154" s="396" t="str">
        <f t="shared" si="93"/>
        <v>-</v>
      </c>
      <c r="AQ154" s="397"/>
      <c r="AR154" s="439" t="s">
        <v>78</v>
      </c>
      <c r="AS154" s="396" t="str">
        <f t="shared" si="94"/>
        <v>-</v>
      </c>
      <c r="AT154" s="397"/>
      <c r="AU154" s="388">
        <f t="shared" si="116"/>
        <v>2442000</v>
      </c>
      <c r="AV154" s="389">
        <f t="shared" si="117"/>
        <v>542000</v>
      </c>
      <c r="AW154" s="353" t="s">
        <v>416</v>
      </c>
      <c r="AX154" s="403" t="s">
        <v>358</v>
      </c>
      <c r="AY154" s="404" t="s">
        <v>451</v>
      </c>
    </row>
    <row r="155" spans="1:52" ht="15" customHeight="1">
      <c r="A155" s="1" t="str">
        <f t="shared" si="92"/>
        <v>TSX:BTO_2024_Tech</v>
      </c>
      <c r="B155" s="1" t="str">
        <f t="shared" si="97"/>
        <v>TSX:BTO_2024_NEO3</v>
      </c>
      <c r="C155" s="114" t="str">
        <f t="shared" si="128"/>
        <v>TSX:BTO</v>
      </c>
      <c r="D155" s="133" t="str">
        <f>_xll.ciqfunctions.udf.CIQ(C155,"IQ_Company_Name")</f>
        <v>B2Gold Corp.</v>
      </c>
      <c r="E155" s="114">
        <f t="shared" si="140"/>
        <v>2024</v>
      </c>
      <c r="F155" s="114" t="str">
        <f t="shared" si="105"/>
        <v>2024-01-01</v>
      </c>
      <c r="G155" s="330" t="str">
        <f t="shared" si="134"/>
        <v>2024-12-31</v>
      </c>
      <c r="H155" s="114">
        <f t="shared" si="111"/>
        <v>12</v>
      </c>
      <c r="I155" s="407" t="str">
        <f t="shared" si="143"/>
        <v>CAD</v>
      </c>
      <c r="J155" s="461">
        <f t="shared" si="99"/>
        <v>1</v>
      </c>
      <c r="K155" s="468" t="s">
        <v>469</v>
      </c>
      <c r="L155" s="464" t="s">
        <v>109</v>
      </c>
      <c r="M155" s="217" t="s">
        <v>415</v>
      </c>
      <c r="N155" s="218" t="s">
        <v>411</v>
      </c>
      <c r="O155" s="219">
        <v>600000</v>
      </c>
      <c r="P155" s="125">
        <f t="shared" si="135"/>
        <v>600000</v>
      </c>
      <c r="Q155" s="311" t="s">
        <v>78</v>
      </c>
      <c r="R155" s="126" t="str">
        <f t="shared" si="136"/>
        <v>-</v>
      </c>
      <c r="S155" s="221">
        <v>297000</v>
      </c>
      <c r="T155" s="125">
        <f t="shared" si="137"/>
        <v>297000</v>
      </c>
      <c r="U155" s="127">
        <f t="shared" si="107"/>
        <v>0.495</v>
      </c>
      <c r="V155" s="128">
        <f>IFERROR(AVERAGE(U155:U157),"N/A")</f>
        <v>0.69234627831715212</v>
      </c>
      <c r="W155" s="223">
        <v>0.75</v>
      </c>
      <c r="X155" s="129">
        <f t="shared" si="108"/>
        <v>450000</v>
      </c>
      <c r="Y155" s="124">
        <f t="shared" si="112"/>
        <v>897000</v>
      </c>
      <c r="Z155" s="130">
        <f t="shared" si="113"/>
        <v>1050000</v>
      </c>
      <c r="AA155" s="225">
        <f t="shared" si="146"/>
        <v>725000</v>
      </c>
      <c r="AB155" s="225">
        <f t="shared" si="146"/>
        <v>725000</v>
      </c>
      <c r="AC155" s="225" t="s">
        <v>78</v>
      </c>
      <c r="AD155" s="225" t="s">
        <v>78</v>
      </c>
      <c r="AE155" s="225" t="s">
        <v>78</v>
      </c>
      <c r="AF155" s="125">
        <f t="shared" si="100"/>
        <v>1450000</v>
      </c>
      <c r="AG155" s="127">
        <f t="shared" si="109"/>
        <v>2.4166666666666665</v>
      </c>
      <c r="AH155" s="128">
        <f>IFERROR(AVERAGE(AG155:AG157),"N/A")</f>
        <v>2.862459546925566</v>
      </c>
      <c r="AI155" s="223" t="s">
        <v>78</v>
      </c>
      <c r="AJ155" s="131">
        <f t="shared" si="110"/>
        <v>1717475.7281553396</v>
      </c>
      <c r="AK155" s="368">
        <f t="shared" si="138"/>
        <v>1450000</v>
      </c>
      <c r="AL155" s="375">
        <f t="shared" si="114"/>
        <v>2347000</v>
      </c>
      <c r="AM155" s="376">
        <f t="shared" si="115"/>
        <v>2767475.7281553396</v>
      </c>
      <c r="AN155" s="394" t="s">
        <v>801</v>
      </c>
      <c r="AO155" s="395" t="s">
        <v>801</v>
      </c>
      <c r="AP155" s="396" t="str">
        <f t="shared" si="93"/>
        <v>-</v>
      </c>
      <c r="AQ155" s="397" t="str">
        <f>IFERROR(AVERAGE(AP155:AP157),"N/A")</f>
        <v>N/A</v>
      </c>
      <c r="AR155" s="439" t="s">
        <v>78</v>
      </c>
      <c r="AS155" s="396" t="str">
        <f t="shared" si="94"/>
        <v>-</v>
      </c>
      <c r="AT155" s="397">
        <f>IFERROR(AVERAGE(AS155:AS157),"N/A")</f>
        <v>2670</v>
      </c>
      <c r="AU155" s="388">
        <f t="shared" si="116"/>
        <v>2347000</v>
      </c>
      <c r="AV155" s="389">
        <f t="shared" si="117"/>
        <v>2767475.7281553396</v>
      </c>
      <c r="AW155" s="353" t="s">
        <v>78</v>
      </c>
      <c r="AX155" s="403" t="s">
        <v>358</v>
      </c>
      <c r="AY155" s="404" t="s">
        <v>451</v>
      </c>
    </row>
    <row r="156" spans="1:52" ht="15" customHeight="1">
      <c r="A156" s="1" t="str">
        <f t="shared" si="92"/>
        <v>TSX:BTO_2023_Tech</v>
      </c>
      <c r="B156" s="1" t="str">
        <f t="shared" si="97"/>
        <v>TSX:BTO_2023_NEO3</v>
      </c>
      <c r="C156" s="114" t="str">
        <f t="shared" si="128"/>
        <v>TSX:BTO</v>
      </c>
      <c r="D156" s="133" t="str">
        <f>_xll.ciqfunctions.udf.CIQ(C156,"IQ_Company_Name")</f>
        <v>B2Gold Corp.</v>
      </c>
      <c r="E156" s="114">
        <f t="shared" si="140"/>
        <v>2023</v>
      </c>
      <c r="F156" s="114" t="str">
        <f t="shared" si="105"/>
        <v>2023-01-01</v>
      </c>
      <c r="G156" s="330" t="str">
        <f t="shared" si="134"/>
        <v>2023-12-31</v>
      </c>
      <c r="H156" s="114">
        <f t="shared" si="111"/>
        <v>12</v>
      </c>
      <c r="I156" s="407" t="str">
        <f t="shared" si="143"/>
        <v>CAD</v>
      </c>
      <c r="J156" s="461">
        <f t="shared" si="99"/>
        <v>1</v>
      </c>
      <c r="K156" s="468" t="s">
        <v>469</v>
      </c>
      <c r="L156" s="465" t="str">
        <f t="shared" ref="L156:N157" si="147">L155</f>
        <v>NEO3</v>
      </c>
      <c r="M156" s="123" t="str">
        <f t="shared" si="147"/>
        <v>SVP, Exploration</v>
      </c>
      <c r="N156" s="132" t="str">
        <f t="shared" si="147"/>
        <v>Victor King</v>
      </c>
      <c r="O156" s="219">
        <v>600000</v>
      </c>
      <c r="P156" s="125">
        <f t="shared" si="135"/>
        <v>600000</v>
      </c>
      <c r="Q156" s="311" t="s">
        <v>78</v>
      </c>
      <c r="R156" s="126" t="str">
        <f t="shared" si="136"/>
        <v>-</v>
      </c>
      <c r="S156" s="221">
        <v>390000</v>
      </c>
      <c r="T156" s="125">
        <f t="shared" si="137"/>
        <v>390000</v>
      </c>
      <c r="U156" s="127">
        <f t="shared" si="107"/>
        <v>0.65</v>
      </c>
      <c r="V156" s="128"/>
      <c r="W156" s="223" t="s">
        <v>78</v>
      </c>
      <c r="X156" s="129">
        <f t="shared" si="108"/>
        <v>0</v>
      </c>
      <c r="Y156" s="124">
        <f t="shared" si="112"/>
        <v>990000</v>
      </c>
      <c r="Z156" s="130">
        <f t="shared" si="113"/>
        <v>600000</v>
      </c>
      <c r="AA156" s="225">
        <f t="shared" si="146"/>
        <v>725000</v>
      </c>
      <c r="AB156" s="225">
        <f t="shared" si="146"/>
        <v>725000</v>
      </c>
      <c r="AC156" s="225" t="s">
        <v>78</v>
      </c>
      <c r="AD156" s="225" t="s">
        <v>78</v>
      </c>
      <c r="AE156" s="225" t="s">
        <v>78</v>
      </c>
      <c r="AF156" s="125">
        <f t="shared" si="100"/>
        <v>1450000</v>
      </c>
      <c r="AG156" s="127">
        <f t="shared" si="109"/>
        <v>2.4166666666666665</v>
      </c>
      <c r="AH156" s="128"/>
      <c r="AI156" s="223" t="s">
        <v>78</v>
      </c>
      <c r="AJ156" s="131">
        <f t="shared" si="110"/>
        <v>0</v>
      </c>
      <c r="AK156" s="368">
        <f t="shared" si="138"/>
        <v>1450000</v>
      </c>
      <c r="AL156" s="375">
        <f t="shared" si="114"/>
        <v>2440000</v>
      </c>
      <c r="AM156" s="376">
        <f t="shared" si="115"/>
        <v>600000</v>
      </c>
      <c r="AN156" s="394" t="s">
        <v>801</v>
      </c>
      <c r="AO156" s="395" t="s">
        <v>801</v>
      </c>
      <c r="AP156" s="396" t="str">
        <f t="shared" si="93"/>
        <v>-</v>
      </c>
      <c r="AQ156" s="397"/>
      <c r="AR156" s="439">
        <f>83028-41009-39349</f>
        <v>2670</v>
      </c>
      <c r="AS156" s="396">
        <f t="shared" si="94"/>
        <v>2670</v>
      </c>
      <c r="AT156" s="397"/>
      <c r="AU156" s="388">
        <f t="shared" si="116"/>
        <v>2442670</v>
      </c>
      <c r="AV156" s="389">
        <f t="shared" si="117"/>
        <v>602670</v>
      </c>
      <c r="AW156" s="353" t="s">
        <v>78</v>
      </c>
      <c r="AX156" s="403" t="s">
        <v>358</v>
      </c>
      <c r="AY156" s="404" t="s">
        <v>451</v>
      </c>
    </row>
    <row r="157" spans="1:52" ht="15" customHeight="1">
      <c r="A157" s="1" t="str">
        <f t="shared" si="92"/>
        <v>TSX:BTO_2022_Tech</v>
      </c>
      <c r="B157" s="1" t="str">
        <f t="shared" si="97"/>
        <v>TSX:BTO_2022_NEO3</v>
      </c>
      <c r="C157" s="203" t="str">
        <f t="shared" si="128"/>
        <v>TSX:BTO</v>
      </c>
      <c r="D157" s="205" t="str">
        <f>_xll.ciqfunctions.udf.CIQ(C157,"IQ_Company_Name")</f>
        <v>B2Gold Corp.</v>
      </c>
      <c r="E157" s="204">
        <f t="shared" si="140"/>
        <v>2022</v>
      </c>
      <c r="F157" s="114" t="str">
        <f t="shared" si="105"/>
        <v>2022-01-01</v>
      </c>
      <c r="G157" s="331" t="str">
        <f t="shared" si="134"/>
        <v>2022-12-31</v>
      </c>
      <c r="H157" s="204">
        <f t="shared" si="111"/>
        <v>12</v>
      </c>
      <c r="I157" s="408" t="str">
        <f t="shared" si="143"/>
        <v>CAD</v>
      </c>
      <c r="J157" s="463">
        <f t="shared" si="99"/>
        <v>1</v>
      </c>
      <c r="K157" s="470" t="s">
        <v>469</v>
      </c>
      <c r="L157" s="466" t="str">
        <f t="shared" si="147"/>
        <v>NEO3</v>
      </c>
      <c r="M157" s="206" t="str">
        <f t="shared" si="147"/>
        <v>SVP, Exploration</v>
      </c>
      <c r="N157" s="207" t="str">
        <f t="shared" si="147"/>
        <v>Victor King</v>
      </c>
      <c r="O157" s="220">
        <v>386250</v>
      </c>
      <c r="P157" s="125">
        <f>IFERROR(O157*(12/$H157)*$J157,"-")</f>
        <v>386250</v>
      </c>
      <c r="Q157" s="312" t="s">
        <v>78</v>
      </c>
      <c r="R157" s="329" t="str">
        <f t="shared" si="136"/>
        <v>-</v>
      </c>
      <c r="S157" s="222">
        <v>360000</v>
      </c>
      <c r="T157" s="209">
        <f t="shared" si="137"/>
        <v>360000</v>
      </c>
      <c r="U157" s="211">
        <f t="shared" si="107"/>
        <v>0.93203883495145634</v>
      </c>
      <c r="V157" s="212"/>
      <c r="W157" s="224" t="s">
        <v>78</v>
      </c>
      <c r="X157" s="213">
        <f t="shared" si="108"/>
        <v>0</v>
      </c>
      <c r="Y157" s="208">
        <f t="shared" si="112"/>
        <v>746250</v>
      </c>
      <c r="Z157" s="214">
        <f t="shared" si="113"/>
        <v>386250</v>
      </c>
      <c r="AA157" s="452">
        <f>1650000*(0.5)-200000</f>
        <v>625000</v>
      </c>
      <c r="AB157" s="446">
        <f>1650000*(0.5)</f>
        <v>825000</v>
      </c>
      <c r="AC157" s="226" t="s">
        <v>78</v>
      </c>
      <c r="AD157" s="226" t="s">
        <v>78</v>
      </c>
      <c r="AE157" s="226" t="s">
        <v>78</v>
      </c>
      <c r="AF157" s="420">
        <f t="shared" si="100"/>
        <v>1450000</v>
      </c>
      <c r="AG157" s="211">
        <f t="shared" si="109"/>
        <v>3.7540453074433655</v>
      </c>
      <c r="AH157" s="212"/>
      <c r="AI157" s="224" t="s">
        <v>78</v>
      </c>
      <c r="AJ157" s="215">
        <f t="shared" si="110"/>
        <v>0</v>
      </c>
      <c r="AK157" s="369">
        <f t="shared" si="138"/>
        <v>1450000</v>
      </c>
      <c r="AL157" s="377">
        <f t="shared" si="114"/>
        <v>2196250</v>
      </c>
      <c r="AM157" s="378">
        <f t="shared" si="115"/>
        <v>386250</v>
      </c>
      <c r="AN157" s="398" t="s">
        <v>801</v>
      </c>
      <c r="AO157" s="399" t="s">
        <v>801</v>
      </c>
      <c r="AP157" s="396" t="str">
        <f t="shared" si="93"/>
        <v>-</v>
      </c>
      <c r="AQ157" s="400"/>
      <c r="AR157" s="941" t="s">
        <v>78</v>
      </c>
      <c r="AS157" s="396" t="str">
        <f t="shared" si="94"/>
        <v>-</v>
      </c>
      <c r="AT157" s="400"/>
      <c r="AU157" s="390">
        <f t="shared" si="116"/>
        <v>2196250</v>
      </c>
      <c r="AV157" s="391">
        <f t="shared" si="117"/>
        <v>386250</v>
      </c>
      <c r="AW157" s="354" t="s">
        <v>417</v>
      </c>
      <c r="AX157" s="405" t="s">
        <v>358</v>
      </c>
      <c r="AY157" s="404" t="s">
        <v>451</v>
      </c>
    </row>
    <row r="158" spans="1:52" ht="15" customHeight="1">
      <c r="A158" s="1" t="str">
        <f t="shared" si="92"/>
        <v>NYSE:HL_2024_</v>
      </c>
      <c r="B158" s="1" t="str">
        <f t="shared" si="97"/>
        <v>NYSE:HL_2024_CEO</v>
      </c>
      <c r="C158" s="216" t="str">
        <f>D12</f>
        <v>NYSE:HL</v>
      </c>
      <c r="D158" s="133" t="str">
        <f>_xll.ciqfunctions.udf.CIQ(C158,"IQ_Company_Name")</f>
        <v>Hecla Mining Company</v>
      </c>
      <c r="E158" s="328">
        <v>2024</v>
      </c>
      <c r="F158" s="429" t="str">
        <f>E158&amp;"-11-07"</f>
        <v>2024-11-07</v>
      </c>
      <c r="G158" s="330" t="str">
        <f t="shared" si="134"/>
        <v>2024-12-31</v>
      </c>
      <c r="H158" s="114">
        <f t="shared" si="111"/>
        <v>1.7753424657534247</v>
      </c>
      <c r="I158" s="328" t="s">
        <v>297</v>
      </c>
      <c r="J158" s="461">
        <f t="shared" si="99"/>
        <v>1.3701700000000001</v>
      </c>
      <c r="K158" s="468"/>
      <c r="L158" s="464" t="s">
        <v>79</v>
      </c>
      <c r="M158" s="217" t="s">
        <v>272</v>
      </c>
      <c r="N158" s="218" t="s">
        <v>298</v>
      </c>
      <c r="O158" s="219">
        <v>93500</v>
      </c>
      <c r="P158" s="422">
        <f>850000*J158</f>
        <v>1164644.5</v>
      </c>
      <c r="Q158" s="311" t="s">
        <v>78</v>
      </c>
      <c r="R158" s="126" t="str">
        <f t="shared" ref="R158:R172" si="148">IFERROR(IF((Q158*$K158)=0,"-",(Q158*$K158)),"-")</f>
        <v>-</v>
      </c>
      <c r="S158" s="221">
        <v>132458</v>
      </c>
      <c r="T158" s="125">
        <f t="shared" ref="T158:T172" si="149">IFERROR(S158*(12/$H158)*$J158,"-")</f>
        <v>1226737.8133129631</v>
      </c>
      <c r="U158" s="127">
        <f t="shared" si="107"/>
        <v>1.0533152505446624</v>
      </c>
      <c r="V158" s="128">
        <f>IFERROR(AVERAGE(U158:U160),"N/A")</f>
        <v>1.0533152505446624</v>
      </c>
      <c r="W158" s="223">
        <v>1.1000000000000001</v>
      </c>
      <c r="X158" s="129">
        <f t="shared" si="108"/>
        <v>1281108.9500000002</v>
      </c>
      <c r="Y158" s="124">
        <f t="shared" ref="Y158:Y172" si="150">IFERROR(IF(SUM(P158,T158)=0,"-",SUM(P158,T158)),"-")</f>
        <v>2391382.3133129631</v>
      </c>
      <c r="Z158" s="130">
        <f t="shared" ref="Z158:Z172" si="151">IFERROR(IF(SUM(P158,X158)=0,"-",SUM(P158,X158)),"-")</f>
        <v>2445753.4500000002</v>
      </c>
      <c r="AA158" s="426" t="s">
        <v>78</v>
      </c>
      <c r="AB158" s="422" t="s">
        <v>78</v>
      </c>
      <c r="AC158" s="225" t="s">
        <v>78</v>
      </c>
      <c r="AD158" s="225" t="s">
        <v>78</v>
      </c>
      <c r="AE158" s="225" t="s">
        <v>78</v>
      </c>
      <c r="AF158" s="125" t="str">
        <f t="shared" ref="AF158:AF172" si="152">IFERROR(IF(SUM(AA158:AE158)=0,IF(COUNTIF($AA158:$AE158,"=0")&gt;0,"$0","-"),SUM(AA158:AE158)),"-")</f>
        <v>-</v>
      </c>
      <c r="AG158" s="127" t="str">
        <f t="shared" si="109"/>
        <v>-</v>
      </c>
      <c r="AH158" s="128" t="str">
        <f>IFERROR(AVERAGE(AG158:AG160),"N/A")</f>
        <v>N/A</v>
      </c>
      <c r="AI158" s="223">
        <f>3195000/850000</f>
        <v>3.7588235294117647</v>
      </c>
      <c r="AJ158" s="131">
        <f t="shared" si="110"/>
        <v>4377693.1500000004</v>
      </c>
      <c r="AK158" s="368" t="str">
        <f t="shared" si="138"/>
        <v>-</v>
      </c>
      <c r="AL158" s="375">
        <f t="shared" ref="AL158:AL172" si="153">IFERROR(IF(SUM(Y158,AK158)=0,"-",SUM(Y158,AK158)),"-")</f>
        <v>2391382.3133129631</v>
      </c>
      <c r="AM158" s="376">
        <f t="shared" si="115"/>
        <v>6823446.6000000006</v>
      </c>
      <c r="AN158" s="394" t="s">
        <v>78</v>
      </c>
      <c r="AO158" s="395" t="s">
        <v>78</v>
      </c>
      <c r="AP158" s="396" t="str">
        <f t="shared" si="93"/>
        <v>-</v>
      </c>
      <c r="AQ158" s="409" t="str">
        <f>IFERROR(AVERAGE(AP158:AP160),"N/A")</f>
        <v>N/A</v>
      </c>
      <c r="AR158" s="401">
        <v>462</v>
      </c>
      <c r="AS158" s="396">
        <f t="shared" si="94"/>
        <v>4278.7364277777779</v>
      </c>
      <c r="AT158" s="409">
        <f>IFERROR(AVERAGE(AS158:AS160),"N/A")</f>
        <v>4278.7364277777779</v>
      </c>
      <c r="AU158" s="388">
        <f t="shared" si="116"/>
        <v>2395661.049740741</v>
      </c>
      <c r="AV158" s="389">
        <f t="shared" si="117"/>
        <v>6827725.336427778</v>
      </c>
      <c r="AW158" s="425" t="s">
        <v>455</v>
      </c>
      <c r="AX158" s="403" t="s">
        <v>275</v>
      </c>
      <c r="AY158" s="404" t="s">
        <v>276</v>
      </c>
      <c r="AZ158" s="1" t="s">
        <v>451</v>
      </c>
    </row>
    <row r="159" spans="1:52" ht="15" customHeight="1">
      <c r="A159" s="1" t="str">
        <f t="shared" si="92"/>
        <v>NYSE:HL_2023_</v>
      </c>
      <c r="B159" s="1" t="str">
        <f t="shared" si="97"/>
        <v>NYSE:HL_2023_CEO</v>
      </c>
      <c r="C159" s="114" t="str">
        <f>C158</f>
        <v>NYSE:HL</v>
      </c>
      <c r="D159" s="133" t="str">
        <f>_xll.ciqfunctions.udf.CIQ(C159,"IQ_Company_Name")</f>
        <v>Hecla Mining Company</v>
      </c>
      <c r="E159" s="328">
        <v>2023</v>
      </c>
      <c r="F159" s="330" t="str">
        <f t="shared" ref="F159:F172" si="154">E159&amp;"-01-01"</f>
        <v>2023-01-01</v>
      </c>
      <c r="G159" s="330" t="str">
        <f t="shared" si="134"/>
        <v>2023-12-31</v>
      </c>
      <c r="H159" s="114">
        <f t="shared" si="111"/>
        <v>12</v>
      </c>
      <c r="I159" s="407" t="str">
        <f t="shared" ref="I159:I172" si="155">I158</f>
        <v>USD</v>
      </c>
      <c r="J159" s="461">
        <f t="shared" si="99"/>
        <v>1.34954</v>
      </c>
      <c r="K159" s="468"/>
      <c r="L159" s="465" t="str">
        <f t="shared" ref="L159:N160" si="156">L158</f>
        <v>CEO</v>
      </c>
      <c r="M159" s="123" t="str">
        <f t="shared" si="156"/>
        <v>President &amp; CEO</v>
      </c>
      <c r="N159" s="132" t="str">
        <f t="shared" si="156"/>
        <v>Rob Krcmarov</v>
      </c>
      <c r="O159" s="219" t="s">
        <v>78</v>
      </c>
      <c r="P159" s="125" t="str">
        <f t="shared" si="135"/>
        <v>-</v>
      </c>
      <c r="Q159" s="311" t="s">
        <v>78</v>
      </c>
      <c r="R159" s="126" t="str">
        <f t="shared" si="148"/>
        <v>-</v>
      </c>
      <c r="S159" s="221" t="s">
        <v>78</v>
      </c>
      <c r="T159" s="125" t="str">
        <f t="shared" si="149"/>
        <v>-</v>
      </c>
      <c r="U159" s="127" t="str">
        <f t="shared" si="107"/>
        <v>-</v>
      </c>
      <c r="V159" s="128"/>
      <c r="W159" s="223" t="s">
        <v>78</v>
      </c>
      <c r="X159" s="129" t="str">
        <f t="shared" si="108"/>
        <v>-</v>
      </c>
      <c r="Y159" s="124" t="str">
        <f t="shared" si="150"/>
        <v>-</v>
      </c>
      <c r="Z159" s="130" t="str">
        <f t="shared" si="151"/>
        <v>-</v>
      </c>
      <c r="AA159" s="221" t="s">
        <v>78</v>
      </c>
      <c r="AB159" s="225" t="s">
        <v>78</v>
      </c>
      <c r="AC159" s="225" t="s">
        <v>78</v>
      </c>
      <c r="AD159" s="225" t="s">
        <v>78</v>
      </c>
      <c r="AE159" s="225" t="s">
        <v>78</v>
      </c>
      <c r="AF159" s="125" t="str">
        <f t="shared" si="152"/>
        <v>-</v>
      </c>
      <c r="AG159" s="127" t="str">
        <f t="shared" si="109"/>
        <v>-</v>
      </c>
      <c r="AH159" s="128"/>
      <c r="AI159" s="223" t="s">
        <v>78</v>
      </c>
      <c r="AJ159" s="131" t="str">
        <f t="shared" si="110"/>
        <v>-</v>
      </c>
      <c r="AK159" s="368" t="str">
        <f t="shared" si="138"/>
        <v>-</v>
      </c>
      <c r="AL159" s="375" t="str">
        <f t="shared" si="153"/>
        <v>-</v>
      </c>
      <c r="AM159" s="376" t="str">
        <f t="shared" si="115"/>
        <v>-</v>
      </c>
      <c r="AN159" s="394" t="s">
        <v>78</v>
      </c>
      <c r="AO159" s="395" t="s">
        <v>78</v>
      </c>
      <c r="AP159" s="396" t="str">
        <f t="shared" si="93"/>
        <v>-</v>
      </c>
      <c r="AQ159" s="397"/>
      <c r="AR159" s="401" t="s">
        <v>78</v>
      </c>
      <c r="AS159" s="396" t="str">
        <f t="shared" si="94"/>
        <v>-</v>
      </c>
      <c r="AT159" s="397"/>
      <c r="AU159" s="388" t="str">
        <f t="shared" si="116"/>
        <v>-</v>
      </c>
      <c r="AV159" s="389" t="str">
        <f t="shared" si="117"/>
        <v>-</v>
      </c>
      <c r="AW159" s="353" t="s">
        <v>78</v>
      </c>
      <c r="AX159" s="403" t="s">
        <v>275</v>
      </c>
      <c r="AY159" s="404" t="s">
        <v>276</v>
      </c>
      <c r="AZ159" s="1" t="s">
        <v>451</v>
      </c>
    </row>
    <row r="160" spans="1:52" ht="15" customHeight="1">
      <c r="A160" s="1" t="str">
        <f t="shared" si="92"/>
        <v>NYSE:HL_2022_</v>
      </c>
      <c r="B160" s="1" t="str">
        <f t="shared" si="97"/>
        <v>NYSE:HL_2022_CEO</v>
      </c>
      <c r="C160" s="114" t="str">
        <f t="shared" si="128"/>
        <v>NYSE:HL</v>
      </c>
      <c r="D160" s="133" t="str">
        <f>_xll.ciqfunctions.udf.CIQ(C160,"IQ_Company_Name")</f>
        <v>Hecla Mining Company</v>
      </c>
      <c r="E160" s="328">
        <v>2022</v>
      </c>
      <c r="F160" s="114" t="str">
        <f t="shared" si="154"/>
        <v>2022-01-01</v>
      </c>
      <c r="G160" s="330" t="str">
        <f t="shared" si="134"/>
        <v>2022-12-31</v>
      </c>
      <c r="H160" s="114">
        <f t="shared" si="111"/>
        <v>12</v>
      </c>
      <c r="I160" s="407" t="str">
        <f t="shared" si="155"/>
        <v>USD</v>
      </c>
      <c r="J160" s="461">
        <f t="shared" si="99"/>
        <v>1.30175</v>
      </c>
      <c r="K160" s="468"/>
      <c r="L160" s="465" t="str">
        <f t="shared" si="156"/>
        <v>CEO</v>
      </c>
      <c r="M160" s="123" t="str">
        <f t="shared" si="156"/>
        <v>President &amp; CEO</v>
      </c>
      <c r="N160" s="132" t="str">
        <f t="shared" si="156"/>
        <v>Rob Krcmarov</v>
      </c>
      <c r="O160" s="219" t="s">
        <v>78</v>
      </c>
      <c r="P160" s="125" t="str">
        <f t="shared" si="135"/>
        <v>-</v>
      </c>
      <c r="Q160" s="311" t="s">
        <v>78</v>
      </c>
      <c r="R160" s="126" t="str">
        <f t="shared" si="148"/>
        <v>-</v>
      </c>
      <c r="S160" s="221" t="s">
        <v>78</v>
      </c>
      <c r="T160" s="125" t="str">
        <f t="shared" si="149"/>
        <v>-</v>
      </c>
      <c r="U160" s="127" t="str">
        <f t="shared" si="107"/>
        <v>-</v>
      </c>
      <c r="V160" s="128"/>
      <c r="W160" s="223" t="s">
        <v>78</v>
      </c>
      <c r="X160" s="129" t="str">
        <f t="shared" si="108"/>
        <v>-</v>
      </c>
      <c r="Y160" s="124" t="str">
        <f t="shared" si="150"/>
        <v>-</v>
      </c>
      <c r="Z160" s="130" t="str">
        <f t="shared" si="151"/>
        <v>-</v>
      </c>
      <c r="AA160" s="221" t="s">
        <v>78</v>
      </c>
      <c r="AB160" s="225" t="s">
        <v>78</v>
      </c>
      <c r="AC160" s="225" t="s">
        <v>78</v>
      </c>
      <c r="AD160" s="225" t="s">
        <v>78</v>
      </c>
      <c r="AE160" s="225" t="s">
        <v>78</v>
      </c>
      <c r="AF160" s="125" t="str">
        <f t="shared" si="152"/>
        <v>-</v>
      </c>
      <c r="AG160" s="127" t="str">
        <f t="shared" si="109"/>
        <v>-</v>
      </c>
      <c r="AH160" s="128"/>
      <c r="AI160" s="223" t="s">
        <v>78</v>
      </c>
      <c r="AJ160" s="131" t="str">
        <f t="shared" si="110"/>
        <v>-</v>
      </c>
      <c r="AK160" s="368" t="str">
        <f t="shared" si="138"/>
        <v>-</v>
      </c>
      <c r="AL160" s="375" t="str">
        <f t="shared" si="153"/>
        <v>-</v>
      </c>
      <c r="AM160" s="376" t="str">
        <f t="shared" si="115"/>
        <v>-</v>
      </c>
      <c r="AN160" s="394" t="s">
        <v>78</v>
      </c>
      <c r="AO160" s="395" t="s">
        <v>78</v>
      </c>
      <c r="AP160" s="396" t="str">
        <f t="shared" si="93"/>
        <v>-</v>
      </c>
      <c r="AQ160" s="397"/>
      <c r="AR160" s="401" t="s">
        <v>78</v>
      </c>
      <c r="AS160" s="396" t="str">
        <f t="shared" si="94"/>
        <v>-</v>
      </c>
      <c r="AT160" s="397"/>
      <c r="AU160" s="388" t="str">
        <f t="shared" si="116"/>
        <v>-</v>
      </c>
      <c r="AV160" s="389" t="str">
        <f t="shared" si="117"/>
        <v>-</v>
      </c>
      <c r="AW160" s="353" t="s">
        <v>78</v>
      </c>
      <c r="AX160" s="403" t="s">
        <v>275</v>
      </c>
      <c r="AY160" s="404" t="s">
        <v>276</v>
      </c>
      <c r="AZ160" s="1" t="s">
        <v>451</v>
      </c>
    </row>
    <row r="161" spans="1:52" ht="15" customHeight="1">
      <c r="A161" s="1" t="str">
        <f t="shared" ref="A161:A224" si="157">$C161&amp;"_"&amp;$E161&amp;"_"&amp;$K161</f>
        <v>NYSE:HL_2024_</v>
      </c>
      <c r="B161" s="1" t="str">
        <f t="shared" si="97"/>
        <v>NYSE:HL_2024_CFO</v>
      </c>
      <c r="C161" s="114" t="str">
        <f t="shared" si="128"/>
        <v>NYSE:HL</v>
      </c>
      <c r="D161" s="133" t="str">
        <f>_xll.ciqfunctions.udf.CIQ(C161,"IQ_Company_Name")</f>
        <v>Hecla Mining Company</v>
      </c>
      <c r="E161" s="114">
        <f t="shared" ref="E161:E172" si="158">E158</f>
        <v>2024</v>
      </c>
      <c r="F161" s="114" t="str">
        <f t="shared" si="154"/>
        <v>2024-01-01</v>
      </c>
      <c r="G161" s="330" t="str">
        <f t="shared" si="134"/>
        <v>2024-12-31</v>
      </c>
      <c r="H161" s="114">
        <f t="shared" si="111"/>
        <v>12</v>
      </c>
      <c r="I161" s="407" t="str">
        <f t="shared" si="155"/>
        <v>USD</v>
      </c>
      <c r="J161" s="461">
        <f t="shared" si="99"/>
        <v>1.3701700000000001</v>
      </c>
      <c r="K161" s="468"/>
      <c r="L161" s="464" t="s">
        <v>106</v>
      </c>
      <c r="M161" s="217" t="s">
        <v>299</v>
      </c>
      <c r="N161" s="218" t="s">
        <v>300</v>
      </c>
      <c r="O161" s="219">
        <v>379500</v>
      </c>
      <c r="P161" s="125">
        <f t="shared" si="135"/>
        <v>519979.51500000001</v>
      </c>
      <c r="Q161" s="311" t="s">
        <v>78</v>
      </c>
      <c r="R161" s="126" t="str">
        <f t="shared" si="148"/>
        <v>-</v>
      </c>
      <c r="S161" s="221">
        <v>568515</v>
      </c>
      <c r="T161" s="125">
        <f t="shared" si="149"/>
        <v>778962.19755000004</v>
      </c>
      <c r="U161" s="127">
        <f t="shared" si="107"/>
        <v>1.4980632411067194</v>
      </c>
      <c r="V161" s="128">
        <f>IFERROR(AVERAGE(U161:U163),"N/A")</f>
        <v>1.7089097547401177</v>
      </c>
      <c r="W161" s="223">
        <v>1</v>
      </c>
      <c r="X161" s="129">
        <f t="shared" si="108"/>
        <v>519979.51500000001</v>
      </c>
      <c r="Y161" s="124">
        <f t="shared" si="150"/>
        <v>1298941.7125500001</v>
      </c>
      <c r="Z161" s="130">
        <f t="shared" si="151"/>
        <v>1039959.03</v>
      </c>
      <c r="AA161" s="221">
        <f>595670*0.5</f>
        <v>297835</v>
      </c>
      <c r="AB161" s="221">
        <f>595670*0.5</f>
        <v>297835</v>
      </c>
      <c r="AC161" s="225" t="s">
        <v>78</v>
      </c>
      <c r="AD161" s="225" t="s">
        <v>78</v>
      </c>
      <c r="AE161" s="225" t="s">
        <v>78</v>
      </c>
      <c r="AF161" s="125">
        <f t="shared" si="152"/>
        <v>595670</v>
      </c>
      <c r="AG161" s="127">
        <f t="shared" si="109"/>
        <v>1.5696179183135706</v>
      </c>
      <c r="AH161" s="128">
        <f>IFERROR(AVERAGE(AG161:AG163),"N/A")</f>
        <v>1.1802554708355313</v>
      </c>
      <c r="AI161" s="223">
        <f>736000/379500</f>
        <v>1.9393939393939394</v>
      </c>
      <c r="AJ161" s="131">
        <f t="shared" si="110"/>
        <v>1008445.1200000001</v>
      </c>
      <c r="AK161" s="368">
        <f t="shared" si="138"/>
        <v>816169.16390000004</v>
      </c>
      <c r="AL161" s="375">
        <f t="shared" si="153"/>
        <v>2115110.8764500003</v>
      </c>
      <c r="AM161" s="376">
        <f t="shared" si="115"/>
        <v>2048404.1500000001</v>
      </c>
      <c r="AN161" s="394">
        <v>70653</v>
      </c>
      <c r="AO161" s="395" t="s">
        <v>283</v>
      </c>
      <c r="AP161" s="396">
        <f t="shared" ref="AP161:AP224" si="159">IFERROR(AN161*(12/$H161)*$J161,"-")</f>
        <v>96806.621010000003</v>
      </c>
      <c r="AQ161" s="397">
        <f>IFERROR(AVERAGE(AP161:AP163),"N/A")</f>
        <v>49555.581376666669</v>
      </c>
      <c r="AR161" s="401">
        <v>23469</v>
      </c>
      <c r="AS161" s="396">
        <f t="shared" ref="AS161:AS224" si="160">IFERROR(AR161*(12/$H161)*$J161,"-")</f>
        <v>32156.519730000004</v>
      </c>
      <c r="AT161" s="397">
        <f>IFERROR(AVERAGE(AS161:AS163),"N/A")</f>
        <v>29904.706496666669</v>
      </c>
      <c r="AU161" s="388">
        <f t="shared" si="116"/>
        <v>2244074.01719</v>
      </c>
      <c r="AV161" s="389">
        <f t="shared" si="117"/>
        <v>2177367.2907400001</v>
      </c>
      <c r="AW161" s="353" t="s">
        <v>78</v>
      </c>
      <c r="AX161" s="403" t="s">
        <v>275</v>
      </c>
      <c r="AY161" s="404" t="s">
        <v>276</v>
      </c>
      <c r="AZ161" s="1" t="s">
        <v>451</v>
      </c>
    </row>
    <row r="162" spans="1:52" ht="15" customHeight="1">
      <c r="A162" s="1" t="str">
        <f t="shared" si="157"/>
        <v>NYSE:HL_2023_</v>
      </c>
      <c r="B162" s="1" t="str">
        <f t="shared" si="97"/>
        <v>NYSE:HL_2023_CFO</v>
      </c>
      <c r="C162" s="114" t="str">
        <f t="shared" si="128"/>
        <v>NYSE:HL</v>
      </c>
      <c r="D162" s="133" t="str">
        <f>_xll.ciqfunctions.udf.CIQ(C162,"IQ_Company_Name")</f>
        <v>Hecla Mining Company</v>
      </c>
      <c r="E162" s="114">
        <f t="shared" si="158"/>
        <v>2023</v>
      </c>
      <c r="F162" s="114" t="str">
        <f t="shared" si="154"/>
        <v>2023-01-01</v>
      </c>
      <c r="G162" s="330" t="str">
        <f t="shared" si="134"/>
        <v>2023-12-31</v>
      </c>
      <c r="H162" s="114">
        <f t="shared" si="111"/>
        <v>12</v>
      </c>
      <c r="I162" s="407" t="str">
        <f t="shared" si="155"/>
        <v>USD</v>
      </c>
      <c r="J162" s="461">
        <f t="shared" si="99"/>
        <v>1.34954</v>
      </c>
      <c r="K162" s="468"/>
      <c r="L162" s="465" t="str">
        <f t="shared" ref="L162:N163" si="161">L161</f>
        <v>CFO</v>
      </c>
      <c r="M162" s="123" t="str">
        <f t="shared" si="161"/>
        <v>SVP &amp; CFO</v>
      </c>
      <c r="N162" s="132" t="str">
        <f t="shared" si="161"/>
        <v>Russell D. Lawlar</v>
      </c>
      <c r="O162" s="219">
        <v>352688</v>
      </c>
      <c r="P162" s="125">
        <f t="shared" si="135"/>
        <v>475966.56351999997</v>
      </c>
      <c r="Q162" s="311" t="s">
        <v>78</v>
      </c>
      <c r="R162" s="126" t="str">
        <f t="shared" si="148"/>
        <v>-</v>
      </c>
      <c r="S162" s="221">
        <v>472350</v>
      </c>
      <c r="T162" s="125">
        <f t="shared" si="149"/>
        <v>637455.21899999992</v>
      </c>
      <c r="U162" s="127">
        <f t="shared" si="107"/>
        <v>1.3392857142857142</v>
      </c>
      <c r="V162" s="128"/>
      <c r="W162" s="223" t="s">
        <v>78</v>
      </c>
      <c r="X162" s="129">
        <f t="shared" si="108"/>
        <v>0</v>
      </c>
      <c r="Y162" s="124">
        <f t="shared" si="150"/>
        <v>1113421.7825199999</v>
      </c>
      <c r="Z162" s="130">
        <f t="shared" si="151"/>
        <v>475966.56351999997</v>
      </c>
      <c r="AA162" s="221">
        <f>329041*0.5</f>
        <v>164520.5</v>
      </c>
      <c r="AB162" s="221">
        <f>329041*0.5</f>
        <v>164520.5</v>
      </c>
      <c r="AC162" s="225" t="s">
        <v>78</v>
      </c>
      <c r="AD162" s="225" t="s">
        <v>78</v>
      </c>
      <c r="AE162" s="225" t="s">
        <v>78</v>
      </c>
      <c r="AF162" s="125">
        <f t="shared" si="152"/>
        <v>329041</v>
      </c>
      <c r="AG162" s="127">
        <f t="shared" si="109"/>
        <v>0.93295207095222976</v>
      </c>
      <c r="AH162" s="128"/>
      <c r="AI162" s="223" t="s">
        <v>78</v>
      </c>
      <c r="AJ162" s="131">
        <f t="shared" si="110"/>
        <v>0</v>
      </c>
      <c r="AK162" s="368">
        <f t="shared" si="138"/>
        <v>444053.99114</v>
      </c>
      <c r="AL162" s="375">
        <f t="shared" si="153"/>
        <v>1557475.7736599999</v>
      </c>
      <c r="AM162" s="376">
        <f t="shared" si="115"/>
        <v>475966.56351999997</v>
      </c>
      <c r="AN162" s="394">
        <v>38428</v>
      </c>
      <c r="AO162" s="395" t="s">
        <v>283</v>
      </c>
      <c r="AP162" s="396">
        <f t="shared" si="159"/>
        <v>51860.123119999997</v>
      </c>
      <c r="AQ162" s="397"/>
      <c r="AR162" s="401">
        <v>22569</v>
      </c>
      <c r="AS162" s="396">
        <f t="shared" si="160"/>
        <v>30457.768260000001</v>
      </c>
      <c r="AT162" s="397"/>
      <c r="AU162" s="388">
        <f t="shared" si="116"/>
        <v>1639793.6650399999</v>
      </c>
      <c r="AV162" s="389">
        <f t="shared" si="117"/>
        <v>558284.45490000001</v>
      </c>
      <c r="AW162" s="353" t="s">
        <v>78</v>
      </c>
      <c r="AX162" s="403" t="s">
        <v>275</v>
      </c>
      <c r="AY162" s="404" t="s">
        <v>276</v>
      </c>
      <c r="AZ162" s="1" t="s">
        <v>451</v>
      </c>
    </row>
    <row r="163" spans="1:52" ht="15" customHeight="1">
      <c r="A163" s="1" t="str">
        <f t="shared" si="157"/>
        <v>NYSE:HL_2022_</v>
      </c>
      <c r="B163" s="1" t="str">
        <f t="shared" si="97"/>
        <v>NYSE:HL_2022_CFO</v>
      </c>
      <c r="C163" s="114" t="str">
        <f t="shared" si="128"/>
        <v>NYSE:HL</v>
      </c>
      <c r="D163" s="133" t="str">
        <f>_xll.ciqfunctions.udf.CIQ(C163,"IQ_Company_Name")</f>
        <v>Hecla Mining Company</v>
      </c>
      <c r="E163" s="114">
        <f t="shared" si="158"/>
        <v>2022</v>
      </c>
      <c r="F163" s="114" t="str">
        <f t="shared" si="154"/>
        <v>2022-01-01</v>
      </c>
      <c r="G163" s="330" t="str">
        <f t="shared" si="134"/>
        <v>2022-12-31</v>
      </c>
      <c r="H163" s="114">
        <f t="shared" si="111"/>
        <v>12</v>
      </c>
      <c r="I163" s="407" t="str">
        <f t="shared" si="155"/>
        <v>USD</v>
      </c>
      <c r="J163" s="461">
        <f t="shared" si="99"/>
        <v>1.30175</v>
      </c>
      <c r="K163" s="468"/>
      <c r="L163" s="465" t="str">
        <f t="shared" si="161"/>
        <v>CFO</v>
      </c>
      <c r="M163" s="123" t="str">
        <f t="shared" si="161"/>
        <v>SVP &amp; CFO</v>
      </c>
      <c r="N163" s="132" t="str">
        <f t="shared" si="161"/>
        <v>Russell D. Lawlar</v>
      </c>
      <c r="O163" s="219">
        <v>294792</v>
      </c>
      <c r="P163" s="125">
        <f t="shared" si="135"/>
        <v>383745.48599999998</v>
      </c>
      <c r="Q163" s="311" t="s">
        <v>78</v>
      </c>
      <c r="R163" s="126" t="str">
        <f t="shared" si="148"/>
        <v>-</v>
      </c>
      <c r="S163" s="221">
        <v>674891</v>
      </c>
      <c r="T163" s="125">
        <f t="shared" si="149"/>
        <v>878539.35924999998</v>
      </c>
      <c r="U163" s="127">
        <f t="shared" si="107"/>
        <v>2.2893803088279197</v>
      </c>
      <c r="V163" s="128"/>
      <c r="W163" s="223" t="s">
        <v>78</v>
      </c>
      <c r="X163" s="129">
        <f t="shared" si="108"/>
        <v>0</v>
      </c>
      <c r="Y163" s="124">
        <f t="shared" si="150"/>
        <v>1262284.84525</v>
      </c>
      <c r="Z163" s="130">
        <f t="shared" si="151"/>
        <v>383745.48599999998</v>
      </c>
      <c r="AA163" s="221">
        <f>306052*0.5</f>
        <v>153026</v>
      </c>
      <c r="AB163" s="221">
        <f>306052*0.5</f>
        <v>153026</v>
      </c>
      <c r="AC163" s="225" t="s">
        <v>78</v>
      </c>
      <c r="AD163" s="225" t="s">
        <v>78</v>
      </c>
      <c r="AE163" s="225" t="s">
        <v>78</v>
      </c>
      <c r="AF163" s="125">
        <f t="shared" si="152"/>
        <v>306052</v>
      </c>
      <c r="AG163" s="127">
        <f t="shared" si="109"/>
        <v>1.0381964232407936</v>
      </c>
      <c r="AH163" s="128"/>
      <c r="AI163" s="223" t="s">
        <v>78</v>
      </c>
      <c r="AJ163" s="131">
        <f t="shared" si="110"/>
        <v>0</v>
      </c>
      <c r="AK163" s="368">
        <f t="shared" si="138"/>
        <v>398403.19099999999</v>
      </c>
      <c r="AL163" s="375">
        <f t="shared" si="153"/>
        <v>1660688.0362499999</v>
      </c>
      <c r="AM163" s="376">
        <f t="shared" si="115"/>
        <v>383745.48599999998</v>
      </c>
      <c r="AN163" s="432">
        <v>0</v>
      </c>
      <c r="AO163" s="395" t="s">
        <v>78</v>
      </c>
      <c r="AP163" s="396">
        <f t="shared" si="159"/>
        <v>0</v>
      </c>
      <c r="AQ163" s="397"/>
      <c r="AR163" s="401">
        <v>20818</v>
      </c>
      <c r="AS163" s="396">
        <f t="shared" si="160"/>
        <v>27099.8315</v>
      </c>
      <c r="AT163" s="397"/>
      <c r="AU163" s="388">
        <f t="shared" si="116"/>
        <v>1687787.86775</v>
      </c>
      <c r="AV163" s="389">
        <f t="shared" si="117"/>
        <v>410845.3175</v>
      </c>
      <c r="AW163" s="353" t="s">
        <v>78</v>
      </c>
      <c r="AX163" s="403" t="s">
        <v>275</v>
      </c>
      <c r="AY163" s="404" t="s">
        <v>276</v>
      </c>
      <c r="AZ163" s="1" t="s">
        <v>451</v>
      </c>
    </row>
    <row r="164" spans="1:52" ht="15" customHeight="1">
      <c r="A164" s="1" t="str">
        <f t="shared" si="157"/>
        <v>NYSE:HL_2024_</v>
      </c>
      <c r="B164" s="1" t="str">
        <f t="shared" si="97"/>
        <v>NYSE:HL_2024_NEO1</v>
      </c>
      <c r="C164" s="114" t="str">
        <f t="shared" si="128"/>
        <v>NYSE:HL</v>
      </c>
      <c r="D164" s="133" t="str">
        <f>_xll.ciqfunctions.udf.CIQ(C164,"IQ_Company_Name")</f>
        <v>Hecla Mining Company</v>
      </c>
      <c r="E164" s="114">
        <f t="shared" si="158"/>
        <v>2024</v>
      </c>
      <c r="F164" s="330" t="str">
        <f t="shared" si="154"/>
        <v>2024-01-01</v>
      </c>
      <c r="G164" s="330" t="str">
        <f t="shared" si="134"/>
        <v>2024-12-31</v>
      </c>
      <c r="H164" s="114">
        <f t="shared" si="111"/>
        <v>12</v>
      </c>
      <c r="I164" s="407" t="str">
        <f t="shared" si="155"/>
        <v>USD</v>
      </c>
      <c r="J164" s="461">
        <f t="shared" si="99"/>
        <v>1.3701700000000001</v>
      </c>
      <c r="K164" s="468"/>
      <c r="L164" s="464" t="s">
        <v>107</v>
      </c>
      <c r="M164" s="217" t="s">
        <v>301</v>
      </c>
      <c r="N164" s="218" t="s">
        <v>302</v>
      </c>
      <c r="O164" s="219">
        <v>345000</v>
      </c>
      <c r="P164" s="125">
        <f t="shared" si="135"/>
        <v>472708.65</v>
      </c>
      <c r="Q164" s="311" t="s">
        <v>78</v>
      </c>
      <c r="R164" s="126" t="str">
        <f t="shared" si="148"/>
        <v>-</v>
      </c>
      <c r="S164" s="221">
        <v>525777</v>
      </c>
      <c r="T164" s="125">
        <f t="shared" si="149"/>
        <v>720403.87209000008</v>
      </c>
      <c r="U164" s="127">
        <f t="shared" si="107"/>
        <v>1.5239913043478261</v>
      </c>
      <c r="V164" s="128">
        <f>IFERROR(AVERAGE(U164:U166),"N/A")</f>
        <v>1.911881506953143</v>
      </c>
      <c r="W164" s="223">
        <v>1</v>
      </c>
      <c r="X164" s="129">
        <f t="shared" si="108"/>
        <v>472708.65</v>
      </c>
      <c r="Y164" s="124">
        <f t="shared" si="150"/>
        <v>1193112.5220900001</v>
      </c>
      <c r="Z164" s="130">
        <f t="shared" si="151"/>
        <v>945417.3</v>
      </c>
      <c r="AA164" s="221">
        <f>555646*0.5</f>
        <v>277823</v>
      </c>
      <c r="AB164" s="221">
        <f>555646*0.5</f>
        <v>277823</v>
      </c>
      <c r="AC164" s="225" t="s">
        <v>78</v>
      </c>
      <c r="AD164" s="225" t="s">
        <v>78</v>
      </c>
      <c r="AE164" s="225" t="s">
        <v>78</v>
      </c>
      <c r="AF164" s="125">
        <f t="shared" si="152"/>
        <v>555646</v>
      </c>
      <c r="AG164" s="127">
        <f t="shared" si="109"/>
        <v>1.6105681159420289</v>
      </c>
      <c r="AH164" s="128">
        <f>IFERROR(AVERAGE(AG164:AG166),"N/A")</f>
        <v>1.1877063234902721</v>
      </c>
      <c r="AI164" s="223">
        <f>686550/345000</f>
        <v>1.99</v>
      </c>
      <c r="AJ164" s="131">
        <f t="shared" si="110"/>
        <v>940690.21350000007</v>
      </c>
      <c r="AK164" s="368">
        <f t="shared" si="138"/>
        <v>761329.47982000001</v>
      </c>
      <c r="AL164" s="375">
        <f t="shared" si="153"/>
        <v>1954442.0019100001</v>
      </c>
      <c r="AM164" s="376">
        <f t="shared" si="115"/>
        <v>1886107.5135000001</v>
      </c>
      <c r="AN164" s="394">
        <v>476587</v>
      </c>
      <c r="AO164" s="395" t="s">
        <v>283</v>
      </c>
      <c r="AP164" s="396">
        <f t="shared" si="159"/>
        <v>653005.20979000011</v>
      </c>
      <c r="AQ164" s="397">
        <f>IFERROR(AVERAGE(AP164:AP166),"N/A")</f>
        <v>826549.36199666664</v>
      </c>
      <c r="AR164" s="401">
        <v>23469</v>
      </c>
      <c r="AS164" s="396">
        <f t="shared" si="160"/>
        <v>32156.519730000004</v>
      </c>
      <c r="AT164" s="397">
        <f>IFERROR(AVERAGE(AS164:AS166),"N/A")</f>
        <v>29810.593666666668</v>
      </c>
      <c r="AU164" s="388">
        <f t="shared" si="116"/>
        <v>2639603.7314300002</v>
      </c>
      <c r="AV164" s="389">
        <f t="shared" si="117"/>
        <v>2571269.2430199999</v>
      </c>
      <c r="AW164" s="353" t="s">
        <v>78</v>
      </c>
      <c r="AX164" s="403" t="s">
        <v>275</v>
      </c>
      <c r="AY164" s="404" t="s">
        <v>276</v>
      </c>
      <c r="AZ164" s="1" t="s">
        <v>451</v>
      </c>
    </row>
    <row r="165" spans="1:52" ht="15" customHeight="1">
      <c r="A165" s="1" t="str">
        <f t="shared" si="157"/>
        <v>NYSE:HL_2023_</v>
      </c>
      <c r="B165" s="1" t="str">
        <f t="shared" si="97"/>
        <v>NYSE:HL_2023_NEO1</v>
      </c>
      <c r="C165" s="114" t="str">
        <f t="shared" si="128"/>
        <v>NYSE:HL</v>
      </c>
      <c r="D165" s="133" t="str">
        <f>_xll.ciqfunctions.udf.CIQ(C165,"IQ_Company_Name")</f>
        <v>Hecla Mining Company</v>
      </c>
      <c r="E165" s="114">
        <f t="shared" si="158"/>
        <v>2023</v>
      </c>
      <c r="F165" s="330" t="str">
        <f t="shared" si="154"/>
        <v>2023-01-01</v>
      </c>
      <c r="G165" s="330" t="str">
        <f t="shared" si="134"/>
        <v>2023-12-31</v>
      </c>
      <c r="H165" s="114">
        <f t="shared" si="111"/>
        <v>12</v>
      </c>
      <c r="I165" s="407" t="str">
        <f t="shared" si="155"/>
        <v>USD</v>
      </c>
      <c r="J165" s="461">
        <f t="shared" si="99"/>
        <v>1.34954</v>
      </c>
      <c r="K165" s="468"/>
      <c r="L165" s="465" t="str">
        <f t="shared" ref="L165:N166" si="162">L164</f>
        <v>NEO1</v>
      </c>
      <c r="M165" s="123" t="str">
        <f t="shared" si="162"/>
        <v>SVP &amp; Chief Administrative Officer</v>
      </c>
      <c r="N165" s="132" t="str">
        <f t="shared" si="162"/>
        <v>Michael L. Clary</v>
      </c>
      <c r="O165" s="219">
        <v>320625</v>
      </c>
      <c r="P165" s="125">
        <f t="shared" si="135"/>
        <v>432696.26250000001</v>
      </c>
      <c r="Q165" s="311" t="s">
        <v>78</v>
      </c>
      <c r="R165" s="126" t="str">
        <f t="shared" si="148"/>
        <v>-</v>
      </c>
      <c r="S165" s="221">
        <v>462000</v>
      </c>
      <c r="T165" s="125">
        <f t="shared" si="149"/>
        <v>623487.48</v>
      </c>
      <c r="U165" s="127">
        <f t="shared" si="107"/>
        <v>1.4409356725146198</v>
      </c>
      <c r="V165" s="128"/>
      <c r="W165" s="223" t="s">
        <v>78</v>
      </c>
      <c r="X165" s="129">
        <f t="shared" si="108"/>
        <v>0</v>
      </c>
      <c r="Y165" s="124">
        <f t="shared" si="150"/>
        <v>1056183.7424999999</v>
      </c>
      <c r="Z165" s="130">
        <f t="shared" si="151"/>
        <v>432696.26250000001</v>
      </c>
      <c r="AA165" s="221">
        <f>303738*0.5</f>
        <v>151869</v>
      </c>
      <c r="AB165" s="221">
        <f>303738*0.5</f>
        <v>151869</v>
      </c>
      <c r="AC165" s="225" t="s">
        <v>78</v>
      </c>
      <c r="AD165" s="225" t="s">
        <v>78</v>
      </c>
      <c r="AE165" s="225" t="s">
        <v>78</v>
      </c>
      <c r="AF165" s="125">
        <f t="shared" si="152"/>
        <v>303738</v>
      </c>
      <c r="AG165" s="127">
        <f t="shared" si="109"/>
        <v>0.94733099415204669</v>
      </c>
      <c r="AH165" s="128"/>
      <c r="AI165" s="223" t="s">
        <v>78</v>
      </c>
      <c r="AJ165" s="131">
        <f t="shared" si="110"/>
        <v>0</v>
      </c>
      <c r="AK165" s="368">
        <f t="shared" si="138"/>
        <v>409906.58051999996</v>
      </c>
      <c r="AL165" s="375">
        <f t="shared" si="153"/>
        <v>1466090.32302</v>
      </c>
      <c r="AM165" s="376">
        <f t="shared" si="115"/>
        <v>432696.26250000001</v>
      </c>
      <c r="AN165" s="394">
        <v>1353530</v>
      </c>
      <c r="AO165" s="395" t="s">
        <v>283</v>
      </c>
      <c r="AP165" s="396">
        <f t="shared" si="159"/>
        <v>1826642.8762000001</v>
      </c>
      <c r="AQ165" s="397"/>
      <c r="AR165" s="401">
        <v>22463</v>
      </c>
      <c r="AS165" s="396">
        <f t="shared" si="160"/>
        <v>30314.71702</v>
      </c>
      <c r="AT165" s="397"/>
      <c r="AU165" s="388">
        <f t="shared" si="116"/>
        <v>3323047.9162399997</v>
      </c>
      <c r="AV165" s="389">
        <f t="shared" si="117"/>
        <v>2289653.8557199999</v>
      </c>
      <c r="AW165" s="353" t="s">
        <v>78</v>
      </c>
      <c r="AX165" s="403" t="s">
        <v>275</v>
      </c>
      <c r="AY165" s="404" t="s">
        <v>276</v>
      </c>
      <c r="AZ165" s="1" t="s">
        <v>451</v>
      </c>
    </row>
    <row r="166" spans="1:52" ht="15" customHeight="1">
      <c r="A166" s="1" t="str">
        <f t="shared" si="157"/>
        <v>NYSE:HL_2022_</v>
      </c>
      <c r="B166" s="1" t="str">
        <f t="shared" ref="B166:B229" si="163">$C166&amp;"_"&amp;$E166&amp;"_"&amp;$L166</f>
        <v>NYSE:HL_2022_NEO1</v>
      </c>
      <c r="C166" s="114" t="str">
        <f t="shared" si="128"/>
        <v>NYSE:HL</v>
      </c>
      <c r="D166" s="133" t="str">
        <f>_xll.ciqfunctions.udf.CIQ(C166,"IQ_Company_Name")</f>
        <v>Hecla Mining Company</v>
      </c>
      <c r="E166" s="114">
        <f t="shared" si="158"/>
        <v>2022</v>
      </c>
      <c r="F166" s="114" t="str">
        <f t="shared" si="154"/>
        <v>2022-01-01</v>
      </c>
      <c r="G166" s="330" t="str">
        <f t="shared" si="134"/>
        <v>2022-12-31</v>
      </c>
      <c r="H166" s="114">
        <f t="shared" si="111"/>
        <v>12</v>
      </c>
      <c r="I166" s="407" t="str">
        <f t="shared" si="155"/>
        <v>USD</v>
      </c>
      <c r="J166" s="461">
        <f t="shared" si="99"/>
        <v>1.30175</v>
      </c>
      <c r="K166" s="468"/>
      <c r="L166" s="465" t="str">
        <f t="shared" si="162"/>
        <v>NEO1</v>
      </c>
      <c r="M166" s="123" t="str">
        <f t="shared" si="162"/>
        <v>SVP &amp; Chief Administrative Officer</v>
      </c>
      <c r="N166" s="132" t="str">
        <f t="shared" si="162"/>
        <v>Michael L. Clary</v>
      </c>
      <c r="O166" s="219">
        <v>281042</v>
      </c>
      <c r="P166" s="125">
        <f t="shared" si="135"/>
        <v>365846.42349999998</v>
      </c>
      <c r="Q166" s="311" t="s">
        <v>78</v>
      </c>
      <c r="R166" s="126" t="str">
        <f t="shared" si="148"/>
        <v>-</v>
      </c>
      <c r="S166" s="221">
        <v>778688</v>
      </c>
      <c r="T166" s="125">
        <f t="shared" si="149"/>
        <v>1013657.1039999999</v>
      </c>
      <c r="U166" s="127">
        <f t="shared" si="107"/>
        <v>2.7707175439969824</v>
      </c>
      <c r="V166" s="128"/>
      <c r="W166" s="223" t="s">
        <v>78</v>
      </c>
      <c r="X166" s="129">
        <f t="shared" si="108"/>
        <v>0</v>
      </c>
      <c r="Y166" s="124">
        <f t="shared" si="150"/>
        <v>1379503.5274999999</v>
      </c>
      <c r="Z166" s="130">
        <f t="shared" si="151"/>
        <v>365846.42349999998</v>
      </c>
      <c r="AA166" s="221">
        <f>282509*0.5</f>
        <v>141254.5</v>
      </c>
      <c r="AB166" s="221">
        <f>282509*0.5</f>
        <v>141254.5</v>
      </c>
      <c r="AC166" s="225" t="s">
        <v>78</v>
      </c>
      <c r="AD166" s="225" t="s">
        <v>78</v>
      </c>
      <c r="AE166" s="225" t="s">
        <v>78</v>
      </c>
      <c r="AF166" s="125">
        <f t="shared" si="152"/>
        <v>282509</v>
      </c>
      <c r="AG166" s="127">
        <f t="shared" si="109"/>
        <v>1.0052198603767408</v>
      </c>
      <c r="AH166" s="128"/>
      <c r="AI166" s="223" t="s">
        <v>78</v>
      </c>
      <c r="AJ166" s="131">
        <f t="shared" si="110"/>
        <v>0</v>
      </c>
      <c r="AK166" s="368">
        <f t="shared" si="138"/>
        <v>367756.09074999997</v>
      </c>
      <c r="AL166" s="375">
        <f t="shared" si="153"/>
        <v>1747259.6182499998</v>
      </c>
      <c r="AM166" s="376">
        <f t="shared" si="115"/>
        <v>365846.42349999998</v>
      </c>
      <c r="AN166" s="432">
        <v>0</v>
      </c>
      <c r="AO166" s="395" t="s">
        <v>78</v>
      </c>
      <c r="AP166" s="396">
        <f t="shared" si="159"/>
        <v>0</v>
      </c>
      <c r="AQ166" s="397"/>
      <c r="AR166" s="401">
        <v>20711</v>
      </c>
      <c r="AS166" s="396">
        <f t="shared" si="160"/>
        <v>26960.544249999999</v>
      </c>
      <c r="AT166" s="397"/>
      <c r="AU166" s="388">
        <f t="shared" si="116"/>
        <v>1774220.1624999999</v>
      </c>
      <c r="AV166" s="389">
        <f t="shared" si="117"/>
        <v>392806.96774999995</v>
      </c>
      <c r="AW166" s="353" t="s">
        <v>78</v>
      </c>
      <c r="AX166" s="403" t="s">
        <v>275</v>
      </c>
      <c r="AY166" s="404" t="s">
        <v>276</v>
      </c>
      <c r="AZ166" s="1" t="s">
        <v>451</v>
      </c>
    </row>
    <row r="167" spans="1:52" ht="15" customHeight="1">
      <c r="A167" s="1" t="str">
        <f t="shared" si="157"/>
        <v>NYSE:HL_2024_Legal</v>
      </c>
      <c r="B167" s="1" t="str">
        <f t="shared" si="163"/>
        <v>NYSE:HL_2024_NEO2</v>
      </c>
      <c r="C167" s="114" t="str">
        <f t="shared" si="128"/>
        <v>NYSE:HL</v>
      </c>
      <c r="D167" s="133" t="str">
        <f>_xll.ciqfunctions.udf.CIQ(C167,"IQ_Company_Name")</f>
        <v>Hecla Mining Company</v>
      </c>
      <c r="E167" s="114">
        <f t="shared" si="158"/>
        <v>2024</v>
      </c>
      <c r="F167" s="114" t="str">
        <f t="shared" si="154"/>
        <v>2024-01-01</v>
      </c>
      <c r="G167" s="330" t="str">
        <f t="shared" si="134"/>
        <v>2024-12-31</v>
      </c>
      <c r="H167" s="114">
        <f t="shared" si="111"/>
        <v>12</v>
      </c>
      <c r="I167" s="407" t="str">
        <f t="shared" si="155"/>
        <v>USD</v>
      </c>
      <c r="J167" s="461">
        <f t="shared" ref="J167:J230" si="164">IF($I167="CAD",1,IF($I167="USD",VLOOKUP($E167,$F$9:$G$11,2,FALSE),"N/A"))</f>
        <v>1.3701700000000001</v>
      </c>
      <c r="K167" s="468" t="s">
        <v>468</v>
      </c>
      <c r="L167" s="464" t="s">
        <v>108</v>
      </c>
      <c r="M167" s="217" t="s">
        <v>303</v>
      </c>
      <c r="N167" s="218" t="s">
        <v>304</v>
      </c>
      <c r="O167" s="219">
        <v>326875</v>
      </c>
      <c r="P167" s="422">
        <f t="shared" si="135"/>
        <v>447874.31875000003</v>
      </c>
      <c r="Q167" s="311" t="s">
        <v>78</v>
      </c>
      <c r="R167" s="126" t="str">
        <f t="shared" si="148"/>
        <v>-</v>
      </c>
      <c r="S167" s="221">
        <v>539924</v>
      </c>
      <c r="T167" s="125">
        <f t="shared" si="149"/>
        <v>739787.66708000004</v>
      </c>
      <c r="U167" s="127">
        <f t="shared" si="107"/>
        <v>1.6517751434034416</v>
      </c>
      <c r="V167" s="128">
        <f>IFERROR(AVERAGE(U167:U169),"N/A")</f>
        <v>1.6517751434034416</v>
      </c>
      <c r="W167" s="223">
        <v>1</v>
      </c>
      <c r="X167" s="129">
        <f t="shared" si="108"/>
        <v>447874.31875000003</v>
      </c>
      <c r="Y167" s="124">
        <f t="shared" si="150"/>
        <v>1187661.9858300001</v>
      </c>
      <c r="Z167" s="130">
        <f t="shared" si="151"/>
        <v>895748.63750000007</v>
      </c>
      <c r="AA167" s="221">
        <f>553002*0.5</f>
        <v>276501</v>
      </c>
      <c r="AB167" s="221">
        <f>553002*0.5</f>
        <v>276501</v>
      </c>
      <c r="AC167" s="225" t="s">
        <v>78</v>
      </c>
      <c r="AD167" s="225" t="s">
        <v>78</v>
      </c>
      <c r="AE167" s="225" t="s">
        <v>78</v>
      </c>
      <c r="AF167" s="125">
        <f t="shared" si="152"/>
        <v>553002</v>
      </c>
      <c r="AG167" s="127">
        <f t="shared" si="109"/>
        <v>1.6917843212237094</v>
      </c>
      <c r="AH167" s="128">
        <f>IFERROR(AVERAGE(AG167:AG169),"N/A")</f>
        <v>1.6917843212237094</v>
      </c>
      <c r="AI167" s="223">
        <f>686350/345000</f>
        <v>1.9894202898550724</v>
      </c>
      <c r="AJ167" s="131">
        <f t="shared" si="110"/>
        <v>891010.25702626817</v>
      </c>
      <c r="AK167" s="368">
        <f t="shared" si="138"/>
        <v>757706.75034000003</v>
      </c>
      <c r="AL167" s="375">
        <f t="shared" si="153"/>
        <v>1945368.7361700002</v>
      </c>
      <c r="AM167" s="376">
        <f t="shared" si="115"/>
        <v>1786758.8945262684</v>
      </c>
      <c r="AN167" s="394">
        <v>137919</v>
      </c>
      <c r="AO167" s="395" t="s">
        <v>283</v>
      </c>
      <c r="AP167" s="396">
        <f t="shared" si="159"/>
        <v>188972.47623000003</v>
      </c>
      <c r="AQ167" s="397">
        <f>IFERROR(AVERAGE(AP167:AP169),"N/A")</f>
        <v>188972.47623000003</v>
      </c>
      <c r="AR167" s="401">
        <v>22339</v>
      </c>
      <c r="AS167" s="396">
        <f t="shared" si="160"/>
        <v>30608.227630000001</v>
      </c>
      <c r="AT167" s="397">
        <f>IFERROR(AVERAGE(AS167:AS169),"N/A")</f>
        <v>30608.227630000001</v>
      </c>
      <c r="AU167" s="388">
        <f t="shared" si="116"/>
        <v>2164949.4400300002</v>
      </c>
      <c r="AV167" s="389">
        <f t="shared" si="117"/>
        <v>2006339.5983862686</v>
      </c>
      <c r="AW167" s="425" t="s">
        <v>454</v>
      </c>
      <c r="AX167" s="403" t="s">
        <v>275</v>
      </c>
      <c r="AY167" s="404" t="s">
        <v>276</v>
      </c>
      <c r="AZ167" s="1" t="s">
        <v>451</v>
      </c>
    </row>
    <row r="168" spans="1:52" ht="15" customHeight="1">
      <c r="A168" s="1" t="str">
        <f t="shared" si="157"/>
        <v>NYSE:HL_2023_Legal</v>
      </c>
      <c r="B168" s="1" t="str">
        <f t="shared" si="163"/>
        <v>NYSE:HL_2023_NEO2</v>
      </c>
      <c r="C168" s="114" t="str">
        <f t="shared" si="128"/>
        <v>NYSE:HL</v>
      </c>
      <c r="D168" s="133" t="str">
        <f>_xll.ciqfunctions.udf.CIQ(C168,"IQ_Company_Name")</f>
        <v>Hecla Mining Company</v>
      </c>
      <c r="E168" s="114">
        <f t="shared" si="158"/>
        <v>2023</v>
      </c>
      <c r="F168" s="114" t="str">
        <f t="shared" si="154"/>
        <v>2023-01-01</v>
      </c>
      <c r="G168" s="330" t="str">
        <f t="shared" si="134"/>
        <v>2023-12-31</v>
      </c>
      <c r="H168" s="114">
        <f t="shared" si="111"/>
        <v>12</v>
      </c>
      <c r="I168" s="407" t="str">
        <f t="shared" si="155"/>
        <v>USD</v>
      </c>
      <c r="J168" s="461">
        <f t="shared" si="164"/>
        <v>1.34954</v>
      </c>
      <c r="K168" s="468" t="s">
        <v>468</v>
      </c>
      <c r="L168" s="465" t="str">
        <f t="shared" ref="L168:N169" si="165">L167</f>
        <v>NEO2</v>
      </c>
      <c r="M168" s="123" t="str">
        <f t="shared" si="165"/>
        <v>SVP &amp; General Counsel and Corporate Secretary</v>
      </c>
      <c r="N168" s="132" t="str">
        <f t="shared" si="165"/>
        <v>David C. Sienko</v>
      </c>
      <c r="O168" s="219" t="s">
        <v>78</v>
      </c>
      <c r="P168" s="125" t="str">
        <f t="shared" si="135"/>
        <v>-</v>
      </c>
      <c r="Q168" s="311" t="s">
        <v>78</v>
      </c>
      <c r="R168" s="126" t="str">
        <f t="shared" si="148"/>
        <v>-</v>
      </c>
      <c r="S168" s="221" t="s">
        <v>78</v>
      </c>
      <c r="T168" s="125" t="str">
        <f t="shared" si="149"/>
        <v>-</v>
      </c>
      <c r="U168" s="127" t="str">
        <f t="shared" si="107"/>
        <v>-</v>
      </c>
      <c r="V168" s="128"/>
      <c r="W168" s="223" t="s">
        <v>78</v>
      </c>
      <c r="X168" s="129" t="str">
        <f t="shared" si="108"/>
        <v>-</v>
      </c>
      <c r="Y168" s="124" t="str">
        <f t="shared" si="150"/>
        <v>-</v>
      </c>
      <c r="Z168" s="130" t="str">
        <f t="shared" si="151"/>
        <v>-</v>
      </c>
      <c r="AA168" s="426" t="s">
        <v>78</v>
      </c>
      <c r="AB168" s="426" t="s">
        <v>78</v>
      </c>
      <c r="AC168" s="225" t="s">
        <v>78</v>
      </c>
      <c r="AD168" s="225" t="s">
        <v>78</v>
      </c>
      <c r="AE168" s="225" t="s">
        <v>78</v>
      </c>
      <c r="AF168" s="125" t="str">
        <f t="shared" si="152"/>
        <v>-</v>
      </c>
      <c r="AG168" s="127" t="str">
        <f t="shared" si="109"/>
        <v>-</v>
      </c>
      <c r="AH168" s="128"/>
      <c r="AI168" s="223" t="s">
        <v>78</v>
      </c>
      <c r="AJ168" s="131" t="str">
        <f t="shared" si="110"/>
        <v>-</v>
      </c>
      <c r="AK168" s="368" t="str">
        <f t="shared" si="138"/>
        <v>-</v>
      </c>
      <c r="AL168" s="375" t="str">
        <f t="shared" si="153"/>
        <v>-</v>
      </c>
      <c r="AM168" s="376" t="str">
        <f t="shared" si="115"/>
        <v>-</v>
      </c>
      <c r="AN168" s="394" t="s">
        <v>78</v>
      </c>
      <c r="AO168" s="395" t="s">
        <v>78</v>
      </c>
      <c r="AP168" s="396" t="str">
        <f t="shared" si="159"/>
        <v>-</v>
      </c>
      <c r="AQ168" s="397"/>
      <c r="AR168" s="401" t="s">
        <v>78</v>
      </c>
      <c r="AS168" s="396" t="str">
        <f t="shared" si="160"/>
        <v>-</v>
      </c>
      <c r="AT168" s="397"/>
      <c r="AU168" s="388" t="str">
        <f t="shared" si="116"/>
        <v>-</v>
      </c>
      <c r="AV168" s="389" t="str">
        <f t="shared" si="117"/>
        <v>-</v>
      </c>
      <c r="AW168" s="353" t="s">
        <v>78</v>
      </c>
      <c r="AX168" s="403" t="s">
        <v>275</v>
      </c>
      <c r="AY168" s="404" t="s">
        <v>276</v>
      </c>
      <c r="AZ168" s="1" t="s">
        <v>451</v>
      </c>
    </row>
    <row r="169" spans="1:52" ht="15" customHeight="1">
      <c r="A169" s="1" t="str">
        <f t="shared" si="157"/>
        <v>NYSE:HL_2022_Legal</v>
      </c>
      <c r="B169" s="1" t="str">
        <f t="shared" si="163"/>
        <v>NYSE:HL_2022_NEO2</v>
      </c>
      <c r="C169" s="114" t="str">
        <f t="shared" si="128"/>
        <v>NYSE:HL</v>
      </c>
      <c r="D169" s="133" t="str">
        <f>_xll.ciqfunctions.udf.CIQ(C169,"IQ_Company_Name")</f>
        <v>Hecla Mining Company</v>
      </c>
      <c r="E169" s="114">
        <f t="shared" si="158"/>
        <v>2022</v>
      </c>
      <c r="F169" s="114" t="str">
        <f t="shared" si="154"/>
        <v>2022-01-01</v>
      </c>
      <c r="G169" s="330" t="str">
        <f t="shared" si="134"/>
        <v>2022-12-31</v>
      </c>
      <c r="H169" s="114">
        <f t="shared" si="111"/>
        <v>12</v>
      </c>
      <c r="I169" s="407" t="str">
        <f t="shared" si="155"/>
        <v>USD</v>
      </c>
      <c r="J169" s="461">
        <f t="shared" si="164"/>
        <v>1.30175</v>
      </c>
      <c r="K169" s="468" t="s">
        <v>468</v>
      </c>
      <c r="L169" s="465" t="str">
        <f t="shared" si="165"/>
        <v>NEO2</v>
      </c>
      <c r="M169" s="123" t="str">
        <f t="shared" si="165"/>
        <v>SVP &amp; General Counsel and Corporate Secretary</v>
      </c>
      <c r="N169" s="132" t="str">
        <f t="shared" si="165"/>
        <v>David C. Sienko</v>
      </c>
      <c r="O169" s="219" t="s">
        <v>78</v>
      </c>
      <c r="P169" s="125" t="str">
        <f t="shared" si="135"/>
        <v>-</v>
      </c>
      <c r="Q169" s="311" t="s">
        <v>78</v>
      </c>
      <c r="R169" s="126" t="str">
        <f t="shared" si="148"/>
        <v>-</v>
      </c>
      <c r="S169" s="221" t="s">
        <v>78</v>
      </c>
      <c r="T169" s="125" t="str">
        <f t="shared" si="149"/>
        <v>-</v>
      </c>
      <c r="U169" s="127" t="str">
        <f t="shared" si="107"/>
        <v>-</v>
      </c>
      <c r="V169" s="128"/>
      <c r="W169" s="223" t="s">
        <v>78</v>
      </c>
      <c r="X169" s="129" t="str">
        <f t="shared" si="108"/>
        <v>-</v>
      </c>
      <c r="Y169" s="124" t="str">
        <f t="shared" si="150"/>
        <v>-</v>
      </c>
      <c r="Z169" s="130" t="str">
        <f t="shared" si="151"/>
        <v>-</v>
      </c>
      <c r="AA169" s="221" t="s">
        <v>78</v>
      </c>
      <c r="AB169" s="221" t="s">
        <v>78</v>
      </c>
      <c r="AC169" s="225" t="s">
        <v>78</v>
      </c>
      <c r="AD169" s="225" t="s">
        <v>78</v>
      </c>
      <c r="AE169" s="225" t="s">
        <v>78</v>
      </c>
      <c r="AF169" s="125" t="str">
        <f t="shared" si="152"/>
        <v>-</v>
      </c>
      <c r="AG169" s="127" t="str">
        <f t="shared" si="109"/>
        <v>-</v>
      </c>
      <c r="AH169" s="128"/>
      <c r="AI169" s="223" t="s">
        <v>78</v>
      </c>
      <c r="AJ169" s="131" t="str">
        <f t="shared" si="110"/>
        <v>-</v>
      </c>
      <c r="AK169" s="368" t="str">
        <f t="shared" si="138"/>
        <v>-</v>
      </c>
      <c r="AL169" s="375" t="str">
        <f t="shared" si="153"/>
        <v>-</v>
      </c>
      <c r="AM169" s="376" t="str">
        <f t="shared" si="115"/>
        <v>-</v>
      </c>
      <c r="AN169" s="394" t="s">
        <v>78</v>
      </c>
      <c r="AO169" s="395" t="s">
        <v>78</v>
      </c>
      <c r="AP169" s="396" t="str">
        <f t="shared" si="159"/>
        <v>-</v>
      </c>
      <c r="AQ169" s="397"/>
      <c r="AR169" s="401" t="s">
        <v>78</v>
      </c>
      <c r="AS169" s="396" t="str">
        <f t="shared" si="160"/>
        <v>-</v>
      </c>
      <c r="AT169" s="397"/>
      <c r="AU169" s="388" t="str">
        <f t="shared" si="116"/>
        <v>-</v>
      </c>
      <c r="AV169" s="389" t="str">
        <f t="shared" si="117"/>
        <v>-</v>
      </c>
      <c r="AW169" s="353" t="s">
        <v>78</v>
      </c>
      <c r="AX169" s="403" t="s">
        <v>275</v>
      </c>
      <c r="AY169" s="404" t="s">
        <v>276</v>
      </c>
      <c r="AZ169" s="1" t="s">
        <v>451</v>
      </c>
    </row>
    <row r="170" spans="1:52" ht="15" customHeight="1">
      <c r="A170" s="1" t="str">
        <f t="shared" si="157"/>
        <v>NYSE:HL_2024_</v>
      </c>
      <c r="B170" s="1" t="str">
        <f t="shared" si="163"/>
        <v>NYSE:HL_2024_NEO3</v>
      </c>
      <c r="C170" s="114" t="str">
        <f t="shared" si="128"/>
        <v>NYSE:HL</v>
      </c>
      <c r="D170" s="133" t="str">
        <f>_xll.ciqfunctions.udf.CIQ(C170,"IQ_Company_Name")</f>
        <v>Hecla Mining Company</v>
      </c>
      <c r="E170" s="114">
        <f t="shared" si="158"/>
        <v>2024</v>
      </c>
      <c r="F170" s="114" t="str">
        <f t="shared" si="154"/>
        <v>2024-01-01</v>
      </c>
      <c r="G170" s="330" t="str">
        <f t="shared" si="134"/>
        <v>2024-12-31</v>
      </c>
      <c r="H170" s="114">
        <f t="shared" si="111"/>
        <v>12</v>
      </c>
      <c r="I170" s="407" t="str">
        <f t="shared" si="155"/>
        <v>USD</v>
      </c>
      <c r="J170" s="461">
        <f t="shared" si="164"/>
        <v>1.3701700000000001</v>
      </c>
      <c r="K170" s="468"/>
      <c r="L170" s="464" t="s">
        <v>109</v>
      </c>
      <c r="M170" s="217" t="s">
        <v>305</v>
      </c>
      <c r="N170" s="218" t="s">
        <v>306</v>
      </c>
      <c r="O170" s="219">
        <v>330000</v>
      </c>
      <c r="P170" s="125">
        <f t="shared" si="135"/>
        <v>452156.10000000003</v>
      </c>
      <c r="Q170" s="311" t="s">
        <v>78</v>
      </c>
      <c r="R170" s="126" t="str">
        <f t="shared" si="148"/>
        <v>-</v>
      </c>
      <c r="S170" s="221">
        <v>434774</v>
      </c>
      <c r="T170" s="125">
        <f t="shared" si="149"/>
        <v>595714.29158000008</v>
      </c>
      <c r="U170" s="127">
        <f t="shared" si="107"/>
        <v>1.3174969696969698</v>
      </c>
      <c r="V170" s="128">
        <f>IFERROR(AVERAGE(U170:U172),"N/A")</f>
        <v>1.7445439071566728</v>
      </c>
      <c r="W170" s="223">
        <v>0.7</v>
      </c>
      <c r="X170" s="129">
        <f t="shared" si="108"/>
        <v>316509.27</v>
      </c>
      <c r="Y170" s="124">
        <f t="shared" si="150"/>
        <v>1047870.3915800001</v>
      </c>
      <c r="Z170" s="130">
        <f t="shared" si="151"/>
        <v>768665.37000000011</v>
      </c>
      <c r="AA170" s="221">
        <f>506118*0.5</f>
        <v>253059</v>
      </c>
      <c r="AB170" s="221">
        <f>506118*0.5</f>
        <v>253059</v>
      </c>
      <c r="AC170" s="225" t="s">
        <v>78</v>
      </c>
      <c r="AD170" s="225" t="s">
        <v>78</v>
      </c>
      <c r="AE170" s="225" t="s">
        <v>78</v>
      </c>
      <c r="AF170" s="125">
        <f t="shared" si="152"/>
        <v>506118</v>
      </c>
      <c r="AG170" s="127">
        <f t="shared" si="109"/>
        <v>1.5336909090909092</v>
      </c>
      <c r="AH170" s="128">
        <f>IFERROR(AVERAGE(AG170:AG172),"N/A")</f>
        <v>1.1200167603082496</v>
      </c>
      <c r="AI170" s="223">
        <f>625350/330000</f>
        <v>1.895</v>
      </c>
      <c r="AJ170" s="131">
        <f t="shared" si="110"/>
        <v>856835.80950000009</v>
      </c>
      <c r="AK170" s="368">
        <f t="shared" si="138"/>
        <v>693467.70006000006</v>
      </c>
      <c r="AL170" s="375">
        <f t="shared" si="153"/>
        <v>1741338.0916400002</v>
      </c>
      <c r="AM170" s="376">
        <f t="shared" si="115"/>
        <v>1625501.1795000001</v>
      </c>
      <c r="AN170" s="394">
        <v>75461</v>
      </c>
      <c r="AO170" s="395" t="s">
        <v>283</v>
      </c>
      <c r="AP170" s="396">
        <f t="shared" si="159"/>
        <v>103394.39837000001</v>
      </c>
      <c r="AQ170" s="397">
        <f>IFERROR(AVERAGE(AP170:AP172),"N/A")</f>
        <v>73202.895310000007</v>
      </c>
      <c r="AR170" s="401">
        <v>7987</v>
      </c>
      <c r="AS170" s="396">
        <f t="shared" si="160"/>
        <v>10943.547790000001</v>
      </c>
      <c r="AT170" s="397">
        <f>IFERROR(AVERAGE(AS170:AS172),"N/A")</f>
        <v>16134.721226666667</v>
      </c>
      <c r="AU170" s="388">
        <f t="shared" si="116"/>
        <v>1855676.0378000003</v>
      </c>
      <c r="AV170" s="389">
        <f t="shared" si="117"/>
        <v>1739839.1256600001</v>
      </c>
      <c r="AW170" s="353" t="s">
        <v>307</v>
      </c>
      <c r="AX170" s="403" t="s">
        <v>275</v>
      </c>
      <c r="AY170" s="404" t="s">
        <v>276</v>
      </c>
      <c r="AZ170" s="1" t="s">
        <v>451</v>
      </c>
    </row>
    <row r="171" spans="1:52" ht="15" customHeight="1">
      <c r="A171" s="1" t="str">
        <f t="shared" si="157"/>
        <v>NYSE:HL_2023_</v>
      </c>
      <c r="B171" s="1" t="str">
        <f t="shared" si="163"/>
        <v>NYSE:HL_2023_NEO3</v>
      </c>
      <c r="C171" s="114" t="str">
        <f t="shared" si="128"/>
        <v>NYSE:HL</v>
      </c>
      <c r="D171" s="133" t="str">
        <f>_xll.ciqfunctions.udf.CIQ(C171,"IQ_Company_Name")</f>
        <v>Hecla Mining Company</v>
      </c>
      <c r="E171" s="114">
        <f t="shared" si="158"/>
        <v>2023</v>
      </c>
      <c r="F171" s="114" t="str">
        <f t="shared" si="154"/>
        <v>2023-01-01</v>
      </c>
      <c r="G171" s="330" t="str">
        <f t="shared" si="134"/>
        <v>2023-12-31</v>
      </c>
      <c r="H171" s="114">
        <f t="shared" si="111"/>
        <v>12</v>
      </c>
      <c r="I171" s="407" t="str">
        <f t="shared" si="155"/>
        <v>USD</v>
      </c>
      <c r="J171" s="461">
        <f t="shared" si="164"/>
        <v>1.34954</v>
      </c>
      <c r="K171" s="468"/>
      <c r="L171" s="465" t="str">
        <f t="shared" ref="L171:N172" si="166">L170</f>
        <v>NEO3</v>
      </c>
      <c r="M171" s="123" t="str">
        <f t="shared" si="166"/>
        <v>VP, Corporate Development</v>
      </c>
      <c r="N171" s="132" t="str">
        <f t="shared" si="166"/>
        <v>Robert D. Brown</v>
      </c>
      <c r="O171" s="219">
        <v>315000</v>
      </c>
      <c r="P171" s="125">
        <f t="shared" si="135"/>
        <v>425105.1</v>
      </c>
      <c r="Q171" s="311" t="s">
        <v>78</v>
      </c>
      <c r="R171" s="126" t="str">
        <f t="shared" si="148"/>
        <v>-</v>
      </c>
      <c r="S171" s="221">
        <v>383250</v>
      </c>
      <c r="T171" s="125">
        <f t="shared" si="149"/>
        <v>517211.20499999996</v>
      </c>
      <c r="U171" s="127">
        <f t="shared" si="107"/>
        <v>1.2166666666666666</v>
      </c>
      <c r="V171" s="128"/>
      <c r="W171" s="223" t="s">
        <v>78</v>
      </c>
      <c r="X171" s="129">
        <f t="shared" si="108"/>
        <v>0</v>
      </c>
      <c r="Y171" s="124">
        <f t="shared" si="150"/>
        <v>942316.30499999993</v>
      </c>
      <c r="Z171" s="130">
        <f t="shared" si="151"/>
        <v>425105.1</v>
      </c>
      <c r="AA171" s="221">
        <f>275679*0.5</f>
        <v>137839.5</v>
      </c>
      <c r="AB171" s="221">
        <f>275679*0.5</f>
        <v>137839.5</v>
      </c>
      <c r="AC171" s="225" t="s">
        <v>78</v>
      </c>
      <c r="AD171" s="225" t="s">
        <v>78</v>
      </c>
      <c r="AE171" s="225" t="s">
        <v>78</v>
      </c>
      <c r="AF171" s="125">
        <f t="shared" si="152"/>
        <v>275679</v>
      </c>
      <c r="AG171" s="127">
        <f t="shared" si="109"/>
        <v>0.87517142857142849</v>
      </c>
      <c r="AH171" s="128"/>
      <c r="AI171" s="223" t="s">
        <v>78</v>
      </c>
      <c r="AJ171" s="131">
        <f t="shared" si="110"/>
        <v>0</v>
      </c>
      <c r="AK171" s="368">
        <f t="shared" si="138"/>
        <v>372039.83765999996</v>
      </c>
      <c r="AL171" s="375">
        <f t="shared" si="153"/>
        <v>1314356.1426599999</v>
      </c>
      <c r="AM171" s="376">
        <f t="shared" si="115"/>
        <v>425105.1</v>
      </c>
      <c r="AN171" s="394">
        <v>86114</v>
      </c>
      <c r="AO171" s="395" t="s">
        <v>283</v>
      </c>
      <c r="AP171" s="396">
        <f t="shared" si="159"/>
        <v>116214.28756</v>
      </c>
      <c r="AQ171" s="397"/>
      <c r="AR171" s="401">
        <v>8066</v>
      </c>
      <c r="AS171" s="396">
        <f t="shared" si="160"/>
        <v>10885.389639999999</v>
      </c>
      <c r="AT171" s="397"/>
      <c r="AU171" s="388">
        <f t="shared" si="116"/>
        <v>1441455.8198599999</v>
      </c>
      <c r="AV171" s="389">
        <f t="shared" si="117"/>
        <v>552204.77719999989</v>
      </c>
      <c r="AW171" s="353" t="s">
        <v>78</v>
      </c>
      <c r="AX171" s="403" t="s">
        <v>275</v>
      </c>
      <c r="AY171" s="404" t="s">
        <v>276</v>
      </c>
      <c r="AZ171" s="1" t="s">
        <v>451</v>
      </c>
    </row>
    <row r="172" spans="1:52" ht="15" customHeight="1">
      <c r="A172" s="1" t="str">
        <f t="shared" si="157"/>
        <v>NYSE:HL_2022_</v>
      </c>
      <c r="B172" s="1" t="str">
        <f t="shared" si="163"/>
        <v>NYSE:HL_2022_NEO3</v>
      </c>
      <c r="C172" s="203" t="str">
        <f t="shared" si="128"/>
        <v>NYSE:HL</v>
      </c>
      <c r="D172" s="205" t="str">
        <f>_xll.ciqfunctions.udf.CIQ(C172,"IQ_Company_Name")</f>
        <v>Hecla Mining Company</v>
      </c>
      <c r="E172" s="204">
        <f t="shared" si="158"/>
        <v>2022</v>
      </c>
      <c r="F172" s="204" t="str">
        <f t="shared" si="154"/>
        <v>2022-01-01</v>
      </c>
      <c r="G172" s="331" t="str">
        <f t="shared" si="134"/>
        <v>2022-12-31</v>
      </c>
      <c r="H172" s="204">
        <f t="shared" si="111"/>
        <v>12</v>
      </c>
      <c r="I172" s="408" t="str">
        <f t="shared" si="155"/>
        <v>USD</v>
      </c>
      <c r="J172" s="463">
        <f t="shared" si="164"/>
        <v>1.30175</v>
      </c>
      <c r="K172" s="470"/>
      <c r="L172" s="466" t="str">
        <f t="shared" si="166"/>
        <v>NEO3</v>
      </c>
      <c r="M172" s="206" t="str">
        <f t="shared" si="166"/>
        <v>VP, Corporate Development</v>
      </c>
      <c r="N172" s="207" t="str">
        <f t="shared" si="166"/>
        <v>Robert D. Brown</v>
      </c>
      <c r="O172" s="220">
        <v>282000</v>
      </c>
      <c r="P172" s="209">
        <f>IFERROR(O172*(12/$H172)*$J172,"-")</f>
        <v>367093.5</v>
      </c>
      <c r="Q172" s="312" t="s">
        <v>78</v>
      </c>
      <c r="R172" s="329" t="str">
        <f t="shared" si="148"/>
        <v>-</v>
      </c>
      <c r="S172" s="222">
        <v>761250</v>
      </c>
      <c r="T172" s="209">
        <f t="shared" si="149"/>
        <v>990957.1875</v>
      </c>
      <c r="U172" s="211">
        <f t="shared" si="107"/>
        <v>2.6994680851063828</v>
      </c>
      <c r="V172" s="212"/>
      <c r="W172" s="224" t="s">
        <v>78</v>
      </c>
      <c r="X172" s="213">
        <f t="shared" si="108"/>
        <v>0</v>
      </c>
      <c r="Y172" s="208">
        <f t="shared" si="150"/>
        <v>1358050.6875</v>
      </c>
      <c r="Z172" s="214">
        <f t="shared" si="151"/>
        <v>367093.5</v>
      </c>
      <c r="AA172" s="222">
        <f>268235*0.5</f>
        <v>134117.5</v>
      </c>
      <c r="AB172" s="222">
        <f>268235*0.5</f>
        <v>134117.5</v>
      </c>
      <c r="AC172" s="226" t="s">
        <v>78</v>
      </c>
      <c r="AD172" s="226" t="s">
        <v>78</v>
      </c>
      <c r="AE172" s="226" t="s">
        <v>78</v>
      </c>
      <c r="AF172" s="420">
        <f t="shared" si="152"/>
        <v>268235</v>
      </c>
      <c r="AG172" s="211">
        <f t="shared" si="109"/>
        <v>0.95118794326241141</v>
      </c>
      <c r="AH172" s="212"/>
      <c r="AI172" s="224" t="s">
        <v>78</v>
      </c>
      <c r="AJ172" s="215">
        <f t="shared" si="110"/>
        <v>0</v>
      </c>
      <c r="AK172" s="369">
        <f t="shared" si="138"/>
        <v>349174.91125</v>
      </c>
      <c r="AL172" s="377">
        <f t="shared" si="153"/>
        <v>1707225.5987499999</v>
      </c>
      <c r="AM172" s="378">
        <f t="shared" si="115"/>
        <v>367093.5</v>
      </c>
      <c r="AN172" s="942">
        <v>0</v>
      </c>
      <c r="AO172" s="399" t="s">
        <v>78</v>
      </c>
      <c r="AP172" s="396">
        <f t="shared" si="159"/>
        <v>0</v>
      </c>
      <c r="AQ172" s="400"/>
      <c r="AR172" s="402">
        <v>20415</v>
      </c>
      <c r="AS172" s="396">
        <f t="shared" si="160"/>
        <v>26575.22625</v>
      </c>
      <c r="AT172" s="400"/>
      <c r="AU172" s="390">
        <f t="shared" si="116"/>
        <v>1733800.825</v>
      </c>
      <c r="AV172" s="391">
        <f t="shared" si="117"/>
        <v>393668.72625000001</v>
      </c>
      <c r="AW172" s="354" t="s">
        <v>78</v>
      </c>
      <c r="AX172" s="405" t="s">
        <v>275</v>
      </c>
      <c r="AY172" s="406" t="s">
        <v>276</v>
      </c>
      <c r="AZ172" s="1" t="s">
        <v>451</v>
      </c>
    </row>
    <row r="173" spans="1:52" ht="15" customHeight="1">
      <c r="A173" s="1" t="str">
        <f t="shared" si="157"/>
        <v>TSX:NGD_2024_</v>
      </c>
      <c r="B173" s="1" t="str">
        <f t="shared" si="163"/>
        <v>TSX:NGD_2024_CEO</v>
      </c>
      <c r="C173" s="216" t="str">
        <f>D13</f>
        <v>TSX:NGD</v>
      </c>
      <c r="D173" s="133" t="str">
        <f>_xll.ciqfunctions.udf.CIQ(C173,"IQ_Company_Name")</f>
        <v>New Gold Inc.</v>
      </c>
      <c r="E173" s="328">
        <f>$F$9</f>
        <v>2024</v>
      </c>
      <c r="F173" s="330" t="str">
        <f t="shared" si="105"/>
        <v>2024-01-01</v>
      </c>
      <c r="G173" s="330" t="str">
        <f t="shared" si="134"/>
        <v>2024-12-31</v>
      </c>
      <c r="H173" s="114">
        <f t="shared" si="111"/>
        <v>12</v>
      </c>
      <c r="I173" s="328" t="str">
        <f>$G$5</f>
        <v>CAD</v>
      </c>
      <c r="J173" s="461">
        <f t="shared" si="164"/>
        <v>1</v>
      </c>
      <c r="K173" s="468"/>
      <c r="L173" s="464" t="s">
        <v>79</v>
      </c>
      <c r="M173" s="217" t="s">
        <v>272</v>
      </c>
      <c r="N173" s="218" t="s">
        <v>418</v>
      </c>
      <c r="O173" s="219">
        <v>850000</v>
      </c>
      <c r="P173" s="125">
        <f t="shared" si="135"/>
        <v>850000</v>
      </c>
      <c r="Q173" s="311" t="s">
        <v>78</v>
      </c>
      <c r="R173" s="126" t="str">
        <f t="shared" si="136"/>
        <v>-</v>
      </c>
      <c r="S173" s="221">
        <v>1359150</v>
      </c>
      <c r="T173" s="125">
        <f t="shared" si="137"/>
        <v>1359150</v>
      </c>
      <c r="U173" s="127">
        <f t="shared" si="107"/>
        <v>1.599</v>
      </c>
      <c r="V173" s="128">
        <f>IFERROR(AVERAGE(U173:U175),"N/A")</f>
        <v>1.4324955009816993</v>
      </c>
      <c r="W173" s="223">
        <v>1.3</v>
      </c>
      <c r="X173" s="129">
        <f t="shared" si="108"/>
        <v>1105000</v>
      </c>
      <c r="Y173" s="124">
        <f t="shared" si="112"/>
        <v>2209150</v>
      </c>
      <c r="Z173" s="130">
        <f t="shared" si="113"/>
        <v>1955000</v>
      </c>
      <c r="AA173" s="221">
        <v>850000</v>
      </c>
      <c r="AB173" s="225">
        <v>1275000</v>
      </c>
      <c r="AC173" s="225" t="s">
        <v>78</v>
      </c>
      <c r="AD173" s="225" t="s">
        <v>78</v>
      </c>
      <c r="AE173" s="225" t="s">
        <v>78</v>
      </c>
      <c r="AF173" s="125">
        <f t="shared" ref="AF173:AF187" si="167">IFERROR(IF(SUM(AA173:AE173)=0,IF(COUNTIF($AA173:$AE173,"=0")&gt;0,"$0","-"),SUM(AA173:AE173)),"-")</f>
        <v>2125000</v>
      </c>
      <c r="AG173" s="127">
        <f t="shared" si="109"/>
        <v>2.5</v>
      </c>
      <c r="AH173" s="128">
        <f>IFERROR(AVERAGE(AG173:AG175),"N/A")</f>
        <v>2.8454521428571429</v>
      </c>
      <c r="AI173" s="223">
        <v>2.5</v>
      </c>
      <c r="AJ173" s="131">
        <f t="shared" si="110"/>
        <v>2125000</v>
      </c>
      <c r="AK173" s="368">
        <f t="shared" si="138"/>
        <v>2125000</v>
      </c>
      <c r="AL173" s="375">
        <f t="shared" si="114"/>
        <v>4334150</v>
      </c>
      <c r="AM173" s="376">
        <f t="shared" si="115"/>
        <v>4080000</v>
      </c>
      <c r="AN173" s="394" t="s">
        <v>801</v>
      </c>
      <c r="AO173" s="395" t="s">
        <v>801</v>
      </c>
      <c r="AP173" s="396" t="str">
        <f t="shared" si="159"/>
        <v>-</v>
      </c>
      <c r="AQ173" s="409" t="str">
        <f>IFERROR(AVERAGE(AP173:AP175),"N/A")</f>
        <v>N/A</v>
      </c>
      <c r="AR173" s="401">
        <v>15780</v>
      </c>
      <c r="AS173" s="396">
        <f t="shared" si="160"/>
        <v>15780</v>
      </c>
      <c r="AT173" s="409">
        <f>IFERROR(AVERAGE(AS173:AS175),"N/A")</f>
        <v>13274.666666666666</v>
      </c>
      <c r="AU173" s="388">
        <f t="shared" si="116"/>
        <v>4349930</v>
      </c>
      <c r="AV173" s="389">
        <f t="shared" si="117"/>
        <v>4095780</v>
      </c>
      <c r="AW173" s="353" t="s">
        <v>78</v>
      </c>
      <c r="AX173" s="403" t="s">
        <v>358</v>
      </c>
      <c r="AY173" s="404" t="s">
        <v>451</v>
      </c>
    </row>
    <row r="174" spans="1:52" ht="15" customHeight="1">
      <c r="A174" s="1" t="str">
        <f t="shared" si="157"/>
        <v>TSX:NGD_2023_</v>
      </c>
      <c r="B174" s="1" t="str">
        <f t="shared" si="163"/>
        <v>TSX:NGD_2023_CEO</v>
      </c>
      <c r="C174" s="114" t="str">
        <f>C173</f>
        <v>TSX:NGD</v>
      </c>
      <c r="D174" s="133" t="str">
        <f>_xll.ciqfunctions.udf.CIQ(C174,"IQ_Company_Name")</f>
        <v>New Gold Inc.</v>
      </c>
      <c r="E174" s="328">
        <f>$F$10</f>
        <v>2023</v>
      </c>
      <c r="F174" s="330" t="str">
        <f t="shared" si="105"/>
        <v>2023-01-01</v>
      </c>
      <c r="G174" s="330" t="str">
        <f t="shared" si="134"/>
        <v>2023-12-31</v>
      </c>
      <c r="H174" s="114">
        <f t="shared" si="111"/>
        <v>12</v>
      </c>
      <c r="I174" s="407" t="str">
        <f>I173</f>
        <v>CAD</v>
      </c>
      <c r="J174" s="461">
        <f t="shared" si="164"/>
        <v>1</v>
      </c>
      <c r="K174" s="468"/>
      <c r="L174" s="465" t="str">
        <f t="shared" ref="L174:N175" si="168">L173</f>
        <v>CEO</v>
      </c>
      <c r="M174" s="123" t="str">
        <f t="shared" si="168"/>
        <v>President &amp; CEO</v>
      </c>
      <c r="N174" s="132" t="str">
        <f t="shared" si="168"/>
        <v>Patrick Godin</v>
      </c>
      <c r="O174" s="219">
        <v>700000</v>
      </c>
      <c r="P174" s="125">
        <f t="shared" si="135"/>
        <v>700000</v>
      </c>
      <c r="Q174" s="311" t="s">
        <v>78</v>
      </c>
      <c r="R174" s="126" t="str">
        <f t="shared" si="136"/>
        <v>-</v>
      </c>
      <c r="S174" s="221">
        <v>1155000</v>
      </c>
      <c r="T174" s="125">
        <f t="shared" si="137"/>
        <v>1155000</v>
      </c>
      <c r="U174" s="127">
        <f t="shared" si="107"/>
        <v>1.65</v>
      </c>
      <c r="V174" s="128"/>
      <c r="W174" s="223" t="s">
        <v>78</v>
      </c>
      <c r="X174" s="129">
        <f t="shared" si="108"/>
        <v>0</v>
      </c>
      <c r="Y174" s="124">
        <f t="shared" si="112"/>
        <v>1855000</v>
      </c>
      <c r="Z174" s="130">
        <f t="shared" si="113"/>
        <v>700000</v>
      </c>
      <c r="AA174" s="221">
        <f>2233633*0.4</f>
        <v>893453.20000000007</v>
      </c>
      <c r="AB174" s="221">
        <f>2233633*0.6</f>
        <v>1340179.8</v>
      </c>
      <c r="AC174" s="225" t="s">
        <v>78</v>
      </c>
      <c r="AD174" s="225" t="s">
        <v>78</v>
      </c>
      <c r="AE174" s="225" t="s">
        <v>78</v>
      </c>
      <c r="AF174" s="125">
        <f t="shared" si="167"/>
        <v>2233633</v>
      </c>
      <c r="AG174" s="127">
        <f t="shared" si="109"/>
        <v>3.1909042857142857</v>
      </c>
      <c r="AH174" s="128"/>
      <c r="AI174" s="223" t="s">
        <v>78</v>
      </c>
      <c r="AJ174" s="131">
        <f t="shared" si="110"/>
        <v>0</v>
      </c>
      <c r="AK174" s="368">
        <f t="shared" si="138"/>
        <v>2233633</v>
      </c>
      <c r="AL174" s="375">
        <f t="shared" si="114"/>
        <v>4088633</v>
      </c>
      <c r="AM174" s="376">
        <f t="shared" si="115"/>
        <v>700000</v>
      </c>
      <c r="AN174" s="394" t="s">
        <v>801</v>
      </c>
      <c r="AO174" s="395" t="s">
        <v>801</v>
      </c>
      <c r="AP174" s="396" t="str">
        <f t="shared" si="159"/>
        <v>-</v>
      </c>
      <c r="AQ174" s="397"/>
      <c r="AR174" s="401">
        <v>14082</v>
      </c>
      <c r="AS174" s="396">
        <f t="shared" si="160"/>
        <v>14082</v>
      </c>
      <c r="AT174" s="397"/>
      <c r="AU174" s="388">
        <f t="shared" si="116"/>
        <v>4102715</v>
      </c>
      <c r="AV174" s="389">
        <f t="shared" si="117"/>
        <v>714082</v>
      </c>
      <c r="AW174" s="353" t="s">
        <v>78</v>
      </c>
      <c r="AX174" s="403" t="s">
        <v>358</v>
      </c>
      <c r="AY174" s="404" t="s">
        <v>451</v>
      </c>
    </row>
    <row r="175" spans="1:52" ht="15" customHeight="1">
      <c r="A175" s="1" t="str">
        <f t="shared" si="157"/>
        <v>TSX:NGD_2022_</v>
      </c>
      <c r="B175" s="1" t="str">
        <f t="shared" si="163"/>
        <v>TSX:NGD_2022_CEO</v>
      </c>
      <c r="C175" s="114" t="str">
        <f t="shared" si="128"/>
        <v>TSX:NGD</v>
      </c>
      <c r="D175" s="133" t="str">
        <f>_xll.ciqfunctions.udf.CIQ(C175,"IQ_Company_Name")</f>
        <v>New Gold Inc.</v>
      </c>
      <c r="E175" s="328">
        <f>$F$11</f>
        <v>2022</v>
      </c>
      <c r="F175" s="114" t="str">
        <f t="shared" si="105"/>
        <v>2022-01-01</v>
      </c>
      <c r="G175" s="330" t="str">
        <f t="shared" si="134"/>
        <v>2022-12-31</v>
      </c>
      <c r="H175" s="114">
        <f t="shared" si="111"/>
        <v>12</v>
      </c>
      <c r="I175" s="407" t="str">
        <f>I174</f>
        <v>CAD</v>
      </c>
      <c r="J175" s="461">
        <f t="shared" si="164"/>
        <v>1</v>
      </c>
      <c r="K175" s="468"/>
      <c r="L175" s="465" t="str">
        <f t="shared" si="168"/>
        <v>CEO</v>
      </c>
      <c r="M175" s="123" t="str">
        <f t="shared" si="168"/>
        <v>President &amp; CEO</v>
      </c>
      <c r="N175" s="132" t="str">
        <f t="shared" si="168"/>
        <v>Patrick Godin</v>
      </c>
      <c r="O175" s="219">
        <v>380972</v>
      </c>
      <c r="P175" s="125">
        <f t="shared" si="135"/>
        <v>380972</v>
      </c>
      <c r="Q175" s="311" t="s">
        <v>78</v>
      </c>
      <c r="R175" s="126" t="str">
        <f t="shared" si="136"/>
        <v>-</v>
      </c>
      <c r="S175" s="221">
        <v>399444</v>
      </c>
      <c r="T175" s="125">
        <f t="shared" si="137"/>
        <v>399444</v>
      </c>
      <c r="U175" s="127">
        <f t="shared" si="107"/>
        <v>1.0484865029450983</v>
      </c>
      <c r="V175" s="128"/>
      <c r="W175" s="223" t="s">
        <v>78</v>
      </c>
      <c r="X175" s="129">
        <f t="shared" si="108"/>
        <v>0</v>
      </c>
      <c r="Y175" s="124">
        <f t="shared" si="112"/>
        <v>780416</v>
      </c>
      <c r="Z175" s="130">
        <f t="shared" si="113"/>
        <v>380972</v>
      </c>
      <c r="AA175" s="221" t="s">
        <v>78</v>
      </c>
      <c r="AB175" s="225" t="s">
        <v>78</v>
      </c>
      <c r="AC175" s="225" t="s">
        <v>78</v>
      </c>
      <c r="AD175" s="225" t="s">
        <v>78</v>
      </c>
      <c r="AE175" s="225" t="s">
        <v>78</v>
      </c>
      <c r="AF175" s="125" t="str">
        <f t="shared" si="167"/>
        <v>-</v>
      </c>
      <c r="AG175" s="127" t="str">
        <f t="shared" si="109"/>
        <v>-</v>
      </c>
      <c r="AH175" s="128"/>
      <c r="AI175" s="223" t="s">
        <v>78</v>
      </c>
      <c r="AJ175" s="131">
        <f t="shared" si="110"/>
        <v>0</v>
      </c>
      <c r="AK175" s="368" t="str">
        <f t="shared" ref="AK175:AK217" si="169">IFERROR($AF175*$J175,"-")</f>
        <v>-</v>
      </c>
      <c r="AL175" s="375">
        <f t="shared" si="114"/>
        <v>780416</v>
      </c>
      <c r="AM175" s="376">
        <f t="shared" si="115"/>
        <v>380972</v>
      </c>
      <c r="AN175" s="394" t="s">
        <v>801</v>
      </c>
      <c r="AO175" s="395" t="s">
        <v>801</v>
      </c>
      <c r="AP175" s="396" t="str">
        <f t="shared" si="159"/>
        <v>-</v>
      </c>
      <c r="AQ175" s="397"/>
      <c r="AR175" s="401">
        <v>9962</v>
      </c>
      <c r="AS175" s="396">
        <f t="shared" si="160"/>
        <v>9962</v>
      </c>
      <c r="AT175" s="397"/>
      <c r="AU175" s="388">
        <f t="shared" si="116"/>
        <v>790378</v>
      </c>
      <c r="AV175" s="389">
        <f t="shared" si="117"/>
        <v>390934</v>
      </c>
      <c r="AW175" s="353" t="s">
        <v>78</v>
      </c>
      <c r="AX175" s="403" t="s">
        <v>358</v>
      </c>
      <c r="AY175" s="404" t="s">
        <v>451</v>
      </c>
    </row>
    <row r="176" spans="1:52" ht="15" customHeight="1">
      <c r="A176" s="1" t="str">
        <f t="shared" si="157"/>
        <v>TSX:NGD_2024_</v>
      </c>
      <c r="B176" s="1" t="str">
        <f t="shared" si="163"/>
        <v>TSX:NGD_2024_CFO</v>
      </c>
      <c r="C176" s="114" t="str">
        <f t="shared" si="128"/>
        <v>TSX:NGD</v>
      </c>
      <c r="D176" s="133" t="str">
        <f>_xll.ciqfunctions.udf.CIQ(C176,"IQ_Company_Name")</f>
        <v>New Gold Inc.</v>
      </c>
      <c r="E176" s="114">
        <f t="shared" ref="E176:E187" si="170">E173</f>
        <v>2024</v>
      </c>
      <c r="F176" s="114" t="str">
        <f t="shared" si="105"/>
        <v>2024-01-01</v>
      </c>
      <c r="G176" s="330" t="str">
        <f t="shared" si="134"/>
        <v>2024-12-31</v>
      </c>
      <c r="H176" s="114">
        <f t="shared" si="111"/>
        <v>12</v>
      </c>
      <c r="I176" s="407" t="str">
        <f>I175</f>
        <v>CAD</v>
      </c>
      <c r="J176" s="461">
        <f t="shared" si="164"/>
        <v>1</v>
      </c>
      <c r="K176" s="468"/>
      <c r="L176" s="464" t="s">
        <v>106</v>
      </c>
      <c r="M176" s="217" t="s">
        <v>309</v>
      </c>
      <c r="N176" s="218" t="s">
        <v>419</v>
      </c>
      <c r="O176" s="219">
        <v>389692</v>
      </c>
      <c r="P176" s="443">
        <f>400000*J176</f>
        <v>400000</v>
      </c>
      <c r="Q176" s="311" t="s">
        <v>78</v>
      </c>
      <c r="R176" s="126" t="str">
        <f t="shared" si="136"/>
        <v>-</v>
      </c>
      <c r="S176" s="221">
        <v>455789</v>
      </c>
      <c r="T176" s="125">
        <f t="shared" si="137"/>
        <v>455789</v>
      </c>
      <c r="U176" s="127">
        <f t="shared" si="107"/>
        <v>1.1394725000000001</v>
      </c>
      <c r="V176" s="128">
        <f>IFERROR(AVERAGE(U176:U178),"N/A")</f>
        <v>1.1394725000000001</v>
      </c>
      <c r="W176" s="223">
        <v>0.95</v>
      </c>
      <c r="X176" s="129">
        <f t="shared" si="108"/>
        <v>380000</v>
      </c>
      <c r="Y176" s="124">
        <f t="shared" si="112"/>
        <v>855789</v>
      </c>
      <c r="Z176" s="130">
        <f t="shared" si="113"/>
        <v>780000</v>
      </c>
      <c r="AA176" s="221">
        <v>227999</v>
      </c>
      <c r="AB176" s="225">
        <v>341999</v>
      </c>
      <c r="AC176" s="225" t="s">
        <v>78</v>
      </c>
      <c r="AD176" s="225" t="s">
        <v>78</v>
      </c>
      <c r="AE176" s="225" t="s">
        <v>78</v>
      </c>
      <c r="AF176" s="125">
        <f t="shared" si="167"/>
        <v>569998</v>
      </c>
      <c r="AG176" s="127">
        <f t="shared" si="109"/>
        <v>1.424995</v>
      </c>
      <c r="AH176" s="128">
        <f>IFERROR(AVERAGE(AG176:AG178),"N/A")</f>
        <v>1.424995</v>
      </c>
      <c r="AI176" s="223">
        <v>1.5</v>
      </c>
      <c r="AJ176" s="131">
        <f t="shared" si="110"/>
        <v>600000</v>
      </c>
      <c r="AK176" s="368">
        <f t="shared" si="169"/>
        <v>569998</v>
      </c>
      <c r="AL176" s="375">
        <f t="shared" si="114"/>
        <v>1425787</v>
      </c>
      <c r="AM176" s="376">
        <f t="shared" si="115"/>
        <v>1380000</v>
      </c>
      <c r="AN176" s="394" t="s">
        <v>801</v>
      </c>
      <c r="AO176" s="395" t="s">
        <v>801</v>
      </c>
      <c r="AP176" s="396" t="str">
        <f t="shared" si="159"/>
        <v>-</v>
      </c>
      <c r="AQ176" s="397" t="str">
        <f>IFERROR(AVERAGE(AP176:AP178),"N/A")</f>
        <v>N/A</v>
      </c>
      <c r="AR176" s="401">
        <v>15780</v>
      </c>
      <c r="AS176" s="396">
        <f t="shared" si="160"/>
        <v>15780</v>
      </c>
      <c r="AT176" s="397">
        <f>IFERROR(AVERAGE(AS176:AS178),"N/A")</f>
        <v>15780</v>
      </c>
      <c r="AU176" s="388">
        <f t="shared" si="116"/>
        <v>1441567</v>
      </c>
      <c r="AV176" s="389">
        <f t="shared" si="117"/>
        <v>1395780</v>
      </c>
      <c r="AW176" s="353" t="s">
        <v>427</v>
      </c>
      <c r="AX176" s="403" t="s">
        <v>358</v>
      </c>
      <c r="AY176" s="404" t="s">
        <v>451</v>
      </c>
    </row>
    <row r="177" spans="1:52" ht="15" customHeight="1">
      <c r="A177" s="1" t="str">
        <f t="shared" si="157"/>
        <v>TSX:NGD_2023_</v>
      </c>
      <c r="B177" s="1" t="str">
        <f t="shared" si="163"/>
        <v>TSX:NGD_2023_CFO</v>
      </c>
      <c r="C177" s="114" t="str">
        <f t="shared" si="128"/>
        <v>TSX:NGD</v>
      </c>
      <c r="D177" s="133" t="str">
        <f>_xll.ciqfunctions.udf.CIQ(C177,"IQ_Company_Name")</f>
        <v>New Gold Inc.</v>
      </c>
      <c r="E177" s="114">
        <f t="shared" si="170"/>
        <v>2023</v>
      </c>
      <c r="F177" s="114" t="str">
        <f t="shared" si="105"/>
        <v>2023-01-01</v>
      </c>
      <c r="G177" s="330" t="str">
        <f t="shared" si="134"/>
        <v>2023-12-31</v>
      </c>
      <c r="H177" s="114">
        <f t="shared" si="111"/>
        <v>12</v>
      </c>
      <c r="I177" s="407" t="str">
        <f>I176</f>
        <v>CAD</v>
      </c>
      <c r="J177" s="461">
        <f t="shared" si="164"/>
        <v>1</v>
      </c>
      <c r="K177" s="468"/>
      <c r="L177" s="465" t="str">
        <f t="shared" ref="L177:N178" si="171">L176</f>
        <v>CFO</v>
      </c>
      <c r="M177" s="123" t="str">
        <f t="shared" si="171"/>
        <v>EVP &amp; CFO</v>
      </c>
      <c r="N177" s="132" t="str">
        <f t="shared" si="171"/>
        <v>Keith Murphy</v>
      </c>
      <c r="O177" s="219" t="s">
        <v>78</v>
      </c>
      <c r="P177" s="125" t="str">
        <f t="shared" si="135"/>
        <v>-</v>
      </c>
      <c r="Q177" s="311" t="s">
        <v>78</v>
      </c>
      <c r="R177" s="126" t="str">
        <f t="shared" si="136"/>
        <v>-</v>
      </c>
      <c r="S177" s="221" t="s">
        <v>78</v>
      </c>
      <c r="T177" s="125" t="str">
        <f t="shared" si="137"/>
        <v>-</v>
      </c>
      <c r="U177" s="127" t="str">
        <f t="shared" si="107"/>
        <v>-</v>
      </c>
      <c r="V177" s="128"/>
      <c r="W177" s="223" t="s">
        <v>78</v>
      </c>
      <c r="X177" s="129" t="str">
        <f t="shared" si="108"/>
        <v>-</v>
      </c>
      <c r="Y177" s="124" t="str">
        <f t="shared" si="112"/>
        <v>-</v>
      </c>
      <c r="Z177" s="130" t="str">
        <f t="shared" si="113"/>
        <v>-</v>
      </c>
      <c r="AA177" s="221" t="s">
        <v>78</v>
      </c>
      <c r="AB177" s="225" t="s">
        <v>78</v>
      </c>
      <c r="AC177" s="225" t="s">
        <v>78</v>
      </c>
      <c r="AD177" s="225" t="s">
        <v>78</v>
      </c>
      <c r="AE177" s="225" t="s">
        <v>78</v>
      </c>
      <c r="AF177" s="125" t="str">
        <f t="shared" si="167"/>
        <v>-</v>
      </c>
      <c r="AG177" s="127" t="str">
        <f t="shared" si="109"/>
        <v>-</v>
      </c>
      <c r="AH177" s="128"/>
      <c r="AI177" s="223" t="s">
        <v>78</v>
      </c>
      <c r="AJ177" s="131" t="str">
        <f t="shared" si="110"/>
        <v>-</v>
      </c>
      <c r="AK177" s="368" t="str">
        <f t="shared" si="169"/>
        <v>-</v>
      </c>
      <c r="AL177" s="375" t="str">
        <f t="shared" si="114"/>
        <v>-</v>
      </c>
      <c r="AM177" s="376" t="str">
        <f t="shared" si="115"/>
        <v>-</v>
      </c>
      <c r="AN177" s="394" t="s">
        <v>78</v>
      </c>
      <c r="AO177" s="395" t="s">
        <v>78</v>
      </c>
      <c r="AP177" s="396" t="str">
        <f t="shared" si="159"/>
        <v>-</v>
      </c>
      <c r="AQ177" s="397"/>
      <c r="AR177" s="401" t="s">
        <v>78</v>
      </c>
      <c r="AS177" s="396" t="str">
        <f t="shared" si="160"/>
        <v>-</v>
      </c>
      <c r="AT177" s="397"/>
      <c r="AU177" s="388" t="str">
        <f t="shared" si="116"/>
        <v>-</v>
      </c>
      <c r="AV177" s="389" t="str">
        <f t="shared" si="117"/>
        <v>-</v>
      </c>
      <c r="AW177" s="353" t="s">
        <v>78</v>
      </c>
      <c r="AX177" s="403" t="s">
        <v>358</v>
      </c>
      <c r="AY177" s="404" t="s">
        <v>451</v>
      </c>
    </row>
    <row r="178" spans="1:52" ht="15" customHeight="1">
      <c r="A178" s="1" t="str">
        <f t="shared" si="157"/>
        <v>TSX:NGD_2022_</v>
      </c>
      <c r="B178" s="1" t="str">
        <f t="shared" si="163"/>
        <v>TSX:NGD_2022_CFO</v>
      </c>
      <c r="C178" s="114" t="str">
        <f t="shared" si="128"/>
        <v>TSX:NGD</v>
      </c>
      <c r="D178" s="133" t="str">
        <f>_xll.ciqfunctions.udf.CIQ(C178,"IQ_Company_Name")</f>
        <v>New Gold Inc.</v>
      </c>
      <c r="E178" s="114">
        <f t="shared" si="170"/>
        <v>2022</v>
      </c>
      <c r="F178" s="114" t="str">
        <f t="shared" si="105"/>
        <v>2022-01-01</v>
      </c>
      <c r="G178" s="330" t="str">
        <f t="shared" si="134"/>
        <v>2022-12-31</v>
      </c>
      <c r="H178" s="114">
        <f t="shared" si="111"/>
        <v>12</v>
      </c>
      <c r="I178" s="407" t="str">
        <f t="shared" si="143"/>
        <v>CAD</v>
      </c>
      <c r="J178" s="461">
        <f t="shared" si="164"/>
        <v>1</v>
      </c>
      <c r="K178" s="468"/>
      <c r="L178" s="465" t="str">
        <f t="shared" si="171"/>
        <v>CFO</v>
      </c>
      <c r="M178" s="123" t="str">
        <f t="shared" si="171"/>
        <v>EVP &amp; CFO</v>
      </c>
      <c r="N178" s="132" t="str">
        <f t="shared" si="171"/>
        <v>Keith Murphy</v>
      </c>
      <c r="O178" s="219" t="s">
        <v>78</v>
      </c>
      <c r="P178" s="125" t="str">
        <f t="shared" si="135"/>
        <v>-</v>
      </c>
      <c r="Q178" s="311" t="s">
        <v>78</v>
      </c>
      <c r="R178" s="126" t="str">
        <f t="shared" si="136"/>
        <v>-</v>
      </c>
      <c r="S178" s="221" t="s">
        <v>78</v>
      </c>
      <c r="T178" s="125" t="str">
        <f t="shared" si="137"/>
        <v>-</v>
      </c>
      <c r="U178" s="127" t="str">
        <f t="shared" si="107"/>
        <v>-</v>
      </c>
      <c r="V178" s="128"/>
      <c r="W178" s="223" t="s">
        <v>78</v>
      </c>
      <c r="X178" s="129" t="str">
        <f t="shared" si="108"/>
        <v>-</v>
      </c>
      <c r="Y178" s="124" t="str">
        <f t="shared" si="112"/>
        <v>-</v>
      </c>
      <c r="Z178" s="130" t="str">
        <f t="shared" si="113"/>
        <v>-</v>
      </c>
      <c r="AA178" s="221" t="s">
        <v>78</v>
      </c>
      <c r="AB178" s="225" t="s">
        <v>78</v>
      </c>
      <c r="AC178" s="225" t="s">
        <v>78</v>
      </c>
      <c r="AD178" s="225" t="s">
        <v>78</v>
      </c>
      <c r="AE178" s="225" t="s">
        <v>78</v>
      </c>
      <c r="AF178" s="125" t="str">
        <f t="shared" si="167"/>
        <v>-</v>
      </c>
      <c r="AG178" s="127" t="str">
        <f t="shared" si="109"/>
        <v>-</v>
      </c>
      <c r="AH178" s="128"/>
      <c r="AI178" s="223" t="s">
        <v>78</v>
      </c>
      <c r="AJ178" s="131" t="str">
        <f t="shared" si="110"/>
        <v>-</v>
      </c>
      <c r="AK178" s="368" t="str">
        <f t="shared" si="169"/>
        <v>-</v>
      </c>
      <c r="AL178" s="375" t="str">
        <f t="shared" si="114"/>
        <v>-</v>
      </c>
      <c r="AM178" s="376" t="str">
        <f t="shared" si="115"/>
        <v>-</v>
      </c>
      <c r="AN178" s="394" t="s">
        <v>78</v>
      </c>
      <c r="AO178" s="395" t="s">
        <v>78</v>
      </c>
      <c r="AP178" s="396" t="str">
        <f t="shared" si="159"/>
        <v>-</v>
      </c>
      <c r="AQ178" s="397"/>
      <c r="AR178" s="401" t="s">
        <v>78</v>
      </c>
      <c r="AS178" s="396" t="str">
        <f t="shared" si="160"/>
        <v>-</v>
      </c>
      <c r="AT178" s="397"/>
      <c r="AU178" s="388" t="str">
        <f t="shared" si="116"/>
        <v>-</v>
      </c>
      <c r="AV178" s="389" t="str">
        <f t="shared" si="117"/>
        <v>-</v>
      </c>
      <c r="AW178" s="353" t="s">
        <v>78</v>
      </c>
      <c r="AX178" s="403" t="s">
        <v>358</v>
      </c>
      <c r="AY178" s="404" t="s">
        <v>451</v>
      </c>
    </row>
    <row r="179" spans="1:52" ht="15" customHeight="1">
      <c r="A179" s="1" t="str">
        <f t="shared" si="157"/>
        <v>TSX:NGD_2024_</v>
      </c>
      <c r="B179" s="1" t="str">
        <f t="shared" si="163"/>
        <v>TSX:NGD_2024_NEO2</v>
      </c>
      <c r="C179" s="114" t="str">
        <f t="shared" si="128"/>
        <v>TSX:NGD</v>
      </c>
      <c r="D179" s="133" t="str">
        <f>_xll.ciqfunctions.udf.CIQ(C179,"IQ_Company_Name")</f>
        <v>New Gold Inc.</v>
      </c>
      <c r="E179" s="114">
        <f t="shared" si="170"/>
        <v>2024</v>
      </c>
      <c r="F179" s="330" t="str">
        <f t="shared" si="105"/>
        <v>2024-01-01</v>
      </c>
      <c r="G179" s="330" t="str">
        <f t="shared" si="134"/>
        <v>2024-12-31</v>
      </c>
      <c r="H179" s="114">
        <f t="shared" si="111"/>
        <v>12</v>
      </c>
      <c r="I179" s="407" t="str">
        <f t="shared" si="143"/>
        <v>CAD</v>
      </c>
      <c r="J179" s="461">
        <f t="shared" si="164"/>
        <v>1</v>
      </c>
      <c r="K179" s="468"/>
      <c r="L179" s="464" t="s">
        <v>108</v>
      </c>
      <c r="M179" s="217" t="s">
        <v>423</v>
      </c>
      <c r="N179" s="218" t="s">
        <v>420</v>
      </c>
      <c r="O179" s="219">
        <v>480000</v>
      </c>
      <c r="P179" s="125">
        <f t="shared" si="135"/>
        <v>480000</v>
      </c>
      <c r="Q179" s="311" t="s">
        <v>78</v>
      </c>
      <c r="R179" s="126" t="str">
        <f t="shared" si="136"/>
        <v>-</v>
      </c>
      <c r="S179" s="221">
        <v>560880</v>
      </c>
      <c r="T179" s="125">
        <f t="shared" si="137"/>
        <v>560880</v>
      </c>
      <c r="U179" s="127">
        <f t="shared" si="107"/>
        <v>1.1685000000000001</v>
      </c>
      <c r="V179" s="128">
        <f>IFERROR(AVERAGE(U179:U181),"N/A")</f>
        <v>0.906345925925926</v>
      </c>
      <c r="W179" s="223">
        <v>0.95</v>
      </c>
      <c r="X179" s="129">
        <f t="shared" si="108"/>
        <v>456000</v>
      </c>
      <c r="Y179" s="124">
        <f t="shared" si="112"/>
        <v>1040880</v>
      </c>
      <c r="Z179" s="130">
        <f t="shared" si="113"/>
        <v>936000</v>
      </c>
      <c r="AA179" s="221">
        <v>287998</v>
      </c>
      <c r="AB179" s="225">
        <v>431999</v>
      </c>
      <c r="AC179" s="225" t="s">
        <v>78</v>
      </c>
      <c r="AD179" s="225" t="s">
        <v>78</v>
      </c>
      <c r="AE179" s="225" t="s">
        <v>78</v>
      </c>
      <c r="AF179" s="125">
        <f t="shared" si="167"/>
        <v>719997</v>
      </c>
      <c r="AG179" s="127">
        <f t="shared" si="109"/>
        <v>1.49999375</v>
      </c>
      <c r="AH179" s="128">
        <f>IFERROR(AVERAGE(AG179:AG181),"N/A")</f>
        <v>1.3390383128768304</v>
      </c>
      <c r="AI179" s="223">
        <v>1.5</v>
      </c>
      <c r="AJ179" s="131">
        <f t="shared" si="110"/>
        <v>720000</v>
      </c>
      <c r="AK179" s="368">
        <f t="shared" si="169"/>
        <v>719997</v>
      </c>
      <c r="AL179" s="375">
        <f t="shared" si="114"/>
        <v>1760877</v>
      </c>
      <c r="AM179" s="376">
        <f t="shared" si="115"/>
        <v>1656000</v>
      </c>
      <c r="AN179" s="394" t="s">
        <v>801</v>
      </c>
      <c r="AO179" s="395" t="s">
        <v>801</v>
      </c>
      <c r="AP179" s="396" t="str">
        <f t="shared" si="159"/>
        <v>-</v>
      </c>
      <c r="AQ179" s="397" t="str">
        <f>IFERROR(AVERAGE(AP179:AP181),"N/A")</f>
        <v>N/A</v>
      </c>
      <c r="AR179" s="401">
        <v>15780</v>
      </c>
      <c r="AS179" s="396">
        <f t="shared" si="160"/>
        <v>15780</v>
      </c>
      <c r="AT179" s="397">
        <f>IFERROR(AVERAGE(AS179:AS181),"N/A")</f>
        <v>14219.333333333334</v>
      </c>
      <c r="AU179" s="388">
        <f t="shared" si="116"/>
        <v>1776657</v>
      </c>
      <c r="AV179" s="389">
        <f t="shared" si="117"/>
        <v>1671780</v>
      </c>
      <c r="AW179" s="353" t="s">
        <v>78</v>
      </c>
      <c r="AX179" s="403" t="s">
        <v>358</v>
      </c>
      <c r="AY179" s="404" t="s">
        <v>451</v>
      </c>
    </row>
    <row r="180" spans="1:52" ht="15" customHeight="1">
      <c r="A180" s="1" t="str">
        <f t="shared" si="157"/>
        <v>TSX:NGD_2023_</v>
      </c>
      <c r="B180" s="1" t="str">
        <f t="shared" si="163"/>
        <v>TSX:NGD_2023_NEO2</v>
      </c>
      <c r="C180" s="114" t="str">
        <f t="shared" si="128"/>
        <v>TSX:NGD</v>
      </c>
      <c r="D180" s="133" t="str">
        <f>_xll.ciqfunctions.udf.CIQ(C180,"IQ_Company_Name")</f>
        <v>New Gold Inc.</v>
      </c>
      <c r="E180" s="114">
        <f t="shared" si="170"/>
        <v>2023</v>
      </c>
      <c r="F180" s="330" t="str">
        <f t="shared" si="105"/>
        <v>2023-01-01</v>
      </c>
      <c r="G180" s="330" t="str">
        <f t="shared" si="134"/>
        <v>2023-12-31</v>
      </c>
      <c r="H180" s="114">
        <f t="shared" si="111"/>
        <v>12</v>
      </c>
      <c r="I180" s="407" t="str">
        <f t="shared" si="143"/>
        <v>CAD</v>
      </c>
      <c r="J180" s="461">
        <f t="shared" si="164"/>
        <v>1</v>
      </c>
      <c r="K180" s="468"/>
      <c r="L180" s="465" t="str">
        <f t="shared" ref="L180:N181" si="172">L179</f>
        <v>NEO2</v>
      </c>
      <c r="M180" s="123" t="str">
        <f t="shared" si="172"/>
        <v>EVP, Strategy &amp; Business Development</v>
      </c>
      <c r="N180" s="132" t="str">
        <f t="shared" si="172"/>
        <v>Ankit Shah</v>
      </c>
      <c r="O180" s="219">
        <v>450000</v>
      </c>
      <c r="P180" s="125">
        <f t="shared" si="135"/>
        <v>450000</v>
      </c>
      <c r="Q180" s="311" t="s">
        <v>78</v>
      </c>
      <c r="R180" s="126" t="str">
        <f t="shared" si="136"/>
        <v>-</v>
      </c>
      <c r="S180" s="221">
        <v>483092</v>
      </c>
      <c r="T180" s="125">
        <f t="shared" si="137"/>
        <v>483092</v>
      </c>
      <c r="U180" s="127">
        <f t="shared" si="107"/>
        <v>1.0735377777777777</v>
      </c>
      <c r="V180" s="128"/>
      <c r="W180" s="223" t="s">
        <v>78</v>
      </c>
      <c r="X180" s="129">
        <f t="shared" si="108"/>
        <v>0</v>
      </c>
      <c r="Y180" s="124">
        <f t="shared" si="112"/>
        <v>933092</v>
      </c>
      <c r="Z180" s="130">
        <f t="shared" si="113"/>
        <v>450000</v>
      </c>
      <c r="AA180" s="221">
        <f>537500*0.4</f>
        <v>215000</v>
      </c>
      <c r="AB180" s="221">
        <f>537500*0.6</f>
        <v>322500</v>
      </c>
      <c r="AC180" s="225" t="s">
        <v>78</v>
      </c>
      <c r="AD180" s="225" t="s">
        <v>78</v>
      </c>
      <c r="AE180" s="225" t="s">
        <v>78</v>
      </c>
      <c r="AF180" s="125">
        <f t="shared" si="167"/>
        <v>537500</v>
      </c>
      <c r="AG180" s="127">
        <f t="shared" si="109"/>
        <v>1.1944444444444444</v>
      </c>
      <c r="AH180" s="128"/>
      <c r="AI180" s="223" t="s">
        <v>78</v>
      </c>
      <c r="AJ180" s="131">
        <f t="shared" si="110"/>
        <v>0</v>
      </c>
      <c r="AK180" s="368">
        <f t="shared" si="169"/>
        <v>537500</v>
      </c>
      <c r="AL180" s="375">
        <f t="shared" si="114"/>
        <v>1470592</v>
      </c>
      <c r="AM180" s="376">
        <f t="shared" si="115"/>
        <v>450000</v>
      </c>
      <c r="AN180" s="394" t="s">
        <v>801</v>
      </c>
      <c r="AO180" s="395" t="s">
        <v>801</v>
      </c>
      <c r="AP180" s="396" t="str">
        <f t="shared" si="159"/>
        <v>-</v>
      </c>
      <c r="AQ180" s="397"/>
      <c r="AR180" s="401">
        <v>12273</v>
      </c>
      <c r="AS180" s="396">
        <f t="shared" si="160"/>
        <v>12273</v>
      </c>
      <c r="AT180" s="397"/>
      <c r="AU180" s="388">
        <f t="shared" si="116"/>
        <v>1482865</v>
      </c>
      <c r="AV180" s="389">
        <f t="shared" si="117"/>
        <v>462273</v>
      </c>
      <c r="AW180" s="353" t="s">
        <v>78</v>
      </c>
      <c r="AX180" s="403" t="s">
        <v>358</v>
      </c>
      <c r="AY180" s="404" t="s">
        <v>451</v>
      </c>
    </row>
    <row r="181" spans="1:52" ht="15" customHeight="1">
      <c r="A181" s="1" t="str">
        <f t="shared" si="157"/>
        <v>TSX:NGD_2022_</v>
      </c>
      <c r="B181" s="1" t="str">
        <f t="shared" si="163"/>
        <v>TSX:NGD_2022_NEO2</v>
      </c>
      <c r="C181" s="114" t="str">
        <f t="shared" si="128"/>
        <v>TSX:NGD</v>
      </c>
      <c r="D181" s="133" t="str">
        <f>_xll.ciqfunctions.udf.CIQ(C181,"IQ_Company_Name")</f>
        <v>New Gold Inc.</v>
      </c>
      <c r="E181" s="114">
        <f t="shared" si="170"/>
        <v>2022</v>
      </c>
      <c r="F181" s="114" t="str">
        <f>E181&amp;"-01-01"</f>
        <v>2022-01-01</v>
      </c>
      <c r="G181" s="330" t="str">
        <f t="shared" si="134"/>
        <v>2022-12-31</v>
      </c>
      <c r="H181" s="114">
        <f t="shared" si="111"/>
        <v>12</v>
      </c>
      <c r="I181" s="407" t="str">
        <f t="shared" si="143"/>
        <v>CAD</v>
      </c>
      <c r="J181" s="461">
        <f t="shared" si="164"/>
        <v>1</v>
      </c>
      <c r="K181" s="468"/>
      <c r="L181" s="465" t="str">
        <f t="shared" si="172"/>
        <v>NEO2</v>
      </c>
      <c r="M181" s="123" t="str">
        <f t="shared" si="172"/>
        <v>EVP, Strategy &amp; Business Development</v>
      </c>
      <c r="N181" s="132" t="str">
        <f t="shared" si="172"/>
        <v>Ankit Shah</v>
      </c>
      <c r="O181" s="219">
        <v>430000</v>
      </c>
      <c r="P181" s="125">
        <f t="shared" si="135"/>
        <v>430000</v>
      </c>
      <c r="Q181" s="311" t="s">
        <v>78</v>
      </c>
      <c r="R181" s="126" t="str">
        <f t="shared" si="136"/>
        <v>-</v>
      </c>
      <c r="S181" s="221">
        <v>205110</v>
      </c>
      <c r="T181" s="125">
        <f t="shared" si="137"/>
        <v>205110</v>
      </c>
      <c r="U181" s="127">
        <f t="shared" ref="U181:U244" si="173">IFERROR($T181/$P181,"-")</f>
        <v>0.47699999999999998</v>
      </c>
      <c r="V181" s="128"/>
      <c r="W181" s="223" t="s">
        <v>78</v>
      </c>
      <c r="X181" s="129">
        <f t="shared" ref="X181:X244" si="174">IFERROR(IF(ISNUMBER($W181)=TRUE, $W181*$P181,$V181*$P181),"-")</f>
        <v>0</v>
      </c>
      <c r="Y181" s="124">
        <f t="shared" si="112"/>
        <v>635110</v>
      </c>
      <c r="Z181" s="130">
        <f t="shared" si="113"/>
        <v>430000</v>
      </c>
      <c r="AA181" s="221">
        <f>426563*0.4</f>
        <v>170625.2</v>
      </c>
      <c r="AB181" s="221">
        <f>426563*0.6</f>
        <v>255937.8</v>
      </c>
      <c r="AC181" s="225">
        <v>142188</v>
      </c>
      <c r="AD181" s="225" t="s">
        <v>78</v>
      </c>
      <c r="AE181" s="225" t="s">
        <v>78</v>
      </c>
      <c r="AF181" s="125">
        <f t="shared" si="167"/>
        <v>568751</v>
      </c>
      <c r="AG181" s="127">
        <f t="shared" ref="AG181:AG244" si="175">IFERROR($AK181/$P181,"-")</f>
        <v>1.3226767441860465</v>
      </c>
      <c r="AH181" s="128"/>
      <c r="AI181" s="223" t="s">
        <v>78</v>
      </c>
      <c r="AJ181" s="131">
        <f t="shared" ref="AJ181:AJ244" si="176">IFERROR(IF(ISNUMBER($AI181)=TRUE, $AI181*$P181, $AH181*$P181), "-")</f>
        <v>0</v>
      </c>
      <c r="AK181" s="368">
        <f t="shared" si="169"/>
        <v>568751</v>
      </c>
      <c r="AL181" s="375">
        <f t="shared" si="114"/>
        <v>1203861</v>
      </c>
      <c r="AM181" s="376">
        <f t="shared" si="115"/>
        <v>430000</v>
      </c>
      <c r="AN181" s="394" t="s">
        <v>801</v>
      </c>
      <c r="AO181" s="395" t="s">
        <v>801</v>
      </c>
      <c r="AP181" s="396" t="str">
        <f t="shared" si="159"/>
        <v>-</v>
      </c>
      <c r="AQ181" s="397"/>
      <c r="AR181" s="401">
        <v>14605</v>
      </c>
      <c r="AS181" s="396">
        <f t="shared" si="160"/>
        <v>14605</v>
      </c>
      <c r="AT181" s="397"/>
      <c r="AU181" s="388">
        <f t="shared" si="116"/>
        <v>1218466</v>
      </c>
      <c r="AV181" s="389">
        <f t="shared" si="117"/>
        <v>444605</v>
      </c>
      <c r="AW181" s="353" t="s">
        <v>78</v>
      </c>
      <c r="AX181" s="403" t="s">
        <v>358</v>
      </c>
      <c r="AY181" s="404" t="s">
        <v>451</v>
      </c>
    </row>
    <row r="182" spans="1:52" ht="15" customHeight="1">
      <c r="A182" s="1" t="str">
        <f t="shared" si="157"/>
        <v>TSX:NGD_2024_Tech</v>
      </c>
      <c r="B182" s="1" t="str">
        <f t="shared" si="163"/>
        <v>TSX:NGD_2024_NEO3</v>
      </c>
      <c r="C182" s="114" t="str">
        <f t="shared" si="128"/>
        <v>TSX:NGD</v>
      </c>
      <c r="D182" s="133" t="str">
        <f>_xll.ciqfunctions.udf.CIQ(C182,"IQ_Company_Name")</f>
        <v>New Gold Inc.</v>
      </c>
      <c r="E182" s="114">
        <f t="shared" si="170"/>
        <v>2024</v>
      </c>
      <c r="F182" s="114" t="str">
        <f>E182&amp;"-01-01"</f>
        <v>2024-01-01</v>
      </c>
      <c r="G182" s="330" t="str">
        <f t="shared" si="134"/>
        <v>2024-12-31</v>
      </c>
      <c r="H182" s="114">
        <f t="shared" ref="H182:H245" si="177">_xlfn.DAYS(G182,F182)/_xlfn.DAYS(E182&amp;"-12-31",E182&amp;"-01-01")*12</f>
        <v>12</v>
      </c>
      <c r="I182" s="407" t="str">
        <f t="shared" si="143"/>
        <v>CAD</v>
      </c>
      <c r="J182" s="461">
        <f t="shared" si="164"/>
        <v>1</v>
      </c>
      <c r="K182" s="468" t="s">
        <v>469</v>
      </c>
      <c r="L182" s="464" t="s">
        <v>109</v>
      </c>
      <c r="M182" s="217" t="s">
        <v>424</v>
      </c>
      <c r="N182" s="218" t="s">
        <v>421</v>
      </c>
      <c r="O182" s="219">
        <v>440000</v>
      </c>
      <c r="P182" s="125">
        <f t="shared" si="135"/>
        <v>440000</v>
      </c>
      <c r="Q182" s="311" t="s">
        <v>78</v>
      </c>
      <c r="R182" s="126" t="str">
        <f t="shared" si="136"/>
        <v>-</v>
      </c>
      <c r="S182" s="221">
        <v>351780</v>
      </c>
      <c r="T182" s="125">
        <f t="shared" si="137"/>
        <v>351780</v>
      </c>
      <c r="U182" s="127">
        <f t="shared" si="173"/>
        <v>0.79949999999999999</v>
      </c>
      <c r="V182" s="128">
        <f>IFERROR(AVERAGE(U182:U184),"N/A")</f>
        <v>0.79485673234811161</v>
      </c>
      <c r="W182" s="223">
        <v>0.65</v>
      </c>
      <c r="X182" s="129">
        <f t="shared" si="174"/>
        <v>286000</v>
      </c>
      <c r="Y182" s="124">
        <f t="shared" ref="Y182:Y245" si="178">IFERROR(IF(SUM(P182,T182)=0,"-",SUM(P182,T182)),"-")</f>
        <v>791780</v>
      </c>
      <c r="Z182" s="130">
        <f t="shared" ref="Z182:Z245" si="179">IFERROR(IF(SUM(P182,X182)=0,"-",SUM(P182,X182)),"-")</f>
        <v>726000</v>
      </c>
      <c r="AA182" s="221">
        <v>220000</v>
      </c>
      <c r="AB182" s="225">
        <v>329999</v>
      </c>
      <c r="AC182" s="225" t="s">
        <v>78</v>
      </c>
      <c r="AD182" s="225" t="s">
        <v>78</v>
      </c>
      <c r="AE182" s="225" t="s">
        <v>78</v>
      </c>
      <c r="AF182" s="125">
        <f t="shared" si="167"/>
        <v>549999</v>
      </c>
      <c r="AG182" s="127">
        <f t="shared" si="175"/>
        <v>1.2499977272727272</v>
      </c>
      <c r="AH182" s="128">
        <f>IFERROR(AVERAGE(AG182:AG184),"N/A")</f>
        <v>1.0789374767473905</v>
      </c>
      <c r="AI182" s="223">
        <v>1.25</v>
      </c>
      <c r="AJ182" s="131">
        <f t="shared" si="176"/>
        <v>550000</v>
      </c>
      <c r="AK182" s="368">
        <f t="shared" si="169"/>
        <v>549999</v>
      </c>
      <c r="AL182" s="375">
        <f t="shared" ref="AL182:AL245" si="180">IFERROR(IF(SUM(Y182,AK182)=0,"-",SUM(Y182,AK182)),"-")</f>
        <v>1341779</v>
      </c>
      <c r="AM182" s="376">
        <f t="shared" ref="AM182:AM245" si="181">IFERROR(IF(SUM($Z182,$AJ182)=0,"-",SUM($Z182,$AJ182)),"-")</f>
        <v>1276000</v>
      </c>
      <c r="AN182" s="394" t="s">
        <v>801</v>
      </c>
      <c r="AO182" s="395" t="s">
        <v>801</v>
      </c>
      <c r="AP182" s="396" t="str">
        <f t="shared" si="159"/>
        <v>-</v>
      </c>
      <c r="AQ182" s="397" t="str">
        <f>IFERROR(AVERAGE(AP182:AP184),"N/A")</f>
        <v>N/A</v>
      </c>
      <c r="AR182" s="401">
        <v>15780</v>
      </c>
      <c r="AS182" s="396">
        <f t="shared" si="160"/>
        <v>15780</v>
      </c>
      <c r="AT182" s="397">
        <f>IFERROR(AVERAGE(AS182:AS184),"N/A")</f>
        <v>18499.772727272728</v>
      </c>
      <c r="AU182" s="388">
        <f t="shared" ref="AU182:AU245" si="182">IFERROR(IF(SUM(AL182,AP182,AS182)=0,"-",SUM(AL182,AP182,AS182)),"-")</f>
        <v>1357559</v>
      </c>
      <c r="AV182" s="389">
        <f t="shared" ref="AV182:AV245" si="183">IFERROR(IF(SUM(AM182,AP182,AS182)=0,"-",SUM(AM182,AP182,AS182)),"-")</f>
        <v>1291780</v>
      </c>
      <c r="AW182" s="353" t="s">
        <v>456</v>
      </c>
      <c r="AX182" s="403" t="s">
        <v>358</v>
      </c>
      <c r="AY182" s="404" t="s">
        <v>451</v>
      </c>
    </row>
    <row r="183" spans="1:52" ht="15" customHeight="1">
      <c r="A183" s="1" t="str">
        <f t="shared" si="157"/>
        <v>TSX:NGD_2023_Tech</v>
      </c>
      <c r="B183" s="1" t="str">
        <f t="shared" si="163"/>
        <v>TSX:NGD_2023_NEO3</v>
      </c>
      <c r="C183" s="114" t="str">
        <f t="shared" si="128"/>
        <v>TSX:NGD</v>
      </c>
      <c r="D183" s="133" t="str">
        <f>_xll.ciqfunctions.udf.CIQ(C183,"IQ_Company_Name")</f>
        <v>New Gold Inc.</v>
      </c>
      <c r="E183" s="114">
        <f t="shared" si="170"/>
        <v>2023</v>
      </c>
      <c r="F183" s="453">
        <v>45027</v>
      </c>
      <c r="G183" s="330" t="str">
        <f t="shared" si="134"/>
        <v>2023-12-31</v>
      </c>
      <c r="H183" s="114">
        <f t="shared" si="177"/>
        <v>8.7032967032967026</v>
      </c>
      <c r="I183" s="407" t="str">
        <f t="shared" si="143"/>
        <v>CAD</v>
      </c>
      <c r="J183" s="461">
        <f t="shared" si="164"/>
        <v>1</v>
      </c>
      <c r="K183" s="468" t="s">
        <v>469</v>
      </c>
      <c r="L183" s="465" t="str">
        <f t="shared" ref="L183:N184" si="184">L182</f>
        <v>NEO3</v>
      </c>
      <c r="M183" s="123" t="str">
        <f t="shared" si="184"/>
        <v>VP, Technical Services</v>
      </c>
      <c r="N183" s="132" t="str">
        <f t="shared" si="184"/>
        <v>Luke Buchanan</v>
      </c>
      <c r="O183" s="219">
        <v>304500</v>
      </c>
      <c r="P183" s="125">
        <f t="shared" si="135"/>
        <v>419840.90909090912</v>
      </c>
      <c r="Q183" s="311" t="s">
        <v>78</v>
      </c>
      <c r="R183" s="126" t="str">
        <f t="shared" si="136"/>
        <v>-</v>
      </c>
      <c r="S183" s="221">
        <v>240620</v>
      </c>
      <c r="T183" s="125">
        <f t="shared" si="137"/>
        <v>331763.93939393939</v>
      </c>
      <c r="U183" s="127">
        <f t="shared" si="173"/>
        <v>0.79021346469622322</v>
      </c>
      <c r="V183" s="128"/>
      <c r="W183" s="223" t="s">
        <v>78</v>
      </c>
      <c r="X183" s="129">
        <f t="shared" si="174"/>
        <v>0</v>
      </c>
      <c r="Y183" s="124">
        <f t="shared" si="178"/>
        <v>751604.84848484851</v>
      </c>
      <c r="Z183" s="130">
        <f t="shared" si="179"/>
        <v>419840.90909090912</v>
      </c>
      <c r="AA183" s="221">
        <f>381164*0.4</f>
        <v>152465.60000000001</v>
      </c>
      <c r="AB183" s="221">
        <f>381164*0.6</f>
        <v>228698.4</v>
      </c>
      <c r="AC183" s="225" t="s">
        <v>78</v>
      </c>
      <c r="AD183" s="225" t="s">
        <v>78</v>
      </c>
      <c r="AE183" s="225" t="s">
        <v>78</v>
      </c>
      <c r="AF183" s="125">
        <f t="shared" si="167"/>
        <v>381164</v>
      </c>
      <c r="AG183" s="127">
        <f t="shared" si="175"/>
        <v>0.9078772262220538</v>
      </c>
      <c r="AH183" s="128"/>
      <c r="AI183" s="223" t="s">
        <v>78</v>
      </c>
      <c r="AJ183" s="131">
        <f t="shared" si="176"/>
        <v>0</v>
      </c>
      <c r="AK183" s="368">
        <f t="shared" si="169"/>
        <v>381164</v>
      </c>
      <c r="AL183" s="375">
        <f t="shared" si="180"/>
        <v>1132768.8484848486</v>
      </c>
      <c r="AM183" s="376">
        <f t="shared" si="181"/>
        <v>419840.90909090912</v>
      </c>
      <c r="AN183" s="394" t="s">
        <v>801</v>
      </c>
      <c r="AO183" s="395" t="s">
        <v>801</v>
      </c>
      <c r="AP183" s="396" t="str">
        <f t="shared" si="159"/>
        <v>-</v>
      </c>
      <c r="AQ183" s="397"/>
      <c r="AR183" s="401">
        <v>15390</v>
      </c>
      <c r="AS183" s="396">
        <f t="shared" si="160"/>
        <v>21219.545454545456</v>
      </c>
      <c r="AT183" s="397"/>
      <c r="AU183" s="388">
        <f t="shared" si="182"/>
        <v>1153988.393939394</v>
      </c>
      <c r="AV183" s="389">
        <f t="shared" si="183"/>
        <v>441060.45454545459</v>
      </c>
      <c r="AW183" s="353" t="s">
        <v>78</v>
      </c>
      <c r="AX183" s="403" t="s">
        <v>358</v>
      </c>
      <c r="AY183" s="404" t="s">
        <v>451</v>
      </c>
    </row>
    <row r="184" spans="1:52" ht="15" customHeight="1">
      <c r="A184" s="1" t="str">
        <f t="shared" si="157"/>
        <v>TSX:NGD_2022_Tech</v>
      </c>
      <c r="B184" s="1" t="str">
        <f t="shared" si="163"/>
        <v>TSX:NGD_2022_NEO3</v>
      </c>
      <c r="C184" s="114" t="str">
        <f t="shared" si="128"/>
        <v>TSX:NGD</v>
      </c>
      <c r="D184" s="133" t="str">
        <f>_xll.ciqfunctions.udf.CIQ(C184,"IQ_Company_Name")</f>
        <v>New Gold Inc.</v>
      </c>
      <c r="E184" s="114">
        <f t="shared" si="170"/>
        <v>2022</v>
      </c>
      <c r="F184" s="114" t="str">
        <f>E184&amp;"-01-01"</f>
        <v>2022-01-01</v>
      </c>
      <c r="G184" s="330" t="str">
        <f t="shared" si="134"/>
        <v>2022-12-31</v>
      </c>
      <c r="H184" s="114">
        <f t="shared" si="177"/>
        <v>12</v>
      </c>
      <c r="I184" s="407" t="str">
        <f t="shared" si="143"/>
        <v>CAD</v>
      </c>
      <c r="J184" s="461">
        <f t="shared" si="164"/>
        <v>1</v>
      </c>
      <c r="K184" s="468" t="s">
        <v>469</v>
      </c>
      <c r="L184" s="465" t="str">
        <f t="shared" si="184"/>
        <v>NEO3</v>
      </c>
      <c r="M184" s="123" t="str">
        <f t="shared" si="184"/>
        <v>VP, Technical Services</v>
      </c>
      <c r="N184" s="132" t="str">
        <f t="shared" si="184"/>
        <v>Luke Buchanan</v>
      </c>
      <c r="O184" s="219" t="s">
        <v>78</v>
      </c>
      <c r="P184" s="125" t="str">
        <f t="shared" si="135"/>
        <v>-</v>
      </c>
      <c r="Q184" s="311" t="s">
        <v>78</v>
      </c>
      <c r="R184" s="126" t="str">
        <f t="shared" si="136"/>
        <v>-</v>
      </c>
      <c r="S184" s="221" t="s">
        <v>78</v>
      </c>
      <c r="T184" s="125" t="str">
        <f t="shared" si="137"/>
        <v>-</v>
      </c>
      <c r="U184" s="127" t="str">
        <f t="shared" si="173"/>
        <v>-</v>
      </c>
      <c r="V184" s="128"/>
      <c r="W184" s="223" t="s">
        <v>78</v>
      </c>
      <c r="X184" s="129" t="str">
        <f t="shared" si="174"/>
        <v>-</v>
      </c>
      <c r="Y184" s="124" t="str">
        <f t="shared" si="178"/>
        <v>-</v>
      </c>
      <c r="Z184" s="130" t="str">
        <f t="shared" si="179"/>
        <v>-</v>
      </c>
      <c r="AA184" s="221" t="s">
        <v>78</v>
      </c>
      <c r="AB184" s="225" t="s">
        <v>78</v>
      </c>
      <c r="AC184" s="225" t="s">
        <v>78</v>
      </c>
      <c r="AD184" s="225" t="s">
        <v>78</v>
      </c>
      <c r="AE184" s="225" t="s">
        <v>78</v>
      </c>
      <c r="AF184" s="125" t="str">
        <f t="shared" si="167"/>
        <v>-</v>
      </c>
      <c r="AG184" s="127" t="str">
        <f t="shared" si="175"/>
        <v>-</v>
      </c>
      <c r="AH184" s="128"/>
      <c r="AI184" s="223" t="s">
        <v>78</v>
      </c>
      <c r="AJ184" s="131" t="str">
        <f t="shared" si="176"/>
        <v>-</v>
      </c>
      <c r="AK184" s="368" t="str">
        <f t="shared" si="169"/>
        <v>-</v>
      </c>
      <c r="AL184" s="375" t="str">
        <f t="shared" si="180"/>
        <v>-</v>
      </c>
      <c r="AM184" s="376" t="str">
        <f t="shared" si="181"/>
        <v>-</v>
      </c>
      <c r="AN184" s="394" t="s">
        <v>78</v>
      </c>
      <c r="AO184" s="395" t="s">
        <v>78</v>
      </c>
      <c r="AP184" s="396" t="str">
        <f t="shared" si="159"/>
        <v>-</v>
      </c>
      <c r="AQ184" s="397"/>
      <c r="AR184" s="401" t="s">
        <v>78</v>
      </c>
      <c r="AS184" s="396" t="str">
        <f t="shared" si="160"/>
        <v>-</v>
      </c>
      <c r="AT184" s="397"/>
      <c r="AU184" s="388" t="str">
        <f t="shared" si="182"/>
        <v>-</v>
      </c>
      <c r="AV184" s="389" t="str">
        <f t="shared" si="183"/>
        <v>-</v>
      </c>
      <c r="AW184" s="353" t="s">
        <v>78</v>
      </c>
      <c r="AX184" s="403" t="s">
        <v>358</v>
      </c>
      <c r="AY184" s="404" t="s">
        <v>451</v>
      </c>
    </row>
    <row r="185" spans="1:52" ht="15" customHeight="1">
      <c r="A185" s="1" t="str">
        <f t="shared" si="157"/>
        <v>TSX:NGD_2024_COO</v>
      </c>
      <c r="B185" s="1" t="str">
        <f t="shared" si="163"/>
        <v>TSX:NGD_2024_NEO1</v>
      </c>
      <c r="C185" s="114" t="str">
        <f t="shared" si="128"/>
        <v>TSX:NGD</v>
      </c>
      <c r="D185" s="133" t="str">
        <f>_xll.ciqfunctions.udf.CIQ(C185,"IQ_Company_Name")</f>
        <v>New Gold Inc.</v>
      </c>
      <c r="E185" s="114">
        <f t="shared" si="170"/>
        <v>2024</v>
      </c>
      <c r="F185" s="114" t="str">
        <f>E185&amp;"-01-01"</f>
        <v>2024-01-01</v>
      </c>
      <c r="G185" s="330" t="str">
        <f t="shared" si="134"/>
        <v>2024-12-31</v>
      </c>
      <c r="H185" s="114">
        <f t="shared" si="177"/>
        <v>12</v>
      </c>
      <c r="I185" s="407" t="str">
        <f t="shared" si="143"/>
        <v>CAD</v>
      </c>
      <c r="J185" s="461">
        <f t="shared" si="164"/>
        <v>1</v>
      </c>
      <c r="K185" s="468" t="s">
        <v>277</v>
      </c>
      <c r="L185" s="464" t="s">
        <v>107</v>
      </c>
      <c r="M185" s="217" t="s">
        <v>425</v>
      </c>
      <c r="N185" s="218" t="s">
        <v>422</v>
      </c>
      <c r="O185" s="219">
        <v>605000</v>
      </c>
      <c r="P185" s="443">
        <v>575000</v>
      </c>
      <c r="Q185" s="311" t="s">
        <v>78</v>
      </c>
      <c r="R185" s="126" t="str">
        <f t="shared" si="136"/>
        <v>-</v>
      </c>
      <c r="S185" s="221">
        <v>781357</v>
      </c>
      <c r="T185" s="125">
        <f t="shared" si="137"/>
        <v>781357</v>
      </c>
      <c r="U185" s="127">
        <f t="shared" si="173"/>
        <v>1.3588817391304349</v>
      </c>
      <c r="V185" s="128">
        <f>IFERROR(AVERAGE(U185:U187),"N/A")</f>
        <v>1.3385118988872211</v>
      </c>
      <c r="W185" s="223">
        <v>1</v>
      </c>
      <c r="X185" s="129">
        <f t="shared" si="174"/>
        <v>575000</v>
      </c>
      <c r="Y185" s="124">
        <f t="shared" si="178"/>
        <v>1356357</v>
      </c>
      <c r="Z185" s="130">
        <f t="shared" si="179"/>
        <v>1150000</v>
      </c>
      <c r="AA185" s="221">
        <f>1058750*0.4</f>
        <v>423500</v>
      </c>
      <c r="AB185" s="221">
        <f>1058750*0.6</f>
        <v>635250</v>
      </c>
      <c r="AC185" s="225" t="s">
        <v>78</v>
      </c>
      <c r="AD185" s="225" t="s">
        <v>78</v>
      </c>
      <c r="AE185" s="225" t="s">
        <v>78</v>
      </c>
      <c r="AF185" s="125">
        <f t="shared" si="167"/>
        <v>1058750</v>
      </c>
      <c r="AG185" s="127">
        <f t="shared" si="175"/>
        <v>1.8413043478260869</v>
      </c>
      <c r="AH185" s="128">
        <f>IFERROR(AVERAGE(AG185:AG187),"N/A")</f>
        <v>1.5572923385583408</v>
      </c>
      <c r="AI185" s="223">
        <v>1.75</v>
      </c>
      <c r="AJ185" s="131">
        <f t="shared" si="176"/>
        <v>1006250</v>
      </c>
      <c r="AK185" s="368">
        <f t="shared" si="169"/>
        <v>1058750</v>
      </c>
      <c r="AL185" s="375">
        <f t="shared" si="180"/>
        <v>2415107</v>
      </c>
      <c r="AM185" s="376">
        <f t="shared" si="181"/>
        <v>2156250</v>
      </c>
      <c r="AN185" s="394" t="s">
        <v>801</v>
      </c>
      <c r="AO185" s="395" t="s">
        <v>801</v>
      </c>
      <c r="AP185" s="396" t="str">
        <f t="shared" si="159"/>
        <v>-</v>
      </c>
      <c r="AQ185" s="397" t="str">
        <f>IFERROR(AVERAGE(AP185:AP187),"N/A")</f>
        <v>N/A</v>
      </c>
      <c r="AR185" s="401">
        <v>15780</v>
      </c>
      <c r="AS185" s="396">
        <f t="shared" si="160"/>
        <v>15780</v>
      </c>
      <c r="AT185" s="397">
        <f>IFERROR(AVERAGE(AS185:AS187),"N/A")</f>
        <v>8438.757575757576</v>
      </c>
      <c r="AU185" s="388">
        <f t="shared" si="182"/>
        <v>2430887</v>
      </c>
      <c r="AV185" s="389">
        <f t="shared" si="183"/>
        <v>2172030</v>
      </c>
      <c r="AW185" s="353" t="s">
        <v>426</v>
      </c>
      <c r="AX185" s="403" t="s">
        <v>358</v>
      </c>
      <c r="AY185" s="404" t="s">
        <v>451</v>
      </c>
    </row>
    <row r="186" spans="1:52" ht="15" customHeight="1">
      <c r="A186" s="1" t="str">
        <f t="shared" si="157"/>
        <v>TSX:NGD_2023_COO</v>
      </c>
      <c r="B186" s="1" t="str">
        <f t="shared" si="163"/>
        <v>TSX:NGD_2023_NEO1</v>
      </c>
      <c r="C186" s="114" t="str">
        <f t="shared" si="128"/>
        <v>TSX:NGD</v>
      </c>
      <c r="D186" s="133" t="str">
        <f>_xll.ciqfunctions.udf.CIQ(C186,"IQ_Company_Name")</f>
        <v>New Gold Inc.</v>
      </c>
      <c r="E186" s="114">
        <f t="shared" si="170"/>
        <v>2023</v>
      </c>
      <c r="F186" s="453">
        <v>45027</v>
      </c>
      <c r="G186" s="330" t="str">
        <f t="shared" si="134"/>
        <v>2023-12-31</v>
      </c>
      <c r="H186" s="114">
        <f t="shared" si="177"/>
        <v>8.7032967032967026</v>
      </c>
      <c r="I186" s="407" t="str">
        <f t="shared" si="143"/>
        <v>CAD</v>
      </c>
      <c r="J186" s="461">
        <f t="shared" si="164"/>
        <v>1</v>
      </c>
      <c r="K186" s="468" t="s">
        <v>277</v>
      </c>
      <c r="L186" s="465" t="str">
        <f t="shared" ref="L186:N187" si="185">L185</f>
        <v>NEO1</v>
      </c>
      <c r="M186" s="123" t="str">
        <f t="shared" si="185"/>
        <v>Former EVP &amp; COO</v>
      </c>
      <c r="N186" s="132" t="str">
        <f t="shared" si="185"/>
        <v>Yohann Bouchard</v>
      </c>
      <c r="O186" s="219">
        <v>416138</v>
      </c>
      <c r="P186" s="125">
        <f t="shared" si="135"/>
        <v>573766.03030303039</v>
      </c>
      <c r="Q186" s="311" t="s">
        <v>78</v>
      </c>
      <c r="R186" s="126" t="str">
        <f t="shared" si="136"/>
        <v>-</v>
      </c>
      <c r="S186" s="221">
        <v>548529</v>
      </c>
      <c r="T186" s="125">
        <f t="shared" si="137"/>
        <v>756305.13636363647</v>
      </c>
      <c r="U186" s="127">
        <f t="shared" si="173"/>
        <v>1.3181420586440076</v>
      </c>
      <c r="V186" s="128"/>
      <c r="W186" s="223" t="s">
        <v>78</v>
      </c>
      <c r="X186" s="129">
        <f t="shared" si="174"/>
        <v>0</v>
      </c>
      <c r="Y186" s="124">
        <f t="shared" si="178"/>
        <v>1330071.166666667</v>
      </c>
      <c r="Z186" s="130">
        <f t="shared" si="179"/>
        <v>573766.03030303039</v>
      </c>
      <c r="AA186" s="225">
        <f>0.4*730565</f>
        <v>292226</v>
      </c>
      <c r="AB186" s="225">
        <f>0.6*730565</f>
        <v>438339</v>
      </c>
      <c r="AC186" s="225" t="s">
        <v>78</v>
      </c>
      <c r="AD186" s="225" t="s">
        <v>78</v>
      </c>
      <c r="AE186" s="225" t="s">
        <v>78</v>
      </c>
      <c r="AF186" s="125">
        <f t="shared" si="167"/>
        <v>730565</v>
      </c>
      <c r="AG186" s="127">
        <f t="shared" si="175"/>
        <v>1.273280329290595</v>
      </c>
      <c r="AH186" s="128"/>
      <c r="AI186" s="223" t="s">
        <v>78</v>
      </c>
      <c r="AJ186" s="131">
        <f t="shared" si="176"/>
        <v>0</v>
      </c>
      <c r="AK186" s="368">
        <f t="shared" si="169"/>
        <v>730565</v>
      </c>
      <c r="AL186" s="375">
        <f t="shared" si="180"/>
        <v>2060636.166666667</v>
      </c>
      <c r="AM186" s="376">
        <f t="shared" si="181"/>
        <v>573766.03030303039</v>
      </c>
      <c r="AN186" s="394" t="s">
        <v>801</v>
      </c>
      <c r="AO186" s="395" t="s">
        <v>801</v>
      </c>
      <c r="AP186" s="396" t="str">
        <f t="shared" si="159"/>
        <v>-</v>
      </c>
      <c r="AQ186" s="397"/>
      <c r="AR186" s="401">
        <v>796</v>
      </c>
      <c r="AS186" s="396">
        <f t="shared" si="160"/>
        <v>1097.5151515151515</v>
      </c>
      <c r="AT186" s="397"/>
      <c r="AU186" s="388">
        <f t="shared" si="182"/>
        <v>2061733.6818181821</v>
      </c>
      <c r="AV186" s="389">
        <f t="shared" si="183"/>
        <v>574863.54545454553</v>
      </c>
      <c r="AW186" s="353" t="s">
        <v>78</v>
      </c>
      <c r="AX186" s="403" t="s">
        <v>358</v>
      </c>
      <c r="AY186" s="404" t="s">
        <v>451</v>
      </c>
    </row>
    <row r="187" spans="1:52" ht="15" customHeight="1">
      <c r="A187" s="1" t="str">
        <f t="shared" si="157"/>
        <v>TSX:NGD_2022_COO</v>
      </c>
      <c r="B187" s="1" t="str">
        <f t="shared" si="163"/>
        <v>TSX:NGD_2022_NEO1</v>
      </c>
      <c r="C187" s="203" t="str">
        <f t="shared" si="128"/>
        <v>TSX:NGD</v>
      </c>
      <c r="D187" s="205" t="str">
        <f>_xll.ciqfunctions.udf.CIQ(C187,"IQ_Company_Name")</f>
        <v>New Gold Inc.</v>
      </c>
      <c r="E187" s="204">
        <f t="shared" si="170"/>
        <v>2022</v>
      </c>
      <c r="F187" s="204" t="str">
        <f>E187&amp;"-01-01"</f>
        <v>2022-01-01</v>
      </c>
      <c r="G187" s="331" t="str">
        <f t="shared" si="134"/>
        <v>2022-12-31</v>
      </c>
      <c r="H187" s="204">
        <f t="shared" si="177"/>
        <v>12</v>
      </c>
      <c r="I187" s="408" t="str">
        <f t="shared" si="143"/>
        <v>CAD</v>
      </c>
      <c r="J187" s="463">
        <f t="shared" si="164"/>
        <v>1</v>
      </c>
      <c r="K187" s="470" t="s">
        <v>277</v>
      </c>
      <c r="L187" s="466" t="str">
        <f t="shared" si="185"/>
        <v>NEO1</v>
      </c>
      <c r="M187" s="206" t="str">
        <f t="shared" si="185"/>
        <v>Former EVP &amp; COO</v>
      </c>
      <c r="N187" s="207" t="str">
        <f t="shared" si="185"/>
        <v>Yohann Bouchard</v>
      </c>
      <c r="O187" s="220" t="s">
        <v>78</v>
      </c>
      <c r="P187" s="209" t="str">
        <f t="shared" si="135"/>
        <v>-</v>
      </c>
      <c r="Q187" s="312" t="s">
        <v>78</v>
      </c>
      <c r="R187" s="329" t="str">
        <f t="shared" si="136"/>
        <v>-</v>
      </c>
      <c r="S187" s="222" t="s">
        <v>78</v>
      </c>
      <c r="T187" s="209" t="str">
        <f t="shared" si="137"/>
        <v>-</v>
      </c>
      <c r="U187" s="211" t="str">
        <f t="shared" si="173"/>
        <v>-</v>
      </c>
      <c r="V187" s="212"/>
      <c r="W187" s="224" t="s">
        <v>78</v>
      </c>
      <c r="X187" s="213" t="str">
        <f t="shared" si="174"/>
        <v>-</v>
      </c>
      <c r="Y187" s="208" t="str">
        <f t="shared" si="178"/>
        <v>-</v>
      </c>
      <c r="Z187" s="214" t="str">
        <f t="shared" si="179"/>
        <v>-</v>
      </c>
      <c r="AA187" s="222" t="s">
        <v>78</v>
      </c>
      <c r="AB187" s="226" t="s">
        <v>78</v>
      </c>
      <c r="AC187" s="226" t="s">
        <v>78</v>
      </c>
      <c r="AD187" s="226" t="s">
        <v>78</v>
      </c>
      <c r="AE187" s="226" t="s">
        <v>78</v>
      </c>
      <c r="AF187" s="420" t="str">
        <f t="shared" si="167"/>
        <v>-</v>
      </c>
      <c r="AG187" s="211" t="str">
        <f t="shared" si="175"/>
        <v>-</v>
      </c>
      <c r="AH187" s="212"/>
      <c r="AI187" s="224" t="s">
        <v>78</v>
      </c>
      <c r="AJ187" s="215" t="str">
        <f t="shared" si="176"/>
        <v>-</v>
      </c>
      <c r="AK187" s="369" t="str">
        <f t="shared" si="169"/>
        <v>-</v>
      </c>
      <c r="AL187" s="377" t="str">
        <f t="shared" si="180"/>
        <v>-</v>
      </c>
      <c r="AM187" s="378" t="str">
        <f t="shared" si="181"/>
        <v>-</v>
      </c>
      <c r="AN187" s="398" t="s">
        <v>78</v>
      </c>
      <c r="AO187" s="399" t="s">
        <v>78</v>
      </c>
      <c r="AP187" s="396" t="str">
        <f t="shared" si="159"/>
        <v>-</v>
      </c>
      <c r="AQ187" s="400"/>
      <c r="AR187" s="402" t="s">
        <v>78</v>
      </c>
      <c r="AS187" s="396" t="str">
        <f t="shared" si="160"/>
        <v>-</v>
      </c>
      <c r="AT187" s="400"/>
      <c r="AU187" s="390" t="str">
        <f t="shared" si="182"/>
        <v>-</v>
      </c>
      <c r="AV187" s="391" t="str">
        <f t="shared" si="183"/>
        <v>-</v>
      </c>
      <c r="AW187" s="354" t="s">
        <v>78</v>
      </c>
      <c r="AX187" s="405" t="s">
        <v>358</v>
      </c>
      <c r="AY187" s="404" t="s">
        <v>451</v>
      </c>
    </row>
    <row r="188" spans="1:52" ht="15" customHeight="1">
      <c r="A188" s="1" t="str">
        <f t="shared" si="157"/>
        <v>TSX:ELD_2024_</v>
      </c>
      <c r="B188" s="1" t="str">
        <f t="shared" si="163"/>
        <v>TSX:ELD_2024_CEO</v>
      </c>
      <c r="C188" s="216" t="str">
        <f>D14</f>
        <v>TSX:ELD</v>
      </c>
      <c r="D188" s="133" t="str">
        <f>_xll.ciqfunctions.udf.CIQ(C188,"IQ_Company_Name")</f>
        <v>Eldorado Gold Corporation</v>
      </c>
      <c r="E188" s="328">
        <v>2024</v>
      </c>
      <c r="F188" s="430" t="str">
        <f>E188&amp;"-01-01"</f>
        <v>2024-01-01</v>
      </c>
      <c r="G188" s="330" t="str">
        <f t="shared" si="134"/>
        <v>2024-12-31</v>
      </c>
      <c r="H188" s="114">
        <f t="shared" si="177"/>
        <v>12</v>
      </c>
      <c r="I188" s="328" t="s">
        <v>2</v>
      </c>
      <c r="J188" s="461">
        <f t="shared" si="164"/>
        <v>1</v>
      </c>
      <c r="K188" s="468"/>
      <c r="L188" s="464" t="s">
        <v>79</v>
      </c>
      <c r="M188" s="217" t="s">
        <v>272</v>
      </c>
      <c r="N188" s="218" t="s">
        <v>308</v>
      </c>
      <c r="O188" s="219">
        <v>1060800</v>
      </c>
      <c r="P188" s="125">
        <f t="shared" si="135"/>
        <v>1060800</v>
      </c>
      <c r="Q188" s="311" t="s">
        <v>78</v>
      </c>
      <c r="R188" s="126" t="str">
        <f>IFERROR(IF((Q188*$K188)=0,"-",(Q188*$K188)),"-")</f>
        <v>-</v>
      </c>
      <c r="S188" s="221">
        <v>1463904</v>
      </c>
      <c r="T188" s="125">
        <f t="shared" ref="T188:T202" si="186">IFERROR(S188*(12/$H188)*$J188,"-")</f>
        <v>1463904</v>
      </c>
      <c r="U188" s="127">
        <f t="shared" si="173"/>
        <v>1.38</v>
      </c>
      <c r="V188" s="128">
        <f>IFERROR(AVERAGE(U188:U190),"N/A")</f>
        <v>1.2347307063851181</v>
      </c>
      <c r="W188" s="223">
        <v>1.2</v>
      </c>
      <c r="X188" s="129">
        <f t="shared" si="174"/>
        <v>1272960</v>
      </c>
      <c r="Y188" s="124">
        <f t="shared" si="178"/>
        <v>2524704</v>
      </c>
      <c r="Z188" s="130">
        <f t="shared" si="179"/>
        <v>2333760</v>
      </c>
      <c r="AA188" s="221">
        <f>1750299*0.333333333333333</f>
        <v>583432.99999999942</v>
      </c>
      <c r="AB188" s="225">
        <f>1750299*0.666666666666667</f>
        <v>1166866.0000000005</v>
      </c>
      <c r="AC188" s="225">
        <v>583438</v>
      </c>
      <c r="AD188" s="225" t="s">
        <v>78</v>
      </c>
      <c r="AE188" s="225" t="s">
        <v>78</v>
      </c>
      <c r="AF188" s="125">
        <f t="shared" ref="AF188:AF202" si="187">IFERROR(IF(SUM(AA188:AE188)=0,IF(COUNTIF($AA188:$AE188,"=0")&gt;0,"$0","-"),SUM(AA188:AE188)),"-")</f>
        <v>2333737</v>
      </c>
      <c r="AG188" s="127">
        <f t="shared" si="175"/>
        <v>2.1999783182503769</v>
      </c>
      <c r="AH188" s="128">
        <f>IFERROR(AVERAGE(AG188:AG190),"N/A")</f>
        <v>2.1717801030668675</v>
      </c>
      <c r="AI188" s="223">
        <v>2.2000000000000002</v>
      </c>
      <c r="AJ188" s="131">
        <f t="shared" si="176"/>
        <v>2333760</v>
      </c>
      <c r="AK188" s="368">
        <f t="shared" si="169"/>
        <v>2333737</v>
      </c>
      <c r="AL188" s="375">
        <f t="shared" si="180"/>
        <v>4858441</v>
      </c>
      <c r="AM188" s="376">
        <f t="shared" si="181"/>
        <v>4667520</v>
      </c>
      <c r="AN188" s="394">
        <v>350064</v>
      </c>
      <c r="AO188" s="395" t="s">
        <v>274</v>
      </c>
      <c r="AP188" s="396">
        <f t="shared" si="159"/>
        <v>350064</v>
      </c>
      <c r="AQ188" s="409">
        <f>IFERROR(AVERAGE(AP188:AP190),"N/A")</f>
        <v>324768</v>
      </c>
      <c r="AR188" s="401" t="s">
        <v>78</v>
      </c>
      <c r="AS188" s="396" t="str">
        <f t="shared" si="160"/>
        <v>-</v>
      </c>
      <c r="AT188" s="409" t="str">
        <f>IFERROR(AVERAGE(AS188:AS190),"N/A")</f>
        <v>N/A</v>
      </c>
      <c r="AU188" s="386">
        <f>IFERROR(IF(SUM(AL188,AP188,AS188)=0,"-",SUM(AL188,AP188,AS188)),"-")</f>
        <v>5208505</v>
      </c>
      <c r="AV188" s="387">
        <f t="shared" si="183"/>
        <v>5017584</v>
      </c>
      <c r="AW188" s="353" t="s">
        <v>78</v>
      </c>
      <c r="AX188" s="403" t="s">
        <v>275</v>
      </c>
      <c r="AY188" s="404" t="s">
        <v>276</v>
      </c>
      <c r="AZ188" s="1" t="s">
        <v>451</v>
      </c>
    </row>
    <row r="189" spans="1:52" ht="15" customHeight="1">
      <c r="A189" s="1" t="str">
        <f t="shared" si="157"/>
        <v>TSX:ELD_2023_</v>
      </c>
      <c r="B189" s="1" t="str">
        <f t="shared" si="163"/>
        <v>TSX:ELD_2023_CEO</v>
      </c>
      <c r="C189" s="114" t="str">
        <f>C188</f>
        <v>TSX:ELD</v>
      </c>
      <c r="D189" s="133" t="str">
        <f>_xll.ciqfunctions.udf.CIQ(C189,"IQ_Company_Name")</f>
        <v>Eldorado Gold Corporation</v>
      </c>
      <c r="E189" s="328">
        <v>2023</v>
      </c>
      <c r="F189" s="330" t="str">
        <f t="shared" ref="F189:F205" si="188">E189&amp;"-01-01"</f>
        <v>2023-01-01</v>
      </c>
      <c r="G189" s="330" t="str">
        <f t="shared" si="134"/>
        <v>2023-12-31</v>
      </c>
      <c r="H189" s="114">
        <f t="shared" si="177"/>
        <v>12</v>
      </c>
      <c r="I189" s="407" t="str">
        <f t="shared" ref="I189:I202" si="189">I188</f>
        <v>CAD</v>
      </c>
      <c r="J189" s="461">
        <f t="shared" si="164"/>
        <v>1</v>
      </c>
      <c r="K189" s="468"/>
      <c r="L189" s="465" t="str">
        <f t="shared" ref="L189:N190" si="190">L188</f>
        <v>CEO</v>
      </c>
      <c r="M189" s="123" t="str">
        <f t="shared" si="190"/>
        <v>President &amp; CEO</v>
      </c>
      <c r="N189" s="132" t="str">
        <f t="shared" si="190"/>
        <v>George Burns</v>
      </c>
      <c r="O189" s="219">
        <v>1060800</v>
      </c>
      <c r="P189" s="125">
        <f t="shared" si="135"/>
        <v>1060800</v>
      </c>
      <c r="Q189" s="311" t="s">
        <v>78</v>
      </c>
      <c r="R189" s="126" t="str">
        <f t="shared" ref="R189:R217" si="191">IFERROR(IF((Q189*$K189)=0,"-",(Q189*$K189)),"-")</f>
        <v>-</v>
      </c>
      <c r="S189" s="221">
        <v>1476103</v>
      </c>
      <c r="T189" s="125">
        <f t="shared" si="186"/>
        <v>1476103</v>
      </c>
      <c r="U189" s="127">
        <f t="shared" si="173"/>
        <v>1.3914998114630468</v>
      </c>
      <c r="V189" s="128"/>
      <c r="W189" s="223" t="s">
        <v>78</v>
      </c>
      <c r="X189" s="129">
        <f t="shared" si="174"/>
        <v>0</v>
      </c>
      <c r="Y189" s="124">
        <f t="shared" si="178"/>
        <v>2536903</v>
      </c>
      <c r="Z189" s="130">
        <f t="shared" si="179"/>
        <v>1060800</v>
      </c>
      <c r="AA189" s="221">
        <f>1750315*0.333333333333333</f>
        <v>583438.33333333267</v>
      </c>
      <c r="AB189" s="225">
        <f>1750315*0.666666666666667</f>
        <v>1166876.6666666672</v>
      </c>
      <c r="AC189" s="225">
        <v>583437</v>
      </c>
      <c r="AD189" s="225" t="s">
        <v>78</v>
      </c>
      <c r="AE189" s="225" t="s">
        <v>78</v>
      </c>
      <c r="AF189" s="125">
        <f t="shared" si="187"/>
        <v>2333752</v>
      </c>
      <c r="AG189" s="127">
        <f t="shared" si="175"/>
        <v>2.1999924585218702</v>
      </c>
      <c r="AH189" s="128"/>
      <c r="AI189" s="223" t="s">
        <v>78</v>
      </c>
      <c r="AJ189" s="131">
        <f t="shared" si="176"/>
        <v>0</v>
      </c>
      <c r="AK189" s="368">
        <f t="shared" si="169"/>
        <v>2333752</v>
      </c>
      <c r="AL189" s="375">
        <f t="shared" si="180"/>
        <v>4870655</v>
      </c>
      <c r="AM189" s="376">
        <f t="shared" si="181"/>
        <v>1060800</v>
      </c>
      <c r="AN189" s="394">
        <v>318240</v>
      </c>
      <c r="AO189" s="395" t="s">
        <v>274</v>
      </c>
      <c r="AP189" s="396">
        <f t="shared" si="159"/>
        <v>318240</v>
      </c>
      <c r="AQ189" s="397"/>
      <c r="AR189" s="401" t="s">
        <v>78</v>
      </c>
      <c r="AS189" s="396" t="str">
        <f t="shared" si="160"/>
        <v>-</v>
      </c>
      <c r="AT189" s="397"/>
      <c r="AU189" s="388">
        <f>IFERROR(IF(SUM(AL189,AP189,AS189)=0,"-",SUM(AL189,AP189,AS189)),"-")</f>
        <v>5188895</v>
      </c>
      <c r="AV189" s="389">
        <f t="shared" si="183"/>
        <v>1379040</v>
      </c>
      <c r="AW189" s="353" t="s">
        <v>78</v>
      </c>
      <c r="AX189" s="403" t="s">
        <v>275</v>
      </c>
      <c r="AY189" s="404" t="s">
        <v>276</v>
      </c>
      <c r="AZ189" s="1" t="s">
        <v>451</v>
      </c>
    </row>
    <row r="190" spans="1:52" ht="15" customHeight="1">
      <c r="A190" s="1" t="str">
        <f t="shared" si="157"/>
        <v>TSX:ELD_2022_</v>
      </c>
      <c r="B190" s="1" t="str">
        <f t="shared" si="163"/>
        <v>TSX:ELD_2022_CEO</v>
      </c>
      <c r="C190" s="114" t="str">
        <f t="shared" si="128"/>
        <v>TSX:ELD</v>
      </c>
      <c r="D190" s="133" t="str">
        <f>_xll.ciqfunctions.udf.CIQ(C190,"IQ_Company_Name")</f>
        <v>Eldorado Gold Corporation</v>
      </c>
      <c r="E190" s="328">
        <v>2022</v>
      </c>
      <c r="F190" s="114" t="str">
        <f t="shared" si="188"/>
        <v>2022-01-01</v>
      </c>
      <c r="G190" s="330" t="str">
        <f t="shared" si="134"/>
        <v>2022-12-31</v>
      </c>
      <c r="H190" s="114">
        <f t="shared" si="177"/>
        <v>12</v>
      </c>
      <c r="I190" s="407" t="str">
        <f t="shared" si="189"/>
        <v>CAD</v>
      </c>
      <c r="J190" s="461">
        <f t="shared" si="164"/>
        <v>1</v>
      </c>
      <c r="K190" s="468"/>
      <c r="L190" s="465" t="str">
        <f t="shared" si="190"/>
        <v>CEO</v>
      </c>
      <c r="M190" s="123" t="str">
        <f t="shared" si="190"/>
        <v>President &amp; CEO</v>
      </c>
      <c r="N190" s="132" t="str">
        <f t="shared" si="190"/>
        <v>George Burns</v>
      </c>
      <c r="O190" s="219">
        <v>1060800</v>
      </c>
      <c r="P190" s="125">
        <f t="shared" si="135"/>
        <v>1060800</v>
      </c>
      <c r="Q190" s="311" t="s">
        <v>78</v>
      </c>
      <c r="R190" s="126" t="str">
        <f t="shared" si="191"/>
        <v>-</v>
      </c>
      <c r="S190" s="221">
        <v>989400</v>
      </c>
      <c r="T190" s="125">
        <f t="shared" si="186"/>
        <v>989400</v>
      </c>
      <c r="U190" s="127">
        <f t="shared" si="173"/>
        <v>0.93269230769230771</v>
      </c>
      <c r="V190" s="128"/>
      <c r="W190" s="223" t="s">
        <v>78</v>
      </c>
      <c r="X190" s="129">
        <f t="shared" si="174"/>
        <v>0</v>
      </c>
      <c r="Y190" s="124">
        <f t="shared" si="178"/>
        <v>2050200</v>
      </c>
      <c r="Z190" s="130">
        <f t="shared" si="179"/>
        <v>1060800</v>
      </c>
      <c r="AA190" s="221">
        <f>1682984/3</f>
        <v>560994.66666666663</v>
      </c>
      <c r="AB190" s="225">
        <f>1682984*0.666666666666667</f>
        <v>1121989.3333333337</v>
      </c>
      <c r="AC190" s="225">
        <v>561000</v>
      </c>
      <c r="AD190" s="225" t="s">
        <v>78</v>
      </c>
      <c r="AE190" s="225" t="s">
        <v>78</v>
      </c>
      <c r="AF190" s="125">
        <f t="shared" si="187"/>
        <v>2243984.0000000005</v>
      </c>
      <c r="AG190" s="127">
        <f t="shared" si="175"/>
        <v>2.1153695324283563</v>
      </c>
      <c r="AH190" s="128"/>
      <c r="AI190" s="223" t="s">
        <v>78</v>
      </c>
      <c r="AJ190" s="131">
        <f t="shared" si="176"/>
        <v>0</v>
      </c>
      <c r="AK190" s="368">
        <f t="shared" si="169"/>
        <v>2243984.0000000005</v>
      </c>
      <c r="AL190" s="375">
        <f t="shared" si="180"/>
        <v>4294184</v>
      </c>
      <c r="AM190" s="376">
        <f t="shared" si="181"/>
        <v>1060800</v>
      </c>
      <c r="AN190" s="394">
        <v>306000</v>
      </c>
      <c r="AO190" s="395" t="s">
        <v>274</v>
      </c>
      <c r="AP190" s="396">
        <f t="shared" si="159"/>
        <v>306000</v>
      </c>
      <c r="AQ190" s="397"/>
      <c r="AR190" s="401" t="s">
        <v>78</v>
      </c>
      <c r="AS190" s="396" t="str">
        <f t="shared" si="160"/>
        <v>-</v>
      </c>
      <c r="AT190" s="397"/>
      <c r="AU190" s="388">
        <f>IFERROR(IF(SUM(AL190,AP190,AS190)=0,"-",SUM(AL190,AP190,AS190)),"-")</f>
        <v>4600184</v>
      </c>
      <c r="AV190" s="389">
        <f t="shared" si="183"/>
        <v>1366800</v>
      </c>
      <c r="AW190" s="353" t="s">
        <v>78</v>
      </c>
      <c r="AX190" s="403" t="s">
        <v>275</v>
      </c>
      <c r="AY190" s="404" t="s">
        <v>276</v>
      </c>
      <c r="AZ190" s="1" t="s">
        <v>451</v>
      </c>
    </row>
    <row r="191" spans="1:52" ht="15" customHeight="1">
      <c r="A191" s="1" t="str">
        <f t="shared" si="157"/>
        <v>TSX:ELD_2024_</v>
      </c>
      <c r="B191" s="1" t="str">
        <f t="shared" si="163"/>
        <v>TSX:ELD_2024_CFO</v>
      </c>
      <c r="C191" s="114" t="str">
        <f t="shared" si="128"/>
        <v>TSX:ELD</v>
      </c>
      <c r="D191" s="133" t="str">
        <f>_xll.ciqfunctions.udf.CIQ(C191,"IQ_Company_Name")</f>
        <v>Eldorado Gold Corporation</v>
      </c>
      <c r="E191" s="114">
        <f t="shared" ref="E191:E202" si="192">E188</f>
        <v>2024</v>
      </c>
      <c r="F191" s="429" t="str">
        <f>E191&amp;"-01-02"</f>
        <v>2024-01-02</v>
      </c>
      <c r="G191" s="330" t="str">
        <f t="shared" si="134"/>
        <v>2024-12-31</v>
      </c>
      <c r="H191" s="328">
        <v>12</v>
      </c>
      <c r="I191" s="407" t="str">
        <f t="shared" si="189"/>
        <v>CAD</v>
      </c>
      <c r="J191" s="461">
        <f t="shared" si="164"/>
        <v>1</v>
      </c>
      <c r="K191" s="468"/>
      <c r="L191" s="464" t="s">
        <v>106</v>
      </c>
      <c r="M191" s="217" t="s">
        <v>309</v>
      </c>
      <c r="N191" s="218" t="s">
        <v>310</v>
      </c>
      <c r="O191" s="219">
        <v>519856</v>
      </c>
      <c r="P191" s="422">
        <v>520000</v>
      </c>
      <c r="Q191" s="311" t="s">
        <v>78</v>
      </c>
      <c r="R191" s="126" t="str">
        <f t="shared" si="191"/>
        <v>-</v>
      </c>
      <c r="S191" s="221">
        <v>478467</v>
      </c>
      <c r="T191" s="125">
        <f t="shared" si="186"/>
        <v>478467</v>
      </c>
      <c r="U191" s="127">
        <f t="shared" si="173"/>
        <v>0.92012884615384616</v>
      </c>
      <c r="V191" s="128">
        <f>IFERROR(AVERAGE(U191:U193),"N/A")</f>
        <v>0.92012884615384616</v>
      </c>
      <c r="W191" s="223">
        <v>0.8</v>
      </c>
      <c r="X191" s="129">
        <f t="shared" si="174"/>
        <v>416000</v>
      </c>
      <c r="Y191" s="124">
        <f t="shared" si="178"/>
        <v>998467</v>
      </c>
      <c r="Z191" s="130">
        <f t="shared" si="179"/>
        <v>936000</v>
      </c>
      <c r="AA191" s="221">
        <f>584982*1/3</f>
        <v>194994</v>
      </c>
      <c r="AB191" s="225">
        <f>584982*0.666666666666667</f>
        <v>389988.00000000017</v>
      </c>
      <c r="AC191" s="225">
        <v>194996</v>
      </c>
      <c r="AD191" s="225" t="s">
        <v>78</v>
      </c>
      <c r="AE191" s="225" t="s">
        <v>78</v>
      </c>
      <c r="AF191" s="125">
        <f t="shared" si="187"/>
        <v>779978.00000000023</v>
      </c>
      <c r="AG191" s="127">
        <f t="shared" si="175"/>
        <v>1.4999576923076927</v>
      </c>
      <c r="AH191" s="128">
        <f>IFERROR(AVERAGE(AG191:AG193),"N/A")</f>
        <v>1.4999576923076927</v>
      </c>
      <c r="AI191" s="423">
        <v>1.75</v>
      </c>
      <c r="AJ191" s="131">
        <f t="shared" si="176"/>
        <v>910000</v>
      </c>
      <c r="AK191" s="368">
        <f t="shared" si="169"/>
        <v>779978.00000000023</v>
      </c>
      <c r="AL191" s="375">
        <f t="shared" si="180"/>
        <v>1778445.0000000002</v>
      </c>
      <c r="AM191" s="376">
        <f t="shared" si="181"/>
        <v>1846000</v>
      </c>
      <c r="AN191" s="394">
        <v>93574</v>
      </c>
      <c r="AO191" s="395" t="s">
        <v>274</v>
      </c>
      <c r="AP191" s="396">
        <f t="shared" si="159"/>
        <v>93574</v>
      </c>
      <c r="AQ191" s="397">
        <f>IFERROR(AVERAGE(AP191:AP193),"N/A")</f>
        <v>93574</v>
      </c>
      <c r="AR191" s="401" t="s">
        <v>78</v>
      </c>
      <c r="AS191" s="396" t="str">
        <f t="shared" si="160"/>
        <v>-</v>
      </c>
      <c r="AT191" s="397" t="str">
        <f>IFERROR(AVERAGE(AS191:AS193),"N/A")</f>
        <v>N/A</v>
      </c>
      <c r="AU191" s="388">
        <f>IFERROR(IF(SUM(AL191,AP191,AS191)=0,"-",SUM(AL191,AP191,AS191)),"-")</f>
        <v>1872019.0000000002</v>
      </c>
      <c r="AV191" s="389">
        <f t="shared" si="183"/>
        <v>1939574</v>
      </c>
      <c r="AW191" s="353" t="s">
        <v>311</v>
      </c>
      <c r="AX191" s="403" t="s">
        <v>275</v>
      </c>
      <c r="AY191" s="404" t="s">
        <v>276</v>
      </c>
      <c r="AZ191" s="1" t="s">
        <v>451</v>
      </c>
    </row>
    <row r="192" spans="1:52" ht="15" customHeight="1">
      <c r="A192" s="1" t="str">
        <f t="shared" si="157"/>
        <v>TSX:ELD_2023_</v>
      </c>
      <c r="B192" s="1" t="str">
        <f t="shared" si="163"/>
        <v>TSX:ELD_2023_CFO</v>
      </c>
      <c r="C192" s="114" t="str">
        <f t="shared" si="128"/>
        <v>TSX:ELD</v>
      </c>
      <c r="D192" s="133" t="str">
        <f>_xll.ciqfunctions.udf.CIQ(C192,"IQ_Company_Name")</f>
        <v>Eldorado Gold Corporation</v>
      </c>
      <c r="E192" s="114">
        <f t="shared" si="192"/>
        <v>2023</v>
      </c>
      <c r="F192" s="114" t="str">
        <f t="shared" si="188"/>
        <v>2023-01-01</v>
      </c>
      <c r="G192" s="330" t="str">
        <f t="shared" si="134"/>
        <v>2023-12-31</v>
      </c>
      <c r="H192" s="114">
        <f t="shared" si="177"/>
        <v>12</v>
      </c>
      <c r="I192" s="407" t="str">
        <f t="shared" si="189"/>
        <v>CAD</v>
      </c>
      <c r="J192" s="461">
        <f t="shared" si="164"/>
        <v>1</v>
      </c>
      <c r="K192" s="468"/>
      <c r="L192" s="465" t="str">
        <f t="shared" ref="L192:N193" si="193">L191</f>
        <v>CFO</v>
      </c>
      <c r="M192" s="123" t="str">
        <f t="shared" si="193"/>
        <v>EVP &amp; CFO</v>
      </c>
      <c r="N192" s="132" t="str">
        <f t="shared" si="193"/>
        <v>Paul Fernehough</v>
      </c>
      <c r="O192" s="219" t="s">
        <v>78</v>
      </c>
      <c r="P192" s="125" t="str">
        <f t="shared" ref="P192:P217" si="194">IFERROR(O192*(12/$H192)*$J192,"-")</f>
        <v>-</v>
      </c>
      <c r="Q192" s="311" t="s">
        <v>78</v>
      </c>
      <c r="R192" s="126" t="str">
        <f t="shared" si="191"/>
        <v>-</v>
      </c>
      <c r="S192" s="221" t="s">
        <v>78</v>
      </c>
      <c r="T192" s="125" t="str">
        <f t="shared" si="186"/>
        <v>-</v>
      </c>
      <c r="U192" s="127" t="str">
        <f t="shared" si="173"/>
        <v>-</v>
      </c>
      <c r="V192" s="128"/>
      <c r="W192" s="223" t="s">
        <v>78</v>
      </c>
      <c r="X192" s="129" t="str">
        <f t="shared" si="174"/>
        <v>-</v>
      </c>
      <c r="Y192" s="124" t="str">
        <f t="shared" si="178"/>
        <v>-</v>
      </c>
      <c r="Z192" s="130" t="str">
        <f t="shared" si="179"/>
        <v>-</v>
      </c>
      <c r="AA192" s="221" t="s">
        <v>78</v>
      </c>
      <c r="AB192" s="225" t="s">
        <v>78</v>
      </c>
      <c r="AC192" s="225" t="s">
        <v>78</v>
      </c>
      <c r="AD192" s="225" t="s">
        <v>78</v>
      </c>
      <c r="AE192" s="225" t="s">
        <v>78</v>
      </c>
      <c r="AF192" s="125" t="str">
        <f t="shared" si="187"/>
        <v>-</v>
      </c>
      <c r="AG192" s="127" t="str">
        <f t="shared" si="175"/>
        <v>-</v>
      </c>
      <c r="AH192" s="128"/>
      <c r="AI192" s="223" t="s">
        <v>78</v>
      </c>
      <c r="AJ192" s="131" t="str">
        <f t="shared" si="176"/>
        <v>-</v>
      </c>
      <c r="AK192" s="368" t="str">
        <f t="shared" si="169"/>
        <v>-</v>
      </c>
      <c r="AL192" s="375" t="str">
        <f t="shared" si="180"/>
        <v>-</v>
      </c>
      <c r="AM192" s="376" t="str">
        <f t="shared" si="181"/>
        <v>-</v>
      </c>
      <c r="AN192" s="394" t="s">
        <v>78</v>
      </c>
      <c r="AO192" s="395" t="s">
        <v>78</v>
      </c>
      <c r="AP192" s="396" t="str">
        <f t="shared" si="159"/>
        <v>-</v>
      </c>
      <c r="AQ192" s="397"/>
      <c r="AR192" s="401" t="s">
        <v>78</v>
      </c>
      <c r="AS192" s="396" t="str">
        <f t="shared" si="160"/>
        <v>-</v>
      </c>
      <c r="AT192" s="397"/>
      <c r="AU192" s="388" t="str">
        <f>IFERROR(IF(SUM(AL192,AP192,AS192)=0,"-",SUM(AL192,AP192,AS192)),"-")</f>
        <v>-</v>
      </c>
      <c r="AV192" s="389" t="str">
        <f t="shared" si="183"/>
        <v>-</v>
      </c>
      <c r="AW192" s="353" t="s">
        <v>312</v>
      </c>
      <c r="AX192" s="403" t="s">
        <v>275</v>
      </c>
      <c r="AY192" s="404" t="s">
        <v>276</v>
      </c>
      <c r="AZ192" s="1" t="s">
        <v>451</v>
      </c>
    </row>
    <row r="193" spans="1:52" ht="15" customHeight="1">
      <c r="A193" s="1" t="str">
        <f t="shared" si="157"/>
        <v>TSX:ELD_2022_</v>
      </c>
      <c r="B193" s="1" t="str">
        <f t="shared" si="163"/>
        <v>TSX:ELD_2022_CFO</v>
      </c>
      <c r="C193" s="114" t="str">
        <f t="shared" si="128"/>
        <v>TSX:ELD</v>
      </c>
      <c r="D193" s="133" t="str">
        <f>_xll.ciqfunctions.udf.CIQ(C193,"IQ_Company_Name")</f>
        <v>Eldorado Gold Corporation</v>
      </c>
      <c r="E193" s="114">
        <f t="shared" si="192"/>
        <v>2022</v>
      </c>
      <c r="F193" s="114" t="str">
        <f t="shared" si="188"/>
        <v>2022-01-01</v>
      </c>
      <c r="G193" s="330" t="str">
        <f t="shared" si="134"/>
        <v>2022-12-31</v>
      </c>
      <c r="H193" s="114">
        <f t="shared" si="177"/>
        <v>12</v>
      </c>
      <c r="I193" s="407" t="str">
        <f t="shared" si="189"/>
        <v>CAD</v>
      </c>
      <c r="J193" s="461">
        <f t="shared" si="164"/>
        <v>1</v>
      </c>
      <c r="K193" s="468"/>
      <c r="L193" s="465" t="str">
        <f t="shared" si="193"/>
        <v>CFO</v>
      </c>
      <c r="M193" s="123" t="str">
        <f t="shared" si="193"/>
        <v>EVP &amp; CFO</v>
      </c>
      <c r="N193" s="132" t="str">
        <f t="shared" si="193"/>
        <v>Paul Fernehough</v>
      </c>
      <c r="O193" s="219" t="s">
        <v>78</v>
      </c>
      <c r="P193" s="125" t="str">
        <f t="shared" si="194"/>
        <v>-</v>
      </c>
      <c r="Q193" s="311" t="s">
        <v>78</v>
      </c>
      <c r="R193" s="126" t="str">
        <f t="shared" si="191"/>
        <v>-</v>
      </c>
      <c r="S193" s="221" t="s">
        <v>78</v>
      </c>
      <c r="T193" s="125" t="str">
        <f t="shared" si="186"/>
        <v>-</v>
      </c>
      <c r="U193" s="127" t="str">
        <f t="shared" si="173"/>
        <v>-</v>
      </c>
      <c r="V193" s="128"/>
      <c r="W193" s="223" t="s">
        <v>78</v>
      </c>
      <c r="X193" s="129" t="str">
        <f t="shared" si="174"/>
        <v>-</v>
      </c>
      <c r="Y193" s="124" t="str">
        <f t="shared" si="178"/>
        <v>-</v>
      </c>
      <c r="Z193" s="130" t="str">
        <f t="shared" si="179"/>
        <v>-</v>
      </c>
      <c r="AA193" s="221" t="s">
        <v>78</v>
      </c>
      <c r="AB193" s="225" t="s">
        <v>78</v>
      </c>
      <c r="AC193" s="225" t="s">
        <v>78</v>
      </c>
      <c r="AD193" s="225" t="s">
        <v>78</v>
      </c>
      <c r="AE193" s="225" t="s">
        <v>78</v>
      </c>
      <c r="AF193" s="125" t="str">
        <f t="shared" si="187"/>
        <v>-</v>
      </c>
      <c r="AG193" s="127" t="str">
        <f t="shared" si="175"/>
        <v>-</v>
      </c>
      <c r="AH193" s="128"/>
      <c r="AI193" s="223" t="s">
        <v>78</v>
      </c>
      <c r="AJ193" s="131" t="str">
        <f t="shared" si="176"/>
        <v>-</v>
      </c>
      <c r="AK193" s="368" t="str">
        <f t="shared" si="169"/>
        <v>-</v>
      </c>
      <c r="AL193" s="375" t="str">
        <f t="shared" si="180"/>
        <v>-</v>
      </c>
      <c r="AM193" s="376" t="str">
        <f t="shared" si="181"/>
        <v>-</v>
      </c>
      <c r="AN193" s="394" t="s">
        <v>78</v>
      </c>
      <c r="AO193" s="395" t="s">
        <v>78</v>
      </c>
      <c r="AP193" s="396" t="str">
        <f t="shared" si="159"/>
        <v>-</v>
      </c>
      <c r="AQ193" s="397"/>
      <c r="AR193" s="401" t="s">
        <v>78</v>
      </c>
      <c r="AS193" s="396" t="str">
        <f t="shared" si="160"/>
        <v>-</v>
      </c>
      <c r="AT193" s="397"/>
      <c r="AU193" s="388" t="str">
        <f t="shared" ref="AU193:AU217" si="195">IFERROR(IF(SUM(AL193,AP193,AS193)=0,"-",SUM(AL193,AP193,AS193)),"-")</f>
        <v>-</v>
      </c>
      <c r="AV193" s="389" t="str">
        <f t="shared" si="183"/>
        <v>-</v>
      </c>
      <c r="AW193" s="353" t="s">
        <v>78</v>
      </c>
      <c r="AX193" s="403" t="s">
        <v>275</v>
      </c>
      <c r="AY193" s="404" t="s">
        <v>276</v>
      </c>
      <c r="AZ193" s="1" t="s">
        <v>451</v>
      </c>
    </row>
    <row r="194" spans="1:52" ht="15" customHeight="1">
      <c r="A194" s="1" t="str">
        <f t="shared" si="157"/>
        <v>TSX:ELD_2024_Region</v>
      </c>
      <c r="B194" s="1" t="str">
        <f t="shared" si="163"/>
        <v>TSX:ELD_2024_NEO1</v>
      </c>
      <c r="C194" s="114" t="str">
        <f t="shared" si="128"/>
        <v>TSX:ELD</v>
      </c>
      <c r="D194" s="133" t="str">
        <f>_xll.ciqfunctions.udf.CIQ(C194,"IQ_Company_Name")</f>
        <v>Eldorado Gold Corporation</v>
      </c>
      <c r="E194" s="114">
        <f t="shared" si="192"/>
        <v>2024</v>
      </c>
      <c r="F194" s="330" t="str">
        <f t="shared" si="188"/>
        <v>2024-01-01</v>
      </c>
      <c r="G194" s="330" t="str">
        <f t="shared" si="134"/>
        <v>2024-12-31</v>
      </c>
      <c r="H194" s="114">
        <f t="shared" si="177"/>
        <v>12</v>
      </c>
      <c r="I194" s="407" t="str">
        <f t="shared" si="189"/>
        <v>CAD</v>
      </c>
      <c r="J194" s="461">
        <f t="shared" si="164"/>
        <v>1</v>
      </c>
      <c r="K194" s="468" t="s">
        <v>475</v>
      </c>
      <c r="L194" s="464" t="s">
        <v>107</v>
      </c>
      <c r="M194" s="217" t="s">
        <v>313</v>
      </c>
      <c r="N194" s="218" t="s">
        <v>314</v>
      </c>
      <c r="O194" s="219">
        <v>776395</v>
      </c>
      <c r="P194" s="125">
        <f t="shared" si="194"/>
        <v>776395</v>
      </c>
      <c r="Q194" s="311" t="s">
        <v>78</v>
      </c>
      <c r="R194" s="126" t="str">
        <f t="shared" si="191"/>
        <v>-</v>
      </c>
      <c r="S194" s="221">
        <v>646265</v>
      </c>
      <c r="T194" s="125">
        <f t="shared" si="186"/>
        <v>646265</v>
      </c>
      <c r="U194" s="127">
        <f t="shared" si="173"/>
        <v>0.83239201695013487</v>
      </c>
      <c r="V194" s="128">
        <f>IFERROR(AVERAGE(U194:U196),"N/A")</f>
        <v>0.83239201695013487</v>
      </c>
      <c r="W194" s="223">
        <v>0.8</v>
      </c>
      <c r="X194" s="129">
        <f t="shared" si="174"/>
        <v>621116</v>
      </c>
      <c r="Y194" s="124">
        <f t="shared" si="178"/>
        <v>1422660</v>
      </c>
      <c r="Z194" s="130">
        <f t="shared" si="179"/>
        <v>1397511</v>
      </c>
      <c r="AA194" s="426">
        <f>(912219/3)-(405425*0.25)</f>
        <v>202716.75</v>
      </c>
      <c r="AB194" s="422">
        <f>(912219*0.666666666666667)-(405425*0.5)</f>
        <v>405433.50000000023</v>
      </c>
      <c r="AC194" s="422">
        <f>304084-(405425*0.25)</f>
        <v>202727.75</v>
      </c>
      <c r="AD194" s="225" t="s">
        <v>78</v>
      </c>
      <c r="AE194" s="225" t="s">
        <v>78</v>
      </c>
      <c r="AF194" s="125">
        <f t="shared" si="187"/>
        <v>810878.00000000023</v>
      </c>
      <c r="AG194" s="127">
        <f t="shared" si="175"/>
        <v>1.0444142479021634</v>
      </c>
      <c r="AH194" s="128">
        <f>IFERROR(AVERAGE(AG194:AG196),"N/A")</f>
        <v>1.0444142479021634</v>
      </c>
      <c r="AI194" s="223">
        <v>1.5</v>
      </c>
      <c r="AJ194" s="131">
        <f t="shared" si="176"/>
        <v>1164592.5</v>
      </c>
      <c r="AK194" s="368">
        <f t="shared" si="169"/>
        <v>810878.00000000023</v>
      </c>
      <c r="AL194" s="375">
        <f t="shared" si="180"/>
        <v>2233538</v>
      </c>
      <c r="AM194" s="376">
        <f t="shared" si="181"/>
        <v>2562103.5</v>
      </c>
      <c r="AN194" s="394" t="s">
        <v>78</v>
      </c>
      <c r="AO194" s="395" t="s">
        <v>78</v>
      </c>
      <c r="AP194" s="396" t="str">
        <f t="shared" si="159"/>
        <v>-</v>
      </c>
      <c r="AQ194" s="397" t="str">
        <f>IFERROR(AVERAGE(AP194:AP196),"N/A")</f>
        <v>N/A</v>
      </c>
      <c r="AR194" s="401">
        <v>91336</v>
      </c>
      <c r="AS194" s="396">
        <f t="shared" si="160"/>
        <v>91336</v>
      </c>
      <c r="AT194" s="397">
        <f>IFERROR(AVERAGE(AS194:AS196),"N/A")</f>
        <v>91336</v>
      </c>
      <c r="AU194" s="388">
        <f t="shared" si="195"/>
        <v>2324874</v>
      </c>
      <c r="AV194" s="389">
        <f t="shared" si="183"/>
        <v>2653439.5</v>
      </c>
      <c r="AW194" s="425" t="s">
        <v>315</v>
      </c>
      <c r="AX194" s="403" t="s">
        <v>275</v>
      </c>
      <c r="AY194" s="404" t="s">
        <v>276</v>
      </c>
      <c r="AZ194" s="1" t="s">
        <v>451</v>
      </c>
    </row>
    <row r="195" spans="1:52" ht="15" customHeight="1">
      <c r="A195" s="1" t="str">
        <f t="shared" si="157"/>
        <v>TSX:ELD_2023_Region</v>
      </c>
      <c r="B195" s="1" t="str">
        <f t="shared" si="163"/>
        <v>TSX:ELD_2023_NEO1</v>
      </c>
      <c r="C195" s="114" t="str">
        <f t="shared" si="128"/>
        <v>TSX:ELD</v>
      </c>
      <c r="D195" s="133" t="str">
        <f>_xll.ciqfunctions.udf.CIQ(C195,"IQ_Company_Name")</f>
        <v>Eldorado Gold Corporation</v>
      </c>
      <c r="E195" s="114">
        <f t="shared" si="192"/>
        <v>2023</v>
      </c>
      <c r="F195" s="330" t="str">
        <f t="shared" si="188"/>
        <v>2023-01-01</v>
      </c>
      <c r="G195" s="330" t="str">
        <f t="shared" si="134"/>
        <v>2023-12-31</v>
      </c>
      <c r="H195" s="114">
        <f t="shared" si="177"/>
        <v>12</v>
      </c>
      <c r="I195" s="407" t="str">
        <f t="shared" si="189"/>
        <v>CAD</v>
      </c>
      <c r="J195" s="461">
        <f t="shared" si="164"/>
        <v>1</v>
      </c>
      <c r="K195" s="468" t="s">
        <v>475</v>
      </c>
      <c r="L195" s="465" t="str">
        <f t="shared" ref="L195:N196" si="196">L194</f>
        <v>NEO1</v>
      </c>
      <c r="M195" s="123" t="str">
        <f t="shared" si="196"/>
        <v>EVP, Development, Greece</v>
      </c>
      <c r="N195" s="132" t="str">
        <f t="shared" si="196"/>
        <v>Louw Smith</v>
      </c>
      <c r="O195" s="219" t="s">
        <v>78</v>
      </c>
      <c r="P195" s="125" t="str">
        <f t="shared" si="194"/>
        <v>-</v>
      </c>
      <c r="Q195" s="311" t="s">
        <v>78</v>
      </c>
      <c r="R195" s="126" t="str">
        <f t="shared" si="191"/>
        <v>-</v>
      </c>
      <c r="S195" s="221" t="s">
        <v>78</v>
      </c>
      <c r="T195" s="125" t="str">
        <f t="shared" si="186"/>
        <v>-</v>
      </c>
      <c r="U195" s="127" t="str">
        <f t="shared" si="173"/>
        <v>-</v>
      </c>
      <c r="V195" s="128"/>
      <c r="W195" s="223" t="s">
        <v>78</v>
      </c>
      <c r="X195" s="129" t="str">
        <f t="shared" si="174"/>
        <v>-</v>
      </c>
      <c r="Y195" s="124" t="str">
        <f t="shared" si="178"/>
        <v>-</v>
      </c>
      <c r="Z195" s="130" t="str">
        <f t="shared" si="179"/>
        <v>-</v>
      </c>
      <c r="AA195" s="221" t="s">
        <v>78</v>
      </c>
      <c r="AB195" s="225" t="s">
        <v>78</v>
      </c>
      <c r="AC195" s="225" t="s">
        <v>78</v>
      </c>
      <c r="AD195" s="225" t="s">
        <v>78</v>
      </c>
      <c r="AE195" s="225" t="s">
        <v>78</v>
      </c>
      <c r="AF195" s="125" t="str">
        <f t="shared" si="187"/>
        <v>-</v>
      </c>
      <c r="AG195" s="127" t="str">
        <f t="shared" si="175"/>
        <v>-</v>
      </c>
      <c r="AH195" s="128"/>
      <c r="AI195" s="223" t="s">
        <v>78</v>
      </c>
      <c r="AJ195" s="131" t="str">
        <f t="shared" si="176"/>
        <v>-</v>
      </c>
      <c r="AK195" s="368" t="str">
        <f t="shared" si="169"/>
        <v>-</v>
      </c>
      <c r="AL195" s="375" t="str">
        <f t="shared" si="180"/>
        <v>-</v>
      </c>
      <c r="AM195" s="376" t="str">
        <f t="shared" si="181"/>
        <v>-</v>
      </c>
      <c r="AN195" s="394" t="s">
        <v>78</v>
      </c>
      <c r="AO195" s="395" t="s">
        <v>78</v>
      </c>
      <c r="AP195" s="396" t="str">
        <f t="shared" si="159"/>
        <v>-</v>
      </c>
      <c r="AQ195" s="397"/>
      <c r="AR195" s="401" t="s">
        <v>78</v>
      </c>
      <c r="AS195" s="396" t="str">
        <f t="shared" si="160"/>
        <v>-</v>
      </c>
      <c r="AT195" s="397"/>
      <c r="AU195" s="388" t="str">
        <f t="shared" si="195"/>
        <v>-</v>
      </c>
      <c r="AV195" s="389" t="str">
        <f t="shared" si="183"/>
        <v>-</v>
      </c>
      <c r="AW195" s="353" t="s">
        <v>78</v>
      </c>
      <c r="AX195" s="403" t="s">
        <v>275</v>
      </c>
      <c r="AY195" s="404" t="s">
        <v>276</v>
      </c>
      <c r="AZ195" s="1" t="s">
        <v>451</v>
      </c>
    </row>
    <row r="196" spans="1:52" ht="15" customHeight="1">
      <c r="A196" s="1" t="str">
        <f t="shared" si="157"/>
        <v>TSX:ELD_2022_Region</v>
      </c>
      <c r="B196" s="1" t="str">
        <f t="shared" si="163"/>
        <v>TSX:ELD_2022_NEO1</v>
      </c>
      <c r="C196" s="114" t="str">
        <f t="shared" si="128"/>
        <v>TSX:ELD</v>
      </c>
      <c r="D196" s="133" t="str">
        <f>_xll.ciqfunctions.udf.CIQ(C196,"IQ_Company_Name")</f>
        <v>Eldorado Gold Corporation</v>
      </c>
      <c r="E196" s="114">
        <f t="shared" si="192"/>
        <v>2022</v>
      </c>
      <c r="F196" s="114" t="str">
        <f t="shared" si="188"/>
        <v>2022-01-01</v>
      </c>
      <c r="G196" s="330" t="str">
        <f t="shared" si="134"/>
        <v>2022-12-31</v>
      </c>
      <c r="H196" s="114">
        <f t="shared" si="177"/>
        <v>12</v>
      </c>
      <c r="I196" s="407" t="str">
        <f t="shared" si="189"/>
        <v>CAD</v>
      </c>
      <c r="J196" s="461">
        <f t="shared" si="164"/>
        <v>1</v>
      </c>
      <c r="K196" s="468" t="s">
        <v>475</v>
      </c>
      <c r="L196" s="465" t="str">
        <f t="shared" si="196"/>
        <v>NEO1</v>
      </c>
      <c r="M196" s="123" t="str">
        <f t="shared" si="196"/>
        <v>EVP, Development, Greece</v>
      </c>
      <c r="N196" s="132" t="str">
        <f t="shared" si="196"/>
        <v>Louw Smith</v>
      </c>
      <c r="O196" s="219" t="s">
        <v>78</v>
      </c>
      <c r="P196" s="125" t="str">
        <f t="shared" si="194"/>
        <v>-</v>
      </c>
      <c r="Q196" s="311" t="s">
        <v>78</v>
      </c>
      <c r="R196" s="126" t="str">
        <f t="shared" si="191"/>
        <v>-</v>
      </c>
      <c r="S196" s="221" t="s">
        <v>78</v>
      </c>
      <c r="T196" s="125" t="str">
        <f t="shared" si="186"/>
        <v>-</v>
      </c>
      <c r="U196" s="127" t="str">
        <f t="shared" si="173"/>
        <v>-</v>
      </c>
      <c r="V196" s="128"/>
      <c r="W196" s="223" t="s">
        <v>78</v>
      </c>
      <c r="X196" s="129" t="str">
        <f t="shared" si="174"/>
        <v>-</v>
      </c>
      <c r="Y196" s="124" t="str">
        <f t="shared" si="178"/>
        <v>-</v>
      </c>
      <c r="Z196" s="130" t="str">
        <f t="shared" si="179"/>
        <v>-</v>
      </c>
      <c r="AA196" s="221" t="s">
        <v>78</v>
      </c>
      <c r="AB196" s="225" t="s">
        <v>78</v>
      </c>
      <c r="AC196" s="225" t="s">
        <v>78</v>
      </c>
      <c r="AD196" s="225" t="s">
        <v>78</v>
      </c>
      <c r="AE196" s="225" t="s">
        <v>78</v>
      </c>
      <c r="AF196" s="125" t="str">
        <f t="shared" si="187"/>
        <v>-</v>
      </c>
      <c r="AG196" s="127" t="str">
        <f t="shared" si="175"/>
        <v>-</v>
      </c>
      <c r="AH196" s="128"/>
      <c r="AI196" s="223" t="s">
        <v>78</v>
      </c>
      <c r="AJ196" s="131" t="str">
        <f t="shared" si="176"/>
        <v>-</v>
      </c>
      <c r="AK196" s="368" t="str">
        <f t="shared" si="169"/>
        <v>-</v>
      </c>
      <c r="AL196" s="375" t="str">
        <f t="shared" si="180"/>
        <v>-</v>
      </c>
      <c r="AM196" s="376" t="str">
        <f t="shared" si="181"/>
        <v>-</v>
      </c>
      <c r="AN196" s="394" t="s">
        <v>78</v>
      </c>
      <c r="AO196" s="395" t="s">
        <v>78</v>
      </c>
      <c r="AP196" s="396" t="str">
        <f t="shared" si="159"/>
        <v>-</v>
      </c>
      <c r="AQ196" s="397"/>
      <c r="AR196" s="401" t="s">
        <v>78</v>
      </c>
      <c r="AS196" s="396" t="str">
        <f t="shared" si="160"/>
        <v>-</v>
      </c>
      <c r="AT196" s="397"/>
      <c r="AU196" s="388" t="str">
        <f t="shared" si="195"/>
        <v>-</v>
      </c>
      <c r="AV196" s="389" t="str">
        <f t="shared" si="183"/>
        <v>-</v>
      </c>
      <c r="AW196" s="353" t="s">
        <v>78</v>
      </c>
      <c r="AX196" s="403" t="s">
        <v>275</v>
      </c>
      <c r="AY196" s="404" t="s">
        <v>276</v>
      </c>
      <c r="AZ196" s="1" t="s">
        <v>451</v>
      </c>
    </row>
    <row r="197" spans="1:52" ht="15" customHeight="1">
      <c r="A197" s="1" t="str">
        <f t="shared" si="157"/>
        <v>TSX:ELD_2024_Legal</v>
      </c>
      <c r="B197" s="1" t="str">
        <f t="shared" si="163"/>
        <v>TSX:ELD_2024_NEO3</v>
      </c>
      <c r="C197" s="114" t="str">
        <f t="shared" ref="C197:C260" si="197">C196</f>
        <v>TSX:ELD</v>
      </c>
      <c r="D197" s="133" t="str">
        <f>_xll.ciqfunctions.udf.CIQ(C197,"IQ_Company_Name")</f>
        <v>Eldorado Gold Corporation</v>
      </c>
      <c r="E197" s="114">
        <f t="shared" si="192"/>
        <v>2024</v>
      </c>
      <c r="F197" s="114" t="str">
        <f t="shared" si="188"/>
        <v>2024-01-01</v>
      </c>
      <c r="G197" s="330" t="str">
        <f t="shared" si="134"/>
        <v>2024-12-31</v>
      </c>
      <c r="H197" s="114">
        <f t="shared" si="177"/>
        <v>12</v>
      </c>
      <c r="I197" s="407" t="str">
        <f t="shared" si="189"/>
        <v>CAD</v>
      </c>
      <c r="J197" s="461">
        <f t="shared" si="164"/>
        <v>1</v>
      </c>
      <c r="K197" s="468" t="s">
        <v>468</v>
      </c>
      <c r="L197" s="467" t="s">
        <v>109</v>
      </c>
      <c r="M197" s="217" t="s">
        <v>316</v>
      </c>
      <c r="N197" s="218" t="s">
        <v>317</v>
      </c>
      <c r="O197" s="431">
        <v>473300</v>
      </c>
      <c r="P197" s="125">
        <f t="shared" si="194"/>
        <v>473300</v>
      </c>
      <c r="Q197" s="311" t="s">
        <v>78</v>
      </c>
      <c r="R197" s="126" t="str">
        <f t="shared" si="191"/>
        <v>-</v>
      </c>
      <c r="S197" s="426">
        <v>435412</v>
      </c>
      <c r="T197" s="125">
        <f t="shared" si="186"/>
        <v>435412</v>
      </c>
      <c r="U197" s="127">
        <f t="shared" si="173"/>
        <v>0.91994929220367627</v>
      </c>
      <c r="V197" s="128">
        <f>IFERROR(AVERAGE(U197:U199),"N/A")</f>
        <v>0.94397464610183812</v>
      </c>
      <c r="W197" s="223">
        <v>0.8</v>
      </c>
      <c r="X197" s="129">
        <f t="shared" si="174"/>
        <v>378640</v>
      </c>
      <c r="Y197" s="124">
        <f t="shared" ref="Y197:Y211" si="198">IFERROR(IF(SUM(P197,T197)=0,"-",SUM(P197,T197)),"-")</f>
        <v>908712</v>
      </c>
      <c r="Z197" s="130">
        <f t="shared" ref="Z197:Z211" si="199">IFERROR(IF(SUM(P197,X197)=0,"-",SUM(P197,X197)),"-")</f>
        <v>851940</v>
      </c>
      <c r="AA197" s="426">
        <f>532448*0.333333333333333</f>
        <v>177482.66666666648</v>
      </c>
      <c r="AB197" s="422">
        <f>532448*0.666666666666667</f>
        <v>354965.33333333349</v>
      </c>
      <c r="AC197" s="422">
        <v>177485</v>
      </c>
      <c r="AD197" s="225" t="s">
        <v>78</v>
      </c>
      <c r="AE197" s="225" t="s">
        <v>78</v>
      </c>
      <c r="AF197" s="125">
        <f t="shared" si="187"/>
        <v>709933</v>
      </c>
      <c r="AG197" s="127">
        <f t="shared" si="175"/>
        <v>1.4999640819776041</v>
      </c>
      <c r="AH197" s="128">
        <f>IFERROR(AVERAGE(AG197:AG199),"N/A")</f>
        <v>1.499950929877691</v>
      </c>
      <c r="AI197" s="223">
        <v>1.5</v>
      </c>
      <c r="AJ197" s="131">
        <f t="shared" si="176"/>
        <v>709950</v>
      </c>
      <c r="AK197" s="368">
        <f t="shared" si="169"/>
        <v>709933</v>
      </c>
      <c r="AL197" s="375">
        <f t="shared" ref="AL197:AL211" si="200">IFERROR(IF(SUM(Y197,AK197)=0,"-",SUM(Y197,AK197)),"-")</f>
        <v>1618645</v>
      </c>
      <c r="AM197" s="376">
        <f t="shared" si="181"/>
        <v>1561890</v>
      </c>
      <c r="AN197" s="432">
        <v>85189</v>
      </c>
      <c r="AO197" s="395" t="s">
        <v>274</v>
      </c>
      <c r="AP197" s="396">
        <f t="shared" si="159"/>
        <v>85189</v>
      </c>
      <c r="AQ197" s="397">
        <f>IFERROR(AVERAGE(AP197:AP199),"N/A")</f>
        <v>83094.5</v>
      </c>
      <c r="AR197" s="401" t="s">
        <v>78</v>
      </c>
      <c r="AS197" s="396" t="str">
        <f t="shared" si="160"/>
        <v>-</v>
      </c>
      <c r="AT197" s="397" t="str">
        <f>IFERROR(AVERAGE(AS197:AS199),"N/A")</f>
        <v>N/A</v>
      </c>
      <c r="AU197" s="388">
        <f t="shared" si="195"/>
        <v>1703834</v>
      </c>
      <c r="AV197" s="389">
        <f t="shared" si="183"/>
        <v>1647079</v>
      </c>
      <c r="AW197" s="353" t="s">
        <v>318</v>
      </c>
      <c r="AX197" s="403" t="s">
        <v>275</v>
      </c>
      <c r="AY197" s="404" t="s">
        <v>276</v>
      </c>
      <c r="AZ197" s="1" t="s">
        <v>451</v>
      </c>
    </row>
    <row r="198" spans="1:52" ht="15" customHeight="1">
      <c r="A198" s="1" t="str">
        <f t="shared" si="157"/>
        <v>TSX:ELD_2023_Legal</v>
      </c>
      <c r="B198" s="1" t="str">
        <f t="shared" si="163"/>
        <v>TSX:ELD_2023_NEO3</v>
      </c>
      <c r="C198" s="114" t="str">
        <f t="shared" si="197"/>
        <v>TSX:ELD</v>
      </c>
      <c r="D198" s="133" t="str">
        <f>_xll.ciqfunctions.udf.CIQ(C198,"IQ_Company_Name")</f>
        <v>Eldorado Gold Corporation</v>
      </c>
      <c r="E198" s="114">
        <f t="shared" si="192"/>
        <v>2023</v>
      </c>
      <c r="F198" s="114" t="str">
        <f t="shared" si="188"/>
        <v>2023-01-01</v>
      </c>
      <c r="G198" s="330" t="str">
        <f t="shared" si="134"/>
        <v>2023-12-31</v>
      </c>
      <c r="H198" s="114">
        <f t="shared" si="177"/>
        <v>12</v>
      </c>
      <c r="I198" s="407" t="str">
        <f t="shared" si="189"/>
        <v>CAD</v>
      </c>
      <c r="J198" s="461">
        <f t="shared" si="164"/>
        <v>1</v>
      </c>
      <c r="K198" s="468" t="s">
        <v>468</v>
      </c>
      <c r="L198" s="465" t="str">
        <f t="shared" ref="L198:N199" si="201">L197</f>
        <v>NEO3</v>
      </c>
      <c r="M198" s="123" t="str">
        <f t="shared" si="201"/>
        <v>EVP, General Counsel &amp; Chief Compliance Officer</v>
      </c>
      <c r="N198" s="132" t="str">
        <f t="shared" si="201"/>
        <v>Frank Herbert</v>
      </c>
      <c r="O198" s="431">
        <v>450000</v>
      </c>
      <c r="P198" s="125">
        <f t="shared" si="194"/>
        <v>450000</v>
      </c>
      <c r="Q198" s="311" t="s">
        <v>78</v>
      </c>
      <c r="R198" s="126" t="str">
        <f t="shared" si="191"/>
        <v>-</v>
      </c>
      <c r="S198" s="426">
        <v>435600</v>
      </c>
      <c r="T198" s="125">
        <f t="shared" si="186"/>
        <v>435600</v>
      </c>
      <c r="U198" s="127">
        <f t="shared" si="173"/>
        <v>0.96799999999999997</v>
      </c>
      <c r="V198" s="128"/>
      <c r="W198" s="223" t="s">
        <v>78</v>
      </c>
      <c r="X198" s="129">
        <f t="shared" si="174"/>
        <v>0</v>
      </c>
      <c r="Y198" s="124">
        <f t="shared" si="198"/>
        <v>885600</v>
      </c>
      <c r="Z198" s="130">
        <f t="shared" si="199"/>
        <v>450000</v>
      </c>
      <c r="AA198" s="426">
        <v>168741</v>
      </c>
      <c r="AB198" s="422">
        <v>337482</v>
      </c>
      <c r="AC198" s="422">
        <v>168749</v>
      </c>
      <c r="AD198" s="225" t="s">
        <v>78</v>
      </c>
      <c r="AE198" s="225" t="s">
        <v>78</v>
      </c>
      <c r="AF198" s="125">
        <f t="shared" si="187"/>
        <v>674972</v>
      </c>
      <c r="AG198" s="127">
        <f t="shared" si="175"/>
        <v>1.4999377777777778</v>
      </c>
      <c r="AH198" s="128"/>
      <c r="AI198" s="223" t="s">
        <v>78</v>
      </c>
      <c r="AJ198" s="131">
        <f t="shared" si="176"/>
        <v>0</v>
      </c>
      <c r="AK198" s="368">
        <f t="shared" si="169"/>
        <v>674972</v>
      </c>
      <c r="AL198" s="375">
        <f t="shared" si="200"/>
        <v>1560572</v>
      </c>
      <c r="AM198" s="376">
        <f t="shared" si="181"/>
        <v>450000</v>
      </c>
      <c r="AN198" s="432">
        <v>81000</v>
      </c>
      <c r="AO198" s="395" t="s">
        <v>78</v>
      </c>
      <c r="AP198" s="396">
        <f t="shared" si="159"/>
        <v>81000</v>
      </c>
      <c r="AQ198" s="397"/>
      <c r="AR198" s="401" t="s">
        <v>78</v>
      </c>
      <c r="AS198" s="396" t="str">
        <f t="shared" si="160"/>
        <v>-</v>
      </c>
      <c r="AT198" s="397"/>
      <c r="AU198" s="388">
        <f t="shared" si="195"/>
        <v>1641572</v>
      </c>
      <c r="AV198" s="389">
        <f t="shared" si="183"/>
        <v>531000</v>
      </c>
      <c r="AW198" s="353" t="s">
        <v>78</v>
      </c>
      <c r="AX198" s="403" t="s">
        <v>275</v>
      </c>
      <c r="AY198" s="404" t="s">
        <v>276</v>
      </c>
      <c r="AZ198" s="1" t="s">
        <v>451</v>
      </c>
    </row>
    <row r="199" spans="1:52" ht="15" customHeight="1">
      <c r="A199" s="1" t="str">
        <f t="shared" si="157"/>
        <v>TSX:ELD_2022_Legal</v>
      </c>
      <c r="B199" s="1" t="str">
        <f t="shared" si="163"/>
        <v>TSX:ELD_2022_NEO3</v>
      </c>
      <c r="C199" s="114" t="str">
        <f t="shared" si="197"/>
        <v>TSX:ELD</v>
      </c>
      <c r="D199" s="133" t="str">
        <f>_xll.ciqfunctions.udf.CIQ(C199,"IQ_Company_Name")</f>
        <v>Eldorado Gold Corporation</v>
      </c>
      <c r="E199" s="114">
        <f t="shared" si="192"/>
        <v>2022</v>
      </c>
      <c r="F199" s="114" t="str">
        <f t="shared" si="188"/>
        <v>2022-01-01</v>
      </c>
      <c r="G199" s="330" t="str">
        <f t="shared" si="134"/>
        <v>2022-12-31</v>
      </c>
      <c r="H199" s="114">
        <f t="shared" si="177"/>
        <v>12</v>
      </c>
      <c r="I199" s="407" t="str">
        <f t="shared" si="189"/>
        <v>CAD</v>
      </c>
      <c r="J199" s="461">
        <f t="shared" si="164"/>
        <v>1</v>
      </c>
      <c r="K199" s="468" t="s">
        <v>468</v>
      </c>
      <c r="L199" s="465" t="str">
        <f t="shared" si="201"/>
        <v>NEO3</v>
      </c>
      <c r="M199" s="123" t="str">
        <f t="shared" si="201"/>
        <v>EVP, General Counsel &amp; Chief Compliance Officer</v>
      </c>
      <c r="N199" s="132" t="str">
        <f t="shared" si="201"/>
        <v>Frank Herbert</v>
      </c>
      <c r="O199" s="219" t="s">
        <v>78</v>
      </c>
      <c r="P199" s="125" t="str">
        <f t="shared" si="194"/>
        <v>-</v>
      </c>
      <c r="Q199" s="311" t="s">
        <v>78</v>
      </c>
      <c r="R199" s="126" t="str">
        <f t="shared" si="191"/>
        <v>-</v>
      </c>
      <c r="S199" s="221" t="s">
        <v>78</v>
      </c>
      <c r="T199" s="125" t="str">
        <f t="shared" si="186"/>
        <v>-</v>
      </c>
      <c r="U199" s="127" t="str">
        <f t="shared" si="173"/>
        <v>-</v>
      </c>
      <c r="V199" s="128"/>
      <c r="W199" s="223" t="s">
        <v>78</v>
      </c>
      <c r="X199" s="129" t="str">
        <f t="shared" si="174"/>
        <v>-</v>
      </c>
      <c r="Y199" s="124" t="str">
        <f t="shared" si="198"/>
        <v>-</v>
      </c>
      <c r="Z199" s="130" t="str">
        <f t="shared" si="199"/>
        <v>-</v>
      </c>
      <c r="AA199" s="221" t="s">
        <v>78</v>
      </c>
      <c r="AB199" s="225" t="s">
        <v>78</v>
      </c>
      <c r="AC199" s="225" t="s">
        <v>78</v>
      </c>
      <c r="AD199" s="225" t="s">
        <v>78</v>
      </c>
      <c r="AE199" s="225" t="s">
        <v>78</v>
      </c>
      <c r="AF199" s="125" t="str">
        <f t="shared" si="187"/>
        <v>-</v>
      </c>
      <c r="AG199" s="127" t="str">
        <f t="shared" si="175"/>
        <v>-</v>
      </c>
      <c r="AH199" s="128"/>
      <c r="AI199" s="223" t="s">
        <v>78</v>
      </c>
      <c r="AJ199" s="131" t="str">
        <f t="shared" si="176"/>
        <v>-</v>
      </c>
      <c r="AK199" s="368" t="str">
        <f t="shared" si="169"/>
        <v>-</v>
      </c>
      <c r="AL199" s="375" t="str">
        <f t="shared" si="200"/>
        <v>-</v>
      </c>
      <c r="AM199" s="376" t="str">
        <f t="shared" si="181"/>
        <v>-</v>
      </c>
      <c r="AN199" s="394" t="s">
        <v>78</v>
      </c>
      <c r="AO199" s="395" t="s">
        <v>78</v>
      </c>
      <c r="AP199" s="396" t="str">
        <f t="shared" si="159"/>
        <v>-</v>
      </c>
      <c r="AQ199" s="397"/>
      <c r="AR199" s="401" t="s">
        <v>78</v>
      </c>
      <c r="AS199" s="396" t="str">
        <f t="shared" si="160"/>
        <v>-</v>
      </c>
      <c r="AT199" s="397"/>
      <c r="AU199" s="388" t="str">
        <f t="shared" si="195"/>
        <v>-</v>
      </c>
      <c r="AV199" s="389" t="str">
        <f t="shared" si="183"/>
        <v>-</v>
      </c>
      <c r="AW199" s="353" t="s">
        <v>78</v>
      </c>
      <c r="AX199" s="403" t="s">
        <v>275</v>
      </c>
      <c r="AY199" s="404" t="s">
        <v>276</v>
      </c>
      <c r="AZ199" s="1" t="s">
        <v>451</v>
      </c>
    </row>
    <row r="200" spans="1:52" ht="15" customHeight="1">
      <c r="A200" s="1" t="str">
        <f t="shared" si="157"/>
        <v>TSX:ELD_2024_COO</v>
      </c>
      <c r="B200" s="1" t="str">
        <f t="shared" si="163"/>
        <v>TSX:ELD_2024_NEO2</v>
      </c>
      <c r="C200" s="114" t="str">
        <f t="shared" si="197"/>
        <v>TSX:ELD</v>
      </c>
      <c r="D200" s="133" t="str">
        <f>_xll.ciqfunctions.udf.CIQ(C200,"IQ_Company_Name")</f>
        <v>Eldorado Gold Corporation</v>
      </c>
      <c r="E200" s="114">
        <f t="shared" si="192"/>
        <v>2024</v>
      </c>
      <c r="F200" s="114" t="str">
        <f t="shared" si="188"/>
        <v>2024-01-01</v>
      </c>
      <c r="G200" s="330" t="str">
        <f t="shared" si="134"/>
        <v>2024-12-31</v>
      </c>
      <c r="H200" s="114">
        <f t="shared" si="177"/>
        <v>12</v>
      </c>
      <c r="I200" s="407" t="str">
        <f t="shared" si="189"/>
        <v>CAD</v>
      </c>
      <c r="J200" s="461">
        <f t="shared" si="164"/>
        <v>1</v>
      </c>
      <c r="K200" s="468" t="s">
        <v>277</v>
      </c>
      <c r="L200" s="467" t="s">
        <v>108</v>
      </c>
      <c r="M200" s="217" t="s">
        <v>319</v>
      </c>
      <c r="N200" s="218" t="s">
        <v>320</v>
      </c>
      <c r="O200" s="431">
        <v>488000</v>
      </c>
      <c r="P200" s="125">
        <f t="shared" si="194"/>
        <v>488000</v>
      </c>
      <c r="Q200" s="311" t="s">
        <v>78</v>
      </c>
      <c r="R200" s="126" t="str">
        <f t="shared" si="191"/>
        <v>-</v>
      </c>
      <c r="S200" s="426">
        <v>448960</v>
      </c>
      <c r="T200" s="125">
        <f t="shared" si="186"/>
        <v>448960</v>
      </c>
      <c r="U200" s="127">
        <f t="shared" si="173"/>
        <v>0.92</v>
      </c>
      <c r="V200" s="128">
        <f>IFERROR(AVERAGE(U200:U202),"N/A")</f>
        <v>0.86998136654410607</v>
      </c>
      <c r="W200" s="223">
        <v>0.8</v>
      </c>
      <c r="X200" s="129">
        <f t="shared" si="174"/>
        <v>390400</v>
      </c>
      <c r="Y200" s="124">
        <f t="shared" si="198"/>
        <v>936960</v>
      </c>
      <c r="Z200" s="130">
        <f t="shared" si="199"/>
        <v>878400</v>
      </c>
      <c r="AA200" s="426">
        <f>548987*0.333333333333333</f>
        <v>182995.66666666648</v>
      </c>
      <c r="AB200" s="422">
        <f>548987*0.666666666666667</f>
        <v>365991.33333333349</v>
      </c>
      <c r="AC200" s="422">
        <v>182997</v>
      </c>
      <c r="AD200" s="225" t="s">
        <v>78</v>
      </c>
      <c r="AE200" s="225" t="s">
        <v>78</v>
      </c>
      <c r="AF200" s="125">
        <f t="shared" si="187"/>
        <v>731984</v>
      </c>
      <c r="AG200" s="127">
        <f t="shared" si="175"/>
        <v>1.4999672131147541</v>
      </c>
      <c r="AH200" s="128">
        <f>IFERROR(AVERAGE(AG200:AG202),"N/A")</f>
        <v>1.338359911692685</v>
      </c>
      <c r="AI200" s="223">
        <v>1.5</v>
      </c>
      <c r="AJ200" s="131">
        <f t="shared" si="176"/>
        <v>732000</v>
      </c>
      <c r="AK200" s="368">
        <f t="shared" si="169"/>
        <v>731984</v>
      </c>
      <c r="AL200" s="375">
        <f t="shared" si="200"/>
        <v>1668944</v>
      </c>
      <c r="AM200" s="376">
        <f t="shared" si="181"/>
        <v>1610400</v>
      </c>
      <c r="AN200" s="432">
        <v>87840</v>
      </c>
      <c r="AO200" s="395" t="s">
        <v>274</v>
      </c>
      <c r="AP200" s="396">
        <f t="shared" si="159"/>
        <v>87840</v>
      </c>
      <c r="AQ200" s="397">
        <f>IFERROR(AVERAGE(AP200:AP202),"N/A")</f>
        <v>62934</v>
      </c>
      <c r="AR200" s="401" t="s">
        <v>78</v>
      </c>
      <c r="AS200" s="396" t="str">
        <f t="shared" si="160"/>
        <v>-</v>
      </c>
      <c r="AT200" s="397" t="str">
        <f>IFERROR(AVERAGE(AS200:AS202),"N/A")</f>
        <v>N/A</v>
      </c>
      <c r="AU200" s="388">
        <f t="shared" si="195"/>
        <v>1756784</v>
      </c>
      <c r="AV200" s="389">
        <f t="shared" si="183"/>
        <v>1698240</v>
      </c>
      <c r="AW200" s="353" t="s">
        <v>321</v>
      </c>
      <c r="AX200" s="403" t="s">
        <v>275</v>
      </c>
      <c r="AY200" s="404" t="s">
        <v>276</v>
      </c>
      <c r="AZ200" s="1" t="s">
        <v>451</v>
      </c>
    </row>
    <row r="201" spans="1:52" ht="15" customHeight="1">
      <c r="A201" s="1" t="str">
        <f t="shared" si="157"/>
        <v>TSX:ELD_2023_COO</v>
      </c>
      <c r="B201" s="1" t="str">
        <f t="shared" si="163"/>
        <v>TSX:ELD_2023_NEO2</v>
      </c>
      <c r="C201" s="114" t="str">
        <f t="shared" si="197"/>
        <v>TSX:ELD</v>
      </c>
      <c r="D201" s="133" t="str">
        <f>_xll.ciqfunctions.udf.CIQ(C201,"IQ_Company_Name")</f>
        <v>Eldorado Gold Corporation</v>
      </c>
      <c r="E201" s="114">
        <f t="shared" si="192"/>
        <v>2023</v>
      </c>
      <c r="F201" s="114" t="str">
        <f t="shared" si="188"/>
        <v>2023-01-01</v>
      </c>
      <c r="G201" s="330" t="str">
        <f t="shared" si="134"/>
        <v>2023-12-31</v>
      </c>
      <c r="H201" s="114">
        <f t="shared" si="177"/>
        <v>12</v>
      </c>
      <c r="I201" s="407" t="str">
        <f t="shared" si="189"/>
        <v>CAD</v>
      </c>
      <c r="J201" s="461">
        <f t="shared" si="164"/>
        <v>1</v>
      </c>
      <c r="K201" s="468" t="s">
        <v>277</v>
      </c>
      <c r="L201" s="465" t="str">
        <f t="shared" ref="L201:N202" si="202">L200</f>
        <v>NEO2</v>
      </c>
      <c r="M201" s="123" t="str">
        <f t="shared" si="202"/>
        <v>EVP, Technical Services &amp; Operations</v>
      </c>
      <c r="N201" s="132" t="str">
        <f t="shared" si="202"/>
        <v>Simon Hille</v>
      </c>
      <c r="O201" s="431">
        <v>441142</v>
      </c>
      <c r="P201" s="125">
        <f t="shared" si="194"/>
        <v>441142</v>
      </c>
      <c r="Q201" s="311" t="s">
        <v>78</v>
      </c>
      <c r="R201" s="126" t="str">
        <f t="shared" si="191"/>
        <v>-</v>
      </c>
      <c r="S201" s="426">
        <v>361720</v>
      </c>
      <c r="T201" s="125">
        <f t="shared" si="186"/>
        <v>361720</v>
      </c>
      <c r="U201" s="127">
        <f t="shared" si="173"/>
        <v>0.81996273308821199</v>
      </c>
      <c r="V201" s="128"/>
      <c r="W201" s="223" t="s">
        <v>78</v>
      </c>
      <c r="X201" s="129">
        <f t="shared" si="174"/>
        <v>0</v>
      </c>
      <c r="Y201" s="124">
        <f t="shared" si="198"/>
        <v>802862</v>
      </c>
      <c r="Z201" s="130">
        <f t="shared" si="199"/>
        <v>441142</v>
      </c>
      <c r="AA201" s="426">
        <f>389338*0.333333333333333</f>
        <v>129779.3333333332</v>
      </c>
      <c r="AB201" s="422">
        <f>389338*0.666666666666667</f>
        <v>259558.66666666677</v>
      </c>
      <c r="AC201" s="422">
        <v>129777</v>
      </c>
      <c r="AD201" s="225" t="s">
        <v>78</v>
      </c>
      <c r="AE201" s="225" t="s">
        <v>78</v>
      </c>
      <c r="AF201" s="125">
        <f t="shared" si="187"/>
        <v>519115</v>
      </c>
      <c r="AG201" s="127">
        <f t="shared" si="175"/>
        <v>1.1767526102706158</v>
      </c>
      <c r="AH201" s="128"/>
      <c r="AI201" s="223" t="s">
        <v>78</v>
      </c>
      <c r="AJ201" s="131">
        <f t="shared" si="176"/>
        <v>0</v>
      </c>
      <c r="AK201" s="368">
        <f t="shared" si="169"/>
        <v>519115</v>
      </c>
      <c r="AL201" s="375">
        <f t="shared" si="200"/>
        <v>1321977</v>
      </c>
      <c r="AM201" s="376">
        <f t="shared" si="181"/>
        <v>441142</v>
      </c>
      <c r="AN201" s="432">
        <v>38028</v>
      </c>
      <c r="AO201" s="395" t="s">
        <v>274</v>
      </c>
      <c r="AP201" s="396">
        <f t="shared" si="159"/>
        <v>38028</v>
      </c>
      <c r="AQ201" s="397"/>
      <c r="AR201" s="401" t="s">
        <v>78</v>
      </c>
      <c r="AS201" s="396" t="str">
        <f t="shared" si="160"/>
        <v>-</v>
      </c>
      <c r="AT201" s="397"/>
      <c r="AU201" s="388">
        <f t="shared" si="195"/>
        <v>1360005</v>
      </c>
      <c r="AV201" s="389">
        <f t="shared" si="183"/>
        <v>479170</v>
      </c>
      <c r="AW201" s="353" t="s">
        <v>78</v>
      </c>
      <c r="AX201" s="403" t="s">
        <v>275</v>
      </c>
      <c r="AY201" s="404" t="s">
        <v>276</v>
      </c>
      <c r="AZ201" s="1" t="s">
        <v>451</v>
      </c>
    </row>
    <row r="202" spans="1:52" ht="15" customHeight="1">
      <c r="A202" s="1" t="str">
        <f t="shared" si="157"/>
        <v>TSX:ELD_2022_Coo</v>
      </c>
      <c r="B202" s="1" t="str">
        <f t="shared" si="163"/>
        <v>TSX:ELD_2022_NEO2</v>
      </c>
      <c r="C202" s="203" t="str">
        <f t="shared" si="197"/>
        <v>TSX:ELD</v>
      </c>
      <c r="D202" s="205" t="str">
        <f>_xll.ciqfunctions.udf.CIQ(C202,"IQ_Company_Name")</f>
        <v>Eldorado Gold Corporation</v>
      </c>
      <c r="E202" s="204">
        <f t="shared" si="192"/>
        <v>2022</v>
      </c>
      <c r="F202" s="204" t="str">
        <f t="shared" si="188"/>
        <v>2022-01-01</v>
      </c>
      <c r="G202" s="331" t="str">
        <f t="shared" si="134"/>
        <v>2022-12-31</v>
      </c>
      <c r="H202" s="204">
        <f t="shared" si="177"/>
        <v>12</v>
      </c>
      <c r="I202" s="408" t="str">
        <f t="shared" si="189"/>
        <v>CAD</v>
      </c>
      <c r="J202" s="463">
        <f t="shared" si="164"/>
        <v>1</v>
      </c>
      <c r="K202" s="470" t="s">
        <v>712</v>
      </c>
      <c r="L202" s="466" t="str">
        <f t="shared" si="202"/>
        <v>NEO2</v>
      </c>
      <c r="M202" s="206" t="str">
        <f t="shared" si="202"/>
        <v>EVP, Technical Services &amp; Operations</v>
      </c>
      <c r="N202" s="207" t="str">
        <f t="shared" si="202"/>
        <v>Simon Hille</v>
      </c>
      <c r="O202" s="220" t="s">
        <v>78</v>
      </c>
      <c r="P202" s="209" t="str">
        <f t="shared" si="194"/>
        <v>-</v>
      </c>
      <c r="Q202" s="312" t="s">
        <v>78</v>
      </c>
      <c r="R202" s="329" t="str">
        <f t="shared" si="191"/>
        <v>-</v>
      </c>
      <c r="S202" s="222" t="s">
        <v>78</v>
      </c>
      <c r="T202" s="209" t="str">
        <f t="shared" si="186"/>
        <v>-</v>
      </c>
      <c r="U202" s="211" t="str">
        <f t="shared" si="173"/>
        <v>-</v>
      </c>
      <c r="V202" s="212"/>
      <c r="W202" s="224" t="s">
        <v>78</v>
      </c>
      <c r="X202" s="213" t="str">
        <f t="shared" si="174"/>
        <v>-</v>
      </c>
      <c r="Y202" s="208" t="str">
        <f t="shared" si="198"/>
        <v>-</v>
      </c>
      <c r="Z202" s="214" t="str">
        <f t="shared" si="199"/>
        <v>-</v>
      </c>
      <c r="AA202" s="222" t="s">
        <v>78</v>
      </c>
      <c r="AB202" s="226" t="s">
        <v>78</v>
      </c>
      <c r="AC202" s="226" t="s">
        <v>78</v>
      </c>
      <c r="AD202" s="226" t="s">
        <v>78</v>
      </c>
      <c r="AE202" s="226" t="s">
        <v>78</v>
      </c>
      <c r="AF202" s="420" t="str">
        <f t="shared" si="187"/>
        <v>-</v>
      </c>
      <c r="AG202" s="211" t="str">
        <f t="shared" si="175"/>
        <v>-</v>
      </c>
      <c r="AH202" s="212"/>
      <c r="AI202" s="224" t="s">
        <v>78</v>
      </c>
      <c r="AJ202" s="215" t="str">
        <f t="shared" si="176"/>
        <v>-</v>
      </c>
      <c r="AK202" s="369" t="str">
        <f t="shared" si="169"/>
        <v>-</v>
      </c>
      <c r="AL202" s="377" t="str">
        <f t="shared" si="200"/>
        <v>-</v>
      </c>
      <c r="AM202" s="378" t="str">
        <f t="shared" si="181"/>
        <v>-</v>
      </c>
      <c r="AN202" s="398" t="s">
        <v>78</v>
      </c>
      <c r="AO202" s="399" t="s">
        <v>78</v>
      </c>
      <c r="AP202" s="396" t="str">
        <f t="shared" si="159"/>
        <v>-</v>
      </c>
      <c r="AQ202" s="400"/>
      <c r="AR202" s="402" t="s">
        <v>78</v>
      </c>
      <c r="AS202" s="396" t="str">
        <f t="shared" si="160"/>
        <v>-</v>
      </c>
      <c r="AT202" s="400"/>
      <c r="AU202" s="390" t="str">
        <f t="shared" si="195"/>
        <v>-</v>
      </c>
      <c r="AV202" s="391" t="str">
        <f t="shared" si="183"/>
        <v>-</v>
      </c>
      <c r="AW202" s="354" t="s">
        <v>78</v>
      </c>
      <c r="AX202" s="405" t="s">
        <v>275</v>
      </c>
      <c r="AY202" s="406" t="s">
        <v>276</v>
      </c>
      <c r="AZ202" s="1" t="s">
        <v>451</v>
      </c>
    </row>
    <row r="203" spans="1:52" ht="15" customHeight="1">
      <c r="A203" s="1" t="str">
        <f t="shared" si="157"/>
        <v>TSX:SSRM_2024_</v>
      </c>
      <c r="B203" s="1" t="str">
        <f t="shared" si="163"/>
        <v>TSX:SSRM_2024_CEO</v>
      </c>
      <c r="C203" s="216" t="str">
        <f>D15</f>
        <v>TSX:SSRM</v>
      </c>
      <c r="D203" s="133" t="str">
        <f>_xll.ciqfunctions.udf.CIQ(C203,"IQ_Company_Name")</f>
        <v>SSR Mining Inc.</v>
      </c>
      <c r="E203" s="328">
        <v>2024</v>
      </c>
      <c r="F203" s="330" t="str">
        <f t="shared" si="188"/>
        <v>2024-01-01</v>
      </c>
      <c r="G203" s="330" t="str">
        <f t="shared" si="134"/>
        <v>2024-12-31</v>
      </c>
      <c r="H203" s="114">
        <f t="shared" si="177"/>
        <v>12</v>
      </c>
      <c r="I203" s="328" t="s">
        <v>297</v>
      </c>
      <c r="J203" s="461">
        <f t="shared" si="164"/>
        <v>1.3701700000000001</v>
      </c>
      <c r="K203" s="468"/>
      <c r="L203" s="467" t="s">
        <v>79</v>
      </c>
      <c r="M203" s="217" t="s">
        <v>322</v>
      </c>
      <c r="N203" s="218" t="s">
        <v>323</v>
      </c>
      <c r="O203" s="219">
        <v>1075000</v>
      </c>
      <c r="P203" s="125">
        <f t="shared" si="194"/>
        <v>1472932.7500000002</v>
      </c>
      <c r="Q203" s="311" t="s">
        <v>78</v>
      </c>
      <c r="R203" s="126" t="str">
        <f t="shared" si="191"/>
        <v>-</v>
      </c>
      <c r="S203" s="221">
        <v>788109</v>
      </c>
      <c r="T203" s="125">
        <f t="shared" ref="T203:T217" si="203">IFERROR(S203*(12/$H203)*$J203,"-")</f>
        <v>1079843.30853</v>
      </c>
      <c r="U203" s="127">
        <f t="shared" si="173"/>
        <v>0.73312465116279057</v>
      </c>
      <c r="V203" s="128">
        <f>IFERROR(AVERAGE(U203:U205),"N/A")</f>
        <v>0.73730310077519379</v>
      </c>
      <c r="W203" s="223">
        <v>1.1499999999999999</v>
      </c>
      <c r="X203" s="129">
        <f t="shared" si="174"/>
        <v>1693872.6625000001</v>
      </c>
      <c r="Y203" s="124">
        <f t="shared" si="198"/>
        <v>2552776.05853</v>
      </c>
      <c r="Z203" s="130">
        <f t="shared" si="199"/>
        <v>3166805.4125000006</v>
      </c>
      <c r="AA203" s="433">
        <f>3225000*0.5</f>
        <v>1612500</v>
      </c>
      <c r="AB203" s="434">
        <f>3225000*0.5</f>
        <v>1612500</v>
      </c>
      <c r="AC203" s="225" t="s">
        <v>78</v>
      </c>
      <c r="AD203" s="225" t="s">
        <v>78</v>
      </c>
      <c r="AE203" s="225" t="s">
        <v>78</v>
      </c>
      <c r="AF203" s="125">
        <f t="shared" ref="AF203:AF217" si="204">IFERROR(IF(SUM(AA203:AE203)=0,IF(COUNTIF($AA203:$AE203,"=0")&gt;0,"$0","-"),SUM(AA203:AE203)),"-")</f>
        <v>3225000</v>
      </c>
      <c r="AG203" s="127">
        <f t="shared" si="175"/>
        <v>2.9999999999999996</v>
      </c>
      <c r="AH203" s="128">
        <f>IFERROR(AVERAGE(AG203:AG205),"N/A")</f>
        <v>3</v>
      </c>
      <c r="AI203" s="223">
        <v>3</v>
      </c>
      <c r="AJ203" s="131">
        <f t="shared" si="176"/>
        <v>4418798.2500000009</v>
      </c>
      <c r="AK203" s="368">
        <f t="shared" si="169"/>
        <v>4418798.25</v>
      </c>
      <c r="AL203" s="375">
        <f t="shared" si="200"/>
        <v>6971574.30853</v>
      </c>
      <c r="AM203" s="376">
        <f t="shared" si="181"/>
        <v>7585603.6625000015</v>
      </c>
      <c r="AN203" s="394">
        <v>27600</v>
      </c>
      <c r="AO203" s="424" t="s">
        <v>274</v>
      </c>
      <c r="AP203" s="396">
        <f t="shared" si="159"/>
        <v>37816.692000000003</v>
      </c>
      <c r="AQ203" s="409">
        <f>IFERROR(AVERAGE(AP203:AP205),"N/A")</f>
        <v>35069.082666666669</v>
      </c>
      <c r="AR203" s="401" t="s">
        <v>78</v>
      </c>
      <c r="AS203" s="396" t="str">
        <f t="shared" si="160"/>
        <v>-</v>
      </c>
      <c r="AT203" s="409" t="str">
        <f>IFERROR(AVERAGE(AS203:AS205),"N/A")</f>
        <v>N/A</v>
      </c>
      <c r="AU203" s="388">
        <f t="shared" si="195"/>
        <v>7009391.0005299998</v>
      </c>
      <c r="AV203" s="389">
        <f t="shared" si="183"/>
        <v>7623420.3545000013</v>
      </c>
      <c r="AW203" s="425" t="s">
        <v>324</v>
      </c>
      <c r="AX203" s="403" t="s">
        <v>275</v>
      </c>
      <c r="AY203" s="404" t="s">
        <v>276</v>
      </c>
      <c r="AZ203" s="1" t="s">
        <v>451</v>
      </c>
    </row>
    <row r="204" spans="1:52" ht="15" customHeight="1">
      <c r="A204" s="1" t="str">
        <f t="shared" si="157"/>
        <v>TSX:SSRM_2023_</v>
      </c>
      <c r="B204" s="1" t="str">
        <f t="shared" si="163"/>
        <v>TSX:SSRM_2023_CEO</v>
      </c>
      <c r="C204" s="114" t="str">
        <f>C203</f>
        <v>TSX:SSRM</v>
      </c>
      <c r="D204" s="133" t="str">
        <f>_xll.ciqfunctions.udf.CIQ(C204,"IQ_Company_Name")</f>
        <v>SSR Mining Inc.</v>
      </c>
      <c r="E204" s="328">
        <v>2023</v>
      </c>
      <c r="F204" s="330" t="str">
        <f t="shared" si="188"/>
        <v>2023-01-01</v>
      </c>
      <c r="G204" s="330" t="str">
        <f t="shared" ref="G204:G217" si="205">E204&amp;"-12-31"</f>
        <v>2023-12-31</v>
      </c>
      <c r="H204" s="114">
        <f t="shared" si="177"/>
        <v>12</v>
      </c>
      <c r="I204" s="407" t="str">
        <f t="shared" ref="I204:I217" si="206">I203</f>
        <v>USD</v>
      </c>
      <c r="J204" s="461">
        <f t="shared" si="164"/>
        <v>1.34954</v>
      </c>
      <c r="K204" s="468"/>
      <c r="L204" s="465" t="str">
        <f t="shared" ref="L204:N205" si="207">L203</f>
        <v>CEO</v>
      </c>
      <c r="M204" s="123" t="str">
        <f t="shared" si="207"/>
        <v>Executive Chairman</v>
      </c>
      <c r="N204" s="132" t="str">
        <f t="shared" si="207"/>
        <v>Rodney Antal</v>
      </c>
      <c r="O204" s="219">
        <v>1075000</v>
      </c>
      <c r="P204" s="125">
        <f t="shared" si="194"/>
        <v>1450755.5</v>
      </c>
      <c r="Q204" s="311" t="s">
        <v>78</v>
      </c>
      <c r="R204" s="126" t="str">
        <f t="shared" si="191"/>
        <v>-</v>
      </c>
      <c r="S204" s="221">
        <v>959206</v>
      </c>
      <c r="T204" s="125">
        <f t="shared" si="203"/>
        <v>1294486.86524</v>
      </c>
      <c r="U204" s="127">
        <f t="shared" si="173"/>
        <v>0.89228465116279065</v>
      </c>
      <c r="V204" s="128"/>
      <c r="W204" s="223" t="s">
        <v>78</v>
      </c>
      <c r="X204" s="129">
        <f t="shared" si="174"/>
        <v>0</v>
      </c>
      <c r="Y204" s="124">
        <f t="shared" si="198"/>
        <v>2745242.3652400002</v>
      </c>
      <c r="Z204" s="130">
        <f t="shared" si="199"/>
        <v>1450755.5</v>
      </c>
      <c r="AA204" s="435">
        <v>1290000</v>
      </c>
      <c r="AB204" s="434">
        <v>1935000</v>
      </c>
      <c r="AC204" s="225" t="s">
        <v>78</v>
      </c>
      <c r="AD204" s="225" t="s">
        <v>78</v>
      </c>
      <c r="AE204" s="225" t="s">
        <v>78</v>
      </c>
      <c r="AF204" s="125">
        <f t="shared" si="204"/>
        <v>3225000</v>
      </c>
      <c r="AG204" s="127">
        <f t="shared" si="175"/>
        <v>3</v>
      </c>
      <c r="AH204" s="128"/>
      <c r="AI204" s="223" t="s">
        <v>78</v>
      </c>
      <c r="AJ204" s="131">
        <f t="shared" si="176"/>
        <v>0</v>
      </c>
      <c r="AK204" s="368">
        <f t="shared" si="169"/>
        <v>4352266.5</v>
      </c>
      <c r="AL204" s="375">
        <f t="shared" si="200"/>
        <v>7097508.8652400002</v>
      </c>
      <c r="AM204" s="376">
        <f t="shared" si="181"/>
        <v>1450755.5</v>
      </c>
      <c r="AN204" s="394">
        <v>26400</v>
      </c>
      <c r="AO204" s="395" t="s">
        <v>78</v>
      </c>
      <c r="AP204" s="396">
        <f t="shared" si="159"/>
        <v>35627.856</v>
      </c>
      <c r="AQ204" s="397"/>
      <c r="AR204" s="401" t="s">
        <v>78</v>
      </c>
      <c r="AS204" s="396" t="str">
        <f t="shared" si="160"/>
        <v>-</v>
      </c>
      <c r="AT204" s="397"/>
      <c r="AU204" s="388">
        <f t="shared" si="195"/>
        <v>7133136.7212399999</v>
      </c>
      <c r="AV204" s="389">
        <f t="shared" si="183"/>
        <v>1486383.3559999999</v>
      </c>
      <c r="AW204" s="353" t="s">
        <v>78</v>
      </c>
      <c r="AX204" s="403" t="s">
        <v>275</v>
      </c>
      <c r="AY204" s="404" t="s">
        <v>276</v>
      </c>
      <c r="AZ204" s="1" t="s">
        <v>451</v>
      </c>
    </row>
    <row r="205" spans="1:52" ht="15" customHeight="1">
      <c r="A205" s="1" t="str">
        <f t="shared" si="157"/>
        <v>TSX:SSRM_2022_</v>
      </c>
      <c r="B205" s="1" t="str">
        <f t="shared" si="163"/>
        <v>TSX:SSRM_2022_CEO</v>
      </c>
      <c r="C205" s="114" t="str">
        <f t="shared" si="197"/>
        <v>TSX:SSRM</v>
      </c>
      <c r="D205" s="133" t="str">
        <f>_xll.ciqfunctions.udf.CIQ(C205,"IQ_Company_Name")</f>
        <v>SSR Mining Inc.</v>
      </c>
      <c r="E205" s="328">
        <v>2022</v>
      </c>
      <c r="F205" s="114" t="str">
        <f t="shared" si="188"/>
        <v>2022-01-01</v>
      </c>
      <c r="G205" s="330" t="str">
        <f t="shared" si="205"/>
        <v>2022-12-31</v>
      </c>
      <c r="H205" s="114">
        <f t="shared" si="177"/>
        <v>12</v>
      </c>
      <c r="I205" s="407" t="str">
        <f t="shared" si="206"/>
        <v>USD</v>
      </c>
      <c r="J205" s="461">
        <f t="shared" si="164"/>
        <v>1.30175</v>
      </c>
      <c r="K205" s="468"/>
      <c r="L205" s="465" t="str">
        <f t="shared" si="207"/>
        <v>CEO</v>
      </c>
      <c r="M205" s="123" t="str">
        <f t="shared" si="207"/>
        <v>Executive Chairman</v>
      </c>
      <c r="N205" s="132" t="str">
        <f t="shared" si="207"/>
        <v>Rodney Antal</v>
      </c>
      <c r="O205" s="219">
        <v>1000000</v>
      </c>
      <c r="P205" s="125">
        <f t="shared" si="194"/>
        <v>1301750</v>
      </c>
      <c r="Q205" s="311" t="s">
        <v>78</v>
      </c>
      <c r="R205" s="126" t="str">
        <f t="shared" si="191"/>
        <v>-</v>
      </c>
      <c r="S205" s="426">
        <v>586500</v>
      </c>
      <c r="T205" s="125">
        <f t="shared" si="203"/>
        <v>763476.375</v>
      </c>
      <c r="U205" s="127">
        <f t="shared" si="173"/>
        <v>0.58650000000000002</v>
      </c>
      <c r="V205" s="128"/>
      <c r="W205" s="223" t="s">
        <v>78</v>
      </c>
      <c r="X205" s="129">
        <f t="shared" si="174"/>
        <v>0</v>
      </c>
      <c r="Y205" s="124">
        <f t="shared" si="198"/>
        <v>2065226.375</v>
      </c>
      <c r="Z205" s="130">
        <f t="shared" si="199"/>
        <v>1301750</v>
      </c>
      <c r="AA205" s="431">
        <f>0.4*3000000</f>
        <v>1200000</v>
      </c>
      <c r="AB205" s="426">
        <f>0.6*3000000</f>
        <v>1800000</v>
      </c>
      <c r="AC205" s="225" t="s">
        <v>78</v>
      </c>
      <c r="AD205" s="225" t="s">
        <v>78</v>
      </c>
      <c r="AE205" s="225" t="s">
        <v>78</v>
      </c>
      <c r="AF205" s="125">
        <f t="shared" si="204"/>
        <v>3000000</v>
      </c>
      <c r="AG205" s="127">
        <f t="shared" si="175"/>
        <v>3</v>
      </c>
      <c r="AH205" s="128"/>
      <c r="AI205" s="223" t="s">
        <v>78</v>
      </c>
      <c r="AJ205" s="131">
        <f t="shared" si="176"/>
        <v>0</v>
      </c>
      <c r="AK205" s="368">
        <f t="shared" si="169"/>
        <v>3905250</v>
      </c>
      <c r="AL205" s="375">
        <f t="shared" si="200"/>
        <v>5970476.375</v>
      </c>
      <c r="AM205" s="376">
        <f t="shared" si="181"/>
        <v>1301750</v>
      </c>
      <c r="AN205" s="394">
        <v>24400</v>
      </c>
      <c r="AO205" s="395" t="s">
        <v>78</v>
      </c>
      <c r="AP205" s="396">
        <f t="shared" si="159"/>
        <v>31762.7</v>
      </c>
      <c r="AQ205" s="397"/>
      <c r="AR205" s="401" t="s">
        <v>78</v>
      </c>
      <c r="AS205" s="396" t="str">
        <f t="shared" si="160"/>
        <v>-</v>
      </c>
      <c r="AT205" s="397"/>
      <c r="AU205" s="388">
        <f t="shared" si="195"/>
        <v>6002239.0750000002</v>
      </c>
      <c r="AV205" s="389">
        <f t="shared" si="183"/>
        <v>1333512.7</v>
      </c>
      <c r="AW205" s="353" t="s">
        <v>78</v>
      </c>
      <c r="AX205" s="403" t="s">
        <v>275</v>
      </c>
      <c r="AY205" s="404" t="s">
        <v>276</v>
      </c>
      <c r="AZ205" s="1" t="s">
        <v>451</v>
      </c>
    </row>
    <row r="206" spans="1:52" ht="15" customHeight="1">
      <c r="A206" s="1" t="str">
        <f t="shared" si="157"/>
        <v>TSX:SSRM_2024_</v>
      </c>
      <c r="B206" s="1" t="str">
        <f t="shared" si="163"/>
        <v>TSX:SSRM_2024_CFO</v>
      </c>
      <c r="C206" s="114" t="str">
        <f t="shared" si="197"/>
        <v>TSX:SSRM</v>
      </c>
      <c r="D206" s="133" t="str">
        <f>_xll.ciqfunctions.udf.CIQ(C206,"IQ_Company_Name")</f>
        <v>SSR Mining Inc.</v>
      </c>
      <c r="E206" s="114">
        <f t="shared" ref="E206:E217" si="208">E203</f>
        <v>2024</v>
      </c>
      <c r="F206" s="328" t="str">
        <f>E206&amp;"-03-08"</f>
        <v>2024-03-08</v>
      </c>
      <c r="G206" s="330" t="str">
        <f t="shared" si="205"/>
        <v>2024-12-31</v>
      </c>
      <c r="H206" s="328">
        <v>12</v>
      </c>
      <c r="I206" s="407" t="str">
        <f t="shared" si="206"/>
        <v>USD</v>
      </c>
      <c r="J206" s="461">
        <f t="shared" si="164"/>
        <v>1.3701700000000001</v>
      </c>
      <c r="K206" s="468"/>
      <c r="L206" s="464" t="s">
        <v>106</v>
      </c>
      <c r="M206" s="217" t="s">
        <v>309</v>
      </c>
      <c r="N206" s="218" t="s">
        <v>325</v>
      </c>
      <c r="O206" s="219">
        <v>600000</v>
      </c>
      <c r="P206" s="125">
        <f t="shared" si="194"/>
        <v>822102.00000000012</v>
      </c>
      <c r="Q206" s="311" t="s">
        <v>78</v>
      </c>
      <c r="R206" s="126" t="str">
        <f t="shared" si="191"/>
        <v>-</v>
      </c>
      <c r="S206" s="221">
        <v>409500</v>
      </c>
      <c r="T206" s="125">
        <f t="shared" si="203"/>
        <v>561084.61499999999</v>
      </c>
      <c r="U206" s="127">
        <f t="shared" si="173"/>
        <v>0.68249999999999988</v>
      </c>
      <c r="V206" s="128">
        <f>IFERROR(AVERAGE(U206:U208),"N/A")</f>
        <v>0.68249999999999988</v>
      </c>
      <c r="W206" s="223">
        <v>0.75</v>
      </c>
      <c r="X206" s="129">
        <f t="shared" si="174"/>
        <v>616576.50000000012</v>
      </c>
      <c r="Y206" s="124">
        <f t="shared" si="198"/>
        <v>1383186.6150000002</v>
      </c>
      <c r="Z206" s="130">
        <f t="shared" si="199"/>
        <v>1438678.5000000002</v>
      </c>
      <c r="AA206" s="436">
        <f>1050000*0.5</f>
        <v>525000</v>
      </c>
      <c r="AB206" s="437">
        <f>1050000*0.5</f>
        <v>525000</v>
      </c>
      <c r="AC206" s="225" t="s">
        <v>78</v>
      </c>
      <c r="AD206" s="225" t="s">
        <v>78</v>
      </c>
      <c r="AE206" s="225" t="s">
        <v>78</v>
      </c>
      <c r="AF206" s="125">
        <f t="shared" si="204"/>
        <v>1050000</v>
      </c>
      <c r="AG206" s="127">
        <f t="shared" si="175"/>
        <v>1.7499999999999998</v>
      </c>
      <c r="AH206" s="128">
        <f>IFERROR(AVERAGE(AG206:AG208),"N/A")</f>
        <v>1.7499999999999998</v>
      </c>
      <c r="AI206" s="223">
        <v>1.75</v>
      </c>
      <c r="AJ206" s="131">
        <f t="shared" si="176"/>
        <v>1438678.5000000002</v>
      </c>
      <c r="AK206" s="368">
        <f t="shared" si="169"/>
        <v>1438678.5</v>
      </c>
      <c r="AL206" s="375">
        <f t="shared" si="200"/>
        <v>2821865.1150000002</v>
      </c>
      <c r="AM206" s="376">
        <f t="shared" si="181"/>
        <v>2877357.0000000005</v>
      </c>
      <c r="AN206" s="394">
        <v>27600</v>
      </c>
      <c r="AO206" s="424" t="s">
        <v>274</v>
      </c>
      <c r="AP206" s="396">
        <f t="shared" si="159"/>
        <v>37816.692000000003</v>
      </c>
      <c r="AQ206" s="397">
        <f>IFERROR(AVERAGE(AP206:AP208),"N/A")</f>
        <v>37816.692000000003</v>
      </c>
      <c r="AR206" s="401" t="s">
        <v>78</v>
      </c>
      <c r="AS206" s="396" t="str">
        <f t="shared" si="160"/>
        <v>-</v>
      </c>
      <c r="AT206" s="397" t="str">
        <f>IFERROR(AVERAGE(AS206:AS208),"N/A")</f>
        <v>N/A</v>
      </c>
      <c r="AU206" s="388">
        <f t="shared" si="195"/>
        <v>2859681.807</v>
      </c>
      <c r="AV206" s="389">
        <f t="shared" si="183"/>
        <v>2915173.6920000003</v>
      </c>
      <c r="AW206" s="353" t="s">
        <v>326</v>
      </c>
      <c r="AX206" s="403" t="s">
        <v>275</v>
      </c>
      <c r="AY206" s="404" t="s">
        <v>276</v>
      </c>
      <c r="AZ206" s="1" t="s">
        <v>451</v>
      </c>
    </row>
    <row r="207" spans="1:52" ht="15" customHeight="1">
      <c r="A207" s="1" t="str">
        <f t="shared" si="157"/>
        <v>TSX:SSRM_2023_</v>
      </c>
      <c r="B207" s="1" t="str">
        <f t="shared" si="163"/>
        <v>TSX:SSRM_2023_CFO</v>
      </c>
      <c r="C207" s="114" t="str">
        <f t="shared" si="197"/>
        <v>TSX:SSRM</v>
      </c>
      <c r="D207" s="133" t="str">
        <f>_xll.ciqfunctions.udf.CIQ(C207,"IQ_Company_Name")</f>
        <v>SSR Mining Inc.</v>
      </c>
      <c r="E207" s="114">
        <f t="shared" si="208"/>
        <v>2023</v>
      </c>
      <c r="F207" s="114" t="str">
        <f t="shared" ref="F207:F217" si="209">E207&amp;"-01-01"</f>
        <v>2023-01-01</v>
      </c>
      <c r="G207" s="330" t="str">
        <f t="shared" si="205"/>
        <v>2023-12-31</v>
      </c>
      <c r="H207" s="114">
        <f t="shared" si="177"/>
        <v>12</v>
      </c>
      <c r="I207" s="407" t="str">
        <f t="shared" si="206"/>
        <v>USD</v>
      </c>
      <c r="J207" s="461">
        <f t="shared" si="164"/>
        <v>1.34954</v>
      </c>
      <c r="K207" s="468"/>
      <c r="L207" s="465" t="str">
        <f t="shared" ref="L207:N208" si="210">L206</f>
        <v>CFO</v>
      </c>
      <c r="M207" s="123" t="str">
        <f t="shared" si="210"/>
        <v>EVP &amp; CFO</v>
      </c>
      <c r="N207" s="132" t="str">
        <f t="shared" si="210"/>
        <v>Michael Sparks</v>
      </c>
      <c r="O207" s="219" t="s">
        <v>78</v>
      </c>
      <c r="P207" s="125" t="str">
        <f t="shared" si="194"/>
        <v>-</v>
      </c>
      <c r="Q207" s="311" t="s">
        <v>78</v>
      </c>
      <c r="R207" s="126" t="str">
        <f t="shared" si="191"/>
        <v>-</v>
      </c>
      <c r="S207" s="221" t="s">
        <v>78</v>
      </c>
      <c r="T207" s="125" t="str">
        <f t="shared" si="203"/>
        <v>-</v>
      </c>
      <c r="U207" s="127" t="str">
        <f t="shared" si="173"/>
        <v>-</v>
      </c>
      <c r="V207" s="128"/>
      <c r="W207" s="223" t="s">
        <v>78</v>
      </c>
      <c r="X207" s="129" t="str">
        <f t="shared" si="174"/>
        <v>-</v>
      </c>
      <c r="Y207" s="124" t="str">
        <f t="shared" si="198"/>
        <v>-</v>
      </c>
      <c r="Z207" s="130" t="str">
        <f t="shared" si="199"/>
        <v>-</v>
      </c>
      <c r="AA207" s="219" t="s">
        <v>78</v>
      </c>
      <c r="AB207" s="221" t="s">
        <v>78</v>
      </c>
      <c r="AC207" s="225" t="s">
        <v>78</v>
      </c>
      <c r="AD207" s="225" t="s">
        <v>78</v>
      </c>
      <c r="AE207" s="225" t="s">
        <v>78</v>
      </c>
      <c r="AF207" s="125" t="str">
        <f t="shared" si="204"/>
        <v>-</v>
      </c>
      <c r="AG207" s="127" t="str">
        <f t="shared" si="175"/>
        <v>-</v>
      </c>
      <c r="AH207" s="128"/>
      <c r="AI207" s="223" t="s">
        <v>78</v>
      </c>
      <c r="AJ207" s="131" t="str">
        <f t="shared" si="176"/>
        <v>-</v>
      </c>
      <c r="AK207" s="368" t="str">
        <f t="shared" si="169"/>
        <v>-</v>
      </c>
      <c r="AL207" s="375" t="str">
        <f t="shared" si="200"/>
        <v>-</v>
      </c>
      <c r="AM207" s="376" t="str">
        <f t="shared" si="181"/>
        <v>-</v>
      </c>
      <c r="AN207" s="394" t="s">
        <v>78</v>
      </c>
      <c r="AO207" s="395" t="s">
        <v>78</v>
      </c>
      <c r="AP207" s="396" t="str">
        <f t="shared" si="159"/>
        <v>-</v>
      </c>
      <c r="AQ207" s="397"/>
      <c r="AR207" s="401" t="s">
        <v>78</v>
      </c>
      <c r="AS207" s="396" t="str">
        <f t="shared" si="160"/>
        <v>-</v>
      </c>
      <c r="AT207" s="397"/>
      <c r="AU207" s="388" t="str">
        <f t="shared" si="195"/>
        <v>-</v>
      </c>
      <c r="AV207" s="389" t="str">
        <f t="shared" si="183"/>
        <v>-</v>
      </c>
      <c r="AW207" s="353" t="s">
        <v>78</v>
      </c>
      <c r="AX207" s="403" t="s">
        <v>275</v>
      </c>
      <c r="AY207" s="404" t="s">
        <v>276</v>
      </c>
      <c r="AZ207" s="1" t="s">
        <v>451</v>
      </c>
    </row>
    <row r="208" spans="1:52" ht="15" customHeight="1">
      <c r="A208" s="1" t="str">
        <f t="shared" si="157"/>
        <v>TSX:SSRM_2022_</v>
      </c>
      <c r="B208" s="1" t="str">
        <f t="shared" si="163"/>
        <v>TSX:SSRM_2022_CFO</v>
      </c>
      <c r="C208" s="114" t="str">
        <f t="shared" si="197"/>
        <v>TSX:SSRM</v>
      </c>
      <c r="D208" s="133" t="str">
        <f>_xll.ciqfunctions.udf.CIQ(C208,"IQ_Company_Name")</f>
        <v>SSR Mining Inc.</v>
      </c>
      <c r="E208" s="114">
        <f t="shared" si="208"/>
        <v>2022</v>
      </c>
      <c r="F208" s="114" t="str">
        <f t="shared" si="209"/>
        <v>2022-01-01</v>
      </c>
      <c r="G208" s="330" t="str">
        <f t="shared" si="205"/>
        <v>2022-12-31</v>
      </c>
      <c r="H208" s="114">
        <f t="shared" si="177"/>
        <v>12</v>
      </c>
      <c r="I208" s="407" t="str">
        <f t="shared" si="206"/>
        <v>USD</v>
      </c>
      <c r="J208" s="461">
        <f t="shared" si="164"/>
        <v>1.30175</v>
      </c>
      <c r="K208" s="468"/>
      <c r="L208" s="465" t="str">
        <f t="shared" si="210"/>
        <v>CFO</v>
      </c>
      <c r="M208" s="123" t="str">
        <f t="shared" si="210"/>
        <v>EVP &amp; CFO</v>
      </c>
      <c r="N208" s="132" t="str">
        <f t="shared" si="210"/>
        <v>Michael Sparks</v>
      </c>
      <c r="O208" s="219" t="s">
        <v>78</v>
      </c>
      <c r="P208" s="125" t="str">
        <f t="shared" si="194"/>
        <v>-</v>
      </c>
      <c r="Q208" s="311" t="s">
        <v>78</v>
      </c>
      <c r="R208" s="126" t="str">
        <f t="shared" si="191"/>
        <v>-</v>
      </c>
      <c r="S208" s="221" t="s">
        <v>78</v>
      </c>
      <c r="T208" s="125" t="str">
        <f t="shared" si="203"/>
        <v>-</v>
      </c>
      <c r="U208" s="127" t="str">
        <f t="shared" si="173"/>
        <v>-</v>
      </c>
      <c r="V208" s="128"/>
      <c r="W208" s="223" t="s">
        <v>78</v>
      </c>
      <c r="X208" s="129" t="str">
        <f t="shared" si="174"/>
        <v>-</v>
      </c>
      <c r="Y208" s="124" t="str">
        <f t="shared" si="198"/>
        <v>-</v>
      </c>
      <c r="Z208" s="130" t="str">
        <f t="shared" si="199"/>
        <v>-</v>
      </c>
      <c r="AA208" s="219" t="s">
        <v>78</v>
      </c>
      <c r="AB208" s="221" t="s">
        <v>78</v>
      </c>
      <c r="AC208" s="225" t="s">
        <v>78</v>
      </c>
      <c r="AD208" s="225" t="s">
        <v>78</v>
      </c>
      <c r="AE208" s="225" t="s">
        <v>78</v>
      </c>
      <c r="AF208" s="125" t="str">
        <f t="shared" si="204"/>
        <v>-</v>
      </c>
      <c r="AG208" s="127" t="str">
        <f t="shared" si="175"/>
        <v>-</v>
      </c>
      <c r="AH208" s="128"/>
      <c r="AI208" s="223" t="s">
        <v>78</v>
      </c>
      <c r="AJ208" s="131" t="str">
        <f t="shared" si="176"/>
        <v>-</v>
      </c>
      <c r="AK208" s="368" t="str">
        <f t="shared" si="169"/>
        <v>-</v>
      </c>
      <c r="AL208" s="375" t="str">
        <f t="shared" si="200"/>
        <v>-</v>
      </c>
      <c r="AM208" s="376" t="str">
        <f t="shared" si="181"/>
        <v>-</v>
      </c>
      <c r="AN208" s="394" t="s">
        <v>78</v>
      </c>
      <c r="AO208" s="395" t="s">
        <v>78</v>
      </c>
      <c r="AP208" s="396" t="str">
        <f t="shared" si="159"/>
        <v>-</v>
      </c>
      <c r="AQ208" s="397"/>
      <c r="AR208" s="401" t="s">
        <v>78</v>
      </c>
      <c r="AS208" s="396" t="str">
        <f t="shared" si="160"/>
        <v>-</v>
      </c>
      <c r="AT208" s="397"/>
      <c r="AU208" s="388" t="str">
        <f t="shared" si="195"/>
        <v>-</v>
      </c>
      <c r="AV208" s="389" t="str">
        <f t="shared" si="183"/>
        <v>-</v>
      </c>
      <c r="AW208" s="353" t="s">
        <v>78</v>
      </c>
      <c r="AX208" s="403" t="s">
        <v>275</v>
      </c>
      <c r="AY208" s="404" t="s">
        <v>276</v>
      </c>
      <c r="AZ208" s="1" t="s">
        <v>451</v>
      </c>
    </row>
    <row r="209" spans="1:52" ht="15" customHeight="1">
      <c r="A209" s="1" t="str">
        <f t="shared" si="157"/>
        <v>TSX:SSRM_2024_COO</v>
      </c>
      <c r="B209" s="1" t="str">
        <f t="shared" si="163"/>
        <v>TSX:SSRM_2024_NEO1</v>
      </c>
      <c r="C209" s="114" t="str">
        <f t="shared" si="197"/>
        <v>TSX:SSRM</v>
      </c>
      <c r="D209" s="133" t="str">
        <f>_xll.ciqfunctions.udf.CIQ(C209,"IQ_Company_Name")</f>
        <v>SSR Mining Inc.</v>
      </c>
      <c r="E209" s="114">
        <f t="shared" si="208"/>
        <v>2024</v>
      </c>
      <c r="F209" s="330" t="str">
        <f t="shared" si="209"/>
        <v>2024-01-01</v>
      </c>
      <c r="G209" s="330" t="str">
        <f t="shared" si="205"/>
        <v>2024-12-31</v>
      </c>
      <c r="H209" s="114">
        <f t="shared" si="177"/>
        <v>12</v>
      </c>
      <c r="I209" s="407" t="str">
        <f t="shared" si="206"/>
        <v>USD</v>
      </c>
      <c r="J209" s="461">
        <f t="shared" si="164"/>
        <v>1.3701700000000001</v>
      </c>
      <c r="K209" s="468" t="s">
        <v>277</v>
      </c>
      <c r="L209" s="464" t="s">
        <v>107</v>
      </c>
      <c r="M209" s="217" t="s">
        <v>327</v>
      </c>
      <c r="N209" s="218" t="s">
        <v>328</v>
      </c>
      <c r="O209" s="219">
        <v>600000</v>
      </c>
      <c r="P209" s="125">
        <f t="shared" si="194"/>
        <v>822102.00000000012</v>
      </c>
      <c r="Q209" s="311" t="s">
        <v>78</v>
      </c>
      <c r="R209" s="126" t="str">
        <f t="shared" si="191"/>
        <v>-</v>
      </c>
      <c r="S209" s="221">
        <v>409500</v>
      </c>
      <c r="T209" s="125">
        <f t="shared" si="203"/>
        <v>561084.61499999999</v>
      </c>
      <c r="U209" s="127">
        <f t="shared" si="173"/>
        <v>0.68249999999999988</v>
      </c>
      <c r="V209" s="128">
        <f>IFERROR(AVERAGE(U209:U211),"N/A")</f>
        <v>0.66026999999999991</v>
      </c>
      <c r="W209" s="223">
        <v>0.75</v>
      </c>
      <c r="X209" s="129">
        <f t="shared" si="174"/>
        <v>616576.50000000012</v>
      </c>
      <c r="Y209" s="124">
        <f t="shared" si="198"/>
        <v>1383186.6150000002</v>
      </c>
      <c r="Z209" s="130">
        <f t="shared" si="199"/>
        <v>1438678.5000000002</v>
      </c>
      <c r="AA209" s="435">
        <f>(1050000*0.5)</f>
        <v>525000</v>
      </c>
      <c r="AB209" s="434">
        <f>1050000*0.5</f>
        <v>525000</v>
      </c>
      <c r="AC209" s="225" t="s">
        <v>78</v>
      </c>
      <c r="AD209" s="225" t="s">
        <v>78</v>
      </c>
      <c r="AE209" s="225" t="s">
        <v>78</v>
      </c>
      <c r="AF209" s="125">
        <f t="shared" si="204"/>
        <v>1050000</v>
      </c>
      <c r="AG209" s="127">
        <f t="shared" si="175"/>
        <v>1.7499999999999998</v>
      </c>
      <c r="AH209" s="128">
        <f>IFERROR(AVERAGE(AG209:AG211),"N/A")</f>
        <v>1.625</v>
      </c>
      <c r="AI209" s="223">
        <v>1.75</v>
      </c>
      <c r="AJ209" s="131">
        <f t="shared" si="176"/>
        <v>1438678.5000000002</v>
      </c>
      <c r="AK209" s="368">
        <f t="shared" si="169"/>
        <v>1438678.5</v>
      </c>
      <c r="AL209" s="375">
        <f t="shared" si="200"/>
        <v>2821865.1150000002</v>
      </c>
      <c r="AM209" s="376">
        <f t="shared" si="181"/>
        <v>2877357.0000000005</v>
      </c>
      <c r="AN209" s="394">
        <v>27600</v>
      </c>
      <c r="AO209" s="424" t="s">
        <v>274</v>
      </c>
      <c r="AP209" s="396">
        <f t="shared" si="159"/>
        <v>37816.692000000003</v>
      </c>
      <c r="AQ209" s="397">
        <f>IFERROR(AVERAGE(AP209:AP211),"N/A")</f>
        <v>25588.569000000003</v>
      </c>
      <c r="AR209" s="401" t="s">
        <v>78</v>
      </c>
      <c r="AS209" s="396" t="str">
        <f t="shared" si="160"/>
        <v>-</v>
      </c>
      <c r="AT209" s="397" t="str">
        <f>IFERROR(AVERAGE(AS209:AS211),"N/A")</f>
        <v>N/A</v>
      </c>
      <c r="AU209" s="388">
        <f t="shared" si="195"/>
        <v>2859681.807</v>
      </c>
      <c r="AV209" s="389">
        <f t="shared" si="183"/>
        <v>2915173.6920000003</v>
      </c>
      <c r="AW209" s="353" t="s">
        <v>346</v>
      </c>
      <c r="AX209" s="403" t="s">
        <v>275</v>
      </c>
      <c r="AY209" s="404" t="s">
        <v>276</v>
      </c>
      <c r="AZ209" s="1" t="s">
        <v>451</v>
      </c>
    </row>
    <row r="210" spans="1:52" ht="15" customHeight="1">
      <c r="A210" s="1" t="str">
        <f t="shared" si="157"/>
        <v>TSX:SSRM_2023_COO</v>
      </c>
      <c r="B210" s="1" t="str">
        <f t="shared" si="163"/>
        <v>TSX:SSRM_2023_NEO1</v>
      </c>
      <c r="C210" s="114" t="str">
        <f t="shared" si="197"/>
        <v>TSX:SSRM</v>
      </c>
      <c r="D210" s="133" t="str">
        <f>_xll.ciqfunctions.udf.CIQ(C210,"IQ_Company_Name")</f>
        <v>SSR Mining Inc.</v>
      </c>
      <c r="E210" s="114">
        <f t="shared" si="208"/>
        <v>2023</v>
      </c>
      <c r="F210" s="330" t="str">
        <f t="shared" si="209"/>
        <v>2023-01-01</v>
      </c>
      <c r="G210" s="330" t="str">
        <f t="shared" si="205"/>
        <v>2023-12-31</v>
      </c>
      <c r="H210" s="114">
        <f t="shared" si="177"/>
        <v>12</v>
      </c>
      <c r="I210" s="407" t="str">
        <f t="shared" si="206"/>
        <v>USD</v>
      </c>
      <c r="J210" s="461">
        <f t="shared" si="164"/>
        <v>1.34954</v>
      </c>
      <c r="K210" s="468" t="s">
        <v>277</v>
      </c>
      <c r="L210" s="465" t="str">
        <f t="shared" ref="L210:N211" si="211">L209</f>
        <v>NEO1</v>
      </c>
      <c r="M210" s="123" t="str">
        <f t="shared" si="211"/>
        <v>EVP, Operations and Sustainability</v>
      </c>
      <c r="N210" s="132" t="str">
        <f t="shared" si="211"/>
        <v>Bill MacNevin</v>
      </c>
      <c r="O210" s="219">
        <v>525000</v>
      </c>
      <c r="P210" s="125">
        <f t="shared" si="194"/>
        <v>708508.5</v>
      </c>
      <c r="Q210" s="311" t="s">
        <v>78</v>
      </c>
      <c r="R210" s="126" t="str">
        <f t="shared" si="191"/>
        <v>-</v>
      </c>
      <c r="S210" s="221">
        <v>334971</v>
      </c>
      <c r="T210" s="125">
        <f t="shared" si="203"/>
        <v>452056.76334</v>
      </c>
      <c r="U210" s="127">
        <f t="shared" si="173"/>
        <v>0.63804000000000005</v>
      </c>
      <c r="V210" s="128"/>
      <c r="W210" s="223" t="s">
        <v>78</v>
      </c>
      <c r="X210" s="129">
        <f t="shared" si="174"/>
        <v>0</v>
      </c>
      <c r="Y210" s="124">
        <f t="shared" si="198"/>
        <v>1160565.2633400001</v>
      </c>
      <c r="Z210" s="130">
        <f t="shared" si="199"/>
        <v>708508.5</v>
      </c>
      <c r="AA210" s="435">
        <f>315000</f>
        <v>315000</v>
      </c>
      <c r="AB210" s="434">
        <v>472500</v>
      </c>
      <c r="AC210" s="225" t="s">
        <v>78</v>
      </c>
      <c r="AD210" s="225" t="s">
        <v>78</v>
      </c>
      <c r="AE210" s="225" t="s">
        <v>78</v>
      </c>
      <c r="AF210" s="125">
        <f t="shared" si="204"/>
        <v>787500</v>
      </c>
      <c r="AG210" s="127">
        <f t="shared" si="175"/>
        <v>1.5</v>
      </c>
      <c r="AH210" s="128"/>
      <c r="AI210" s="223" t="s">
        <v>78</v>
      </c>
      <c r="AJ210" s="131">
        <f t="shared" si="176"/>
        <v>0</v>
      </c>
      <c r="AK210" s="368">
        <f t="shared" si="169"/>
        <v>1062762.75</v>
      </c>
      <c r="AL210" s="375">
        <f t="shared" si="200"/>
        <v>2223328.0133400001</v>
      </c>
      <c r="AM210" s="376">
        <f t="shared" si="181"/>
        <v>708508.5</v>
      </c>
      <c r="AN210" s="394">
        <v>9900</v>
      </c>
      <c r="AO210" s="395" t="s">
        <v>78</v>
      </c>
      <c r="AP210" s="396">
        <f t="shared" si="159"/>
        <v>13360.446</v>
      </c>
      <c r="AQ210" s="397"/>
      <c r="AR210" s="401" t="s">
        <v>78</v>
      </c>
      <c r="AS210" s="396" t="str">
        <f t="shared" si="160"/>
        <v>-</v>
      </c>
      <c r="AT210" s="397"/>
      <c r="AU210" s="388">
        <f t="shared" si="195"/>
        <v>2236688.4593400001</v>
      </c>
      <c r="AV210" s="389">
        <f t="shared" si="183"/>
        <v>721868.946</v>
      </c>
      <c r="AW210" s="353" t="s">
        <v>78</v>
      </c>
      <c r="AX210" s="403" t="s">
        <v>275</v>
      </c>
      <c r="AY210" s="404" t="s">
        <v>276</v>
      </c>
      <c r="AZ210" s="1" t="s">
        <v>451</v>
      </c>
    </row>
    <row r="211" spans="1:52" ht="15" customHeight="1">
      <c r="A211" s="1" t="str">
        <f t="shared" si="157"/>
        <v>TSX:SSRM_2022_COO</v>
      </c>
      <c r="B211" s="1" t="str">
        <f t="shared" si="163"/>
        <v>TSX:SSRM_2022_NEO1</v>
      </c>
      <c r="C211" s="114" t="str">
        <f t="shared" si="197"/>
        <v>TSX:SSRM</v>
      </c>
      <c r="D211" s="133" t="str">
        <f>_xll.ciqfunctions.udf.CIQ(C211,"IQ_Company_Name")</f>
        <v>SSR Mining Inc.</v>
      </c>
      <c r="E211" s="114">
        <f t="shared" si="208"/>
        <v>2022</v>
      </c>
      <c r="F211" s="114" t="str">
        <f t="shared" si="209"/>
        <v>2022-01-01</v>
      </c>
      <c r="G211" s="330" t="str">
        <f t="shared" si="205"/>
        <v>2022-12-31</v>
      </c>
      <c r="H211" s="114">
        <f t="shared" si="177"/>
        <v>12</v>
      </c>
      <c r="I211" s="407" t="str">
        <f t="shared" si="206"/>
        <v>USD</v>
      </c>
      <c r="J211" s="461">
        <f t="shared" si="164"/>
        <v>1.30175</v>
      </c>
      <c r="K211" s="468" t="s">
        <v>277</v>
      </c>
      <c r="L211" s="465" t="str">
        <f t="shared" si="211"/>
        <v>NEO1</v>
      </c>
      <c r="M211" s="123" t="str">
        <f t="shared" si="211"/>
        <v>EVP, Operations and Sustainability</v>
      </c>
      <c r="N211" s="132" t="str">
        <f t="shared" si="211"/>
        <v>Bill MacNevin</v>
      </c>
      <c r="O211" s="219" t="s">
        <v>78</v>
      </c>
      <c r="P211" s="125" t="str">
        <f t="shared" si="194"/>
        <v>-</v>
      </c>
      <c r="Q211" s="311" t="s">
        <v>78</v>
      </c>
      <c r="R211" s="126" t="str">
        <f t="shared" si="191"/>
        <v>-</v>
      </c>
      <c r="S211" s="221" t="s">
        <v>78</v>
      </c>
      <c r="T211" s="125" t="str">
        <f t="shared" si="203"/>
        <v>-</v>
      </c>
      <c r="U211" s="127" t="str">
        <f t="shared" si="173"/>
        <v>-</v>
      </c>
      <c r="V211" s="128"/>
      <c r="W211" s="223" t="s">
        <v>78</v>
      </c>
      <c r="X211" s="129" t="str">
        <f t="shared" si="174"/>
        <v>-</v>
      </c>
      <c r="Y211" s="124" t="str">
        <f t="shared" si="198"/>
        <v>-</v>
      </c>
      <c r="Z211" s="130" t="str">
        <f t="shared" si="199"/>
        <v>-</v>
      </c>
      <c r="AA211" s="219" t="s">
        <v>78</v>
      </c>
      <c r="AB211" s="221" t="s">
        <v>78</v>
      </c>
      <c r="AC211" s="225" t="s">
        <v>78</v>
      </c>
      <c r="AD211" s="225" t="s">
        <v>78</v>
      </c>
      <c r="AE211" s="225" t="s">
        <v>78</v>
      </c>
      <c r="AF211" s="125" t="str">
        <f t="shared" si="204"/>
        <v>-</v>
      </c>
      <c r="AG211" s="127" t="str">
        <f t="shared" si="175"/>
        <v>-</v>
      </c>
      <c r="AH211" s="128"/>
      <c r="AI211" s="223" t="s">
        <v>78</v>
      </c>
      <c r="AJ211" s="131" t="str">
        <f t="shared" si="176"/>
        <v>-</v>
      </c>
      <c r="AK211" s="368" t="str">
        <f t="shared" si="169"/>
        <v>-</v>
      </c>
      <c r="AL211" s="375" t="str">
        <f t="shared" si="200"/>
        <v>-</v>
      </c>
      <c r="AM211" s="376" t="str">
        <f t="shared" si="181"/>
        <v>-</v>
      </c>
      <c r="AN211" s="394" t="s">
        <v>78</v>
      </c>
      <c r="AO211" s="395" t="s">
        <v>78</v>
      </c>
      <c r="AP211" s="396" t="str">
        <f t="shared" si="159"/>
        <v>-</v>
      </c>
      <c r="AQ211" s="397"/>
      <c r="AR211" s="401" t="s">
        <v>78</v>
      </c>
      <c r="AS211" s="396" t="str">
        <f t="shared" si="160"/>
        <v>-</v>
      </c>
      <c r="AT211" s="397"/>
      <c r="AU211" s="388" t="str">
        <f t="shared" si="195"/>
        <v>-</v>
      </c>
      <c r="AV211" s="389" t="str">
        <f t="shared" si="183"/>
        <v>-</v>
      </c>
      <c r="AW211" s="353" t="s">
        <v>78</v>
      </c>
      <c r="AX211" s="403" t="s">
        <v>275</v>
      </c>
      <c r="AY211" s="404" t="s">
        <v>276</v>
      </c>
      <c r="AZ211" s="1" t="s">
        <v>451</v>
      </c>
    </row>
    <row r="212" spans="1:52" ht="15" customHeight="1">
      <c r="A212" s="1" t="str">
        <f t="shared" si="157"/>
        <v>TSX:SSRM_2024_</v>
      </c>
      <c r="B212" s="1" t="str">
        <f t="shared" si="163"/>
        <v>TSX:SSRM_2024_NEO2</v>
      </c>
      <c r="C212" s="114" t="str">
        <f t="shared" si="197"/>
        <v>TSX:SSRM</v>
      </c>
      <c r="D212" s="133" t="str">
        <f>_xll.ciqfunctions.udf.CIQ(C212,"IQ_Company_Name")</f>
        <v>SSR Mining Inc.</v>
      </c>
      <c r="E212" s="114">
        <f t="shared" si="208"/>
        <v>2024</v>
      </c>
      <c r="F212" s="114" t="str">
        <f t="shared" si="209"/>
        <v>2024-01-01</v>
      </c>
      <c r="G212" s="330" t="str">
        <f t="shared" si="205"/>
        <v>2024-12-31</v>
      </c>
      <c r="H212" s="114">
        <f t="shared" si="177"/>
        <v>12</v>
      </c>
      <c r="I212" s="407" t="str">
        <f t="shared" si="206"/>
        <v>USD</v>
      </c>
      <c r="J212" s="461">
        <f t="shared" si="164"/>
        <v>1.3701700000000001</v>
      </c>
      <c r="K212" s="468"/>
      <c r="L212" s="464" t="s">
        <v>108</v>
      </c>
      <c r="M212" s="217" t="s">
        <v>329</v>
      </c>
      <c r="N212" s="218" t="s">
        <v>330</v>
      </c>
      <c r="O212" s="219">
        <v>580000</v>
      </c>
      <c r="P212" s="125">
        <f t="shared" si="194"/>
        <v>794698.60000000009</v>
      </c>
      <c r="Q212" s="311" t="s">
        <v>78</v>
      </c>
      <c r="R212" s="126" t="str">
        <f t="shared" si="191"/>
        <v>-</v>
      </c>
      <c r="S212" s="221">
        <v>395850</v>
      </c>
      <c r="T212" s="125">
        <f t="shared" si="203"/>
        <v>542381.79450000008</v>
      </c>
      <c r="U212" s="127">
        <f t="shared" si="173"/>
        <v>0.6825</v>
      </c>
      <c r="V212" s="128">
        <f>IFERROR(AVERAGE(U212:U214),"N/A")</f>
        <v>0.6825</v>
      </c>
      <c r="W212" s="223">
        <v>0.75</v>
      </c>
      <c r="X212" s="129">
        <f t="shared" si="174"/>
        <v>596023.95000000007</v>
      </c>
      <c r="Y212" s="124">
        <f t="shared" ref="Y212:Y217" si="212">IFERROR(IF(SUM(P212,T212)=0,"-",SUM(P212,T212)),"-")</f>
        <v>1337080.3945000002</v>
      </c>
      <c r="Z212" s="130">
        <f t="shared" ref="Z212:Z217" si="213">IFERROR(IF(SUM(P212,X212)=0,"-",SUM(P212,X212)),"-")</f>
        <v>1390722.5500000003</v>
      </c>
      <c r="AA212" s="436">
        <f>1015000*0.5</f>
        <v>507500</v>
      </c>
      <c r="AB212" s="437">
        <f>1015000*0.5</f>
        <v>507500</v>
      </c>
      <c r="AC212" s="225" t="s">
        <v>78</v>
      </c>
      <c r="AD212" s="225" t="s">
        <v>78</v>
      </c>
      <c r="AE212" s="225" t="s">
        <v>78</v>
      </c>
      <c r="AF212" s="125">
        <f t="shared" si="204"/>
        <v>1015000</v>
      </c>
      <c r="AG212" s="127">
        <f t="shared" si="175"/>
        <v>1.7499999999999998</v>
      </c>
      <c r="AH212" s="128">
        <f>IFERROR(AVERAGE(AG212:AG214),"N/A")</f>
        <v>1.7499999999999998</v>
      </c>
      <c r="AI212" s="223">
        <v>1.75</v>
      </c>
      <c r="AJ212" s="131">
        <f t="shared" si="176"/>
        <v>1390722.5500000003</v>
      </c>
      <c r="AK212" s="368">
        <f t="shared" si="169"/>
        <v>1390722.55</v>
      </c>
      <c r="AL212" s="375">
        <f t="shared" ref="AL212:AL217" si="214">IFERROR(IF(SUM(Y212,AK212)=0,"-",SUM(Y212,AK212)),"-")</f>
        <v>2727802.9445000002</v>
      </c>
      <c r="AM212" s="376">
        <f t="shared" si="181"/>
        <v>2781445.1000000006</v>
      </c>
      <c r="AN212" s="394">
        <v>27600</v>
      </c>
      <c r="AO212" s="424" t="s">
        <v>274</v>
      </c>
      <c r="AP212" s="396">
        <f t="shared" si="159"/>
        <v>37816.692000000003</v>
      </c>
      <c r="AQ212" s="397">
        <f>IFERROR(AVERAGE(AP212:AP214),"N/A")</f>
        <v>32979.350469999998</v>
      </c>
      <c r="AR212" s="401" t="s">
        <v>78</v>
      </c>
      <c r="AS212" s="396" t="str">
        <f t="shared" si="160"/>
        <v>-</v>
      </c>
      <c r="AT212" s="397" t="str">
        <f>IFERROR(AVERAGE(AS212:AS214),"N/A")</f>
        <v>N/A</v>
      </c>
      <c r="AU212" s="388">
        <f t="shared" si="195"/>
        <v>2765619.6365</v>
      </c>
      <c r="AV212" s="389">
        <f t="shared" si="183"/>
        <v>2819261.7920000004</v>
      </c>
      <c r="AW212" s="425" t="s">
        <v>457</v>
      </c>
      <c r="AX212" s="403" t="s">
        <v>275</v>
      </c>
      <c r="AY212" s="404" t="s">
        <v>276</v>
      </c>
      <c r="AZ212" s="1" t="s">
        <v>451</v>
      </c>
    </row>
    <row r="213" spans="1:52" ht="15" customHeight="1">
      <c r="A213" s="1" t="str">
        <f t="shared" si="157"/>
        <v>TSX:SSRM_2023_</v>
      </c>
      <c r="B213" s="1" t="str">
        <f t="shared" si="163"/>
        <v>TSX:SSRM_2023_NEO2</v>
      </c>
      <c r="C213" s="114" t="str">
        <f t="shared" si="197"/>
        <v>TSX:SSRM</v>
      </c>
      <c r="D213" s="133" t="str">
        <f>_xll.ciqfunctions.udf.CIQ(C213,"IQ_Company_Name")</f>
        <v>SSR Mining Inc.</v>
      </c>
      <c r="E213" s="114">
        <f t="shared" si="208"/>
        <v>2023</v>
      </c>
      <c r="F213" s="114" t="str">
        <f t="shared" si="209"/>
        <v>2023-01-01</v>
      </c>
      <c r="G213" s="330" t="str">
        <f t="shared" si="205"/>
        <v>2023-12-31</v>
      </c>
      <c r="H213" s="114">
        <f t="shared" si="177"/>
        <v>12</v>
      </c>
      <c r="I213" s="407" t="str">
        <f t="shared" si="206"/>
        <v>USD</v>
      </c>
      <c r="J213" s="461">
        <f t="shared" si="164"/>
        <v>1.34954</v>
      </c>
      <c r="K213" s="468"/>
      <c r="L213" s="465" t="str">
        <f t="shared" ref="L213:N214" si="215">L212</f>
        <v>NEO2</v>
      </c>
      <c r="M213" s="123" t="str">
        <f t="shared" si="215"/>
        <v>EVP &amp; Chief Strategy Officer</v>
      </c>
      <c r="N213" s="132" t="str">
        <f t="shared" si="215"/>
        <v>F. Edward Farid</v>
      </c>
      <c r="O213" s="219" t="s">
        <v>78</v>
      </c>
      <c r="P213" s="125" t="str">
        <f t="shared" si="194"/>
        <v>-</v>
      </c>
      <c r="Q213" s="311" t="s">
        <v>78</v>
      </c>
      <c r="R213" s="126" t="str">
        <f t="shared" si="191"/>
        <v>-</v>
      </c>
      <c r="S213" s="221" t="s">
        <v>78</v>
      </c>
      <c r="T213" s="125" t="str">
        <f t="shared" si="203"/>
        <v>-</v>
      </c>
      <c r="U213" s="127" t="str">
        <f t="shared" si="173"/>
        <v>-</v>
      </c>
      <c r="V213" s="128"/>
      <c r="W213" s="223" t="s">
        <v>78</v>
      </c>
      <c r="X213" s="129" t="str">
        <f t="shared" si="174"/>
        <v>-</v>
      </c>
      <c r="Y213" s="124" t="str">
        <f t="shared" si="212"/>
        <v>-</v>
      </c>
      <c r="Z213" s="130" t="str">
        <f t="shared" si="213"/>
        <v>-</v>
      </c>
      <c r="AA213" s="436">
        <v>330000</v>
      </c>
      <c r="AB213" s="437">
        <v>495000</v>
      </c>
      <c r="AC213" s="225" t="s">
        <v>78</v>
      </c>
      <c r="AD213" s="225" t="s">
        <v>78</v>
      </c>
      <c r="AE213" s="225" t="s">
        <v>78</v>
      </c>
      <c r="AF213" s="125">
        <f t="shared" si="204"/>
        <v>825000</v>
      </c>
      <c r="AG213" s="127" t="str">
        <f t="shared" si="175"/>
        <v>-</v>
      </c>
      <c r="AH213" s="128"/>
      <c r="AI213" s="223" t="s">
        <v>78</v>
      </c>
      <c r="AJ213" s="131" t="str">
        <f t="shared" si="176"/>
        <v>-</v>
      </c>
      <c r="AK213" s="368">
        <f t="shared" si="169"/>
        <v>1113370.5</v>
      </c>
      <c r="AL213" s="375">
        <f t="shared" si="214"/>
        <v>1113370.5</v>
      </c>
      <c r="AM213" s="376" t="str">
        <f t="shared" si="181"/>
        <v>-</v>
      </c>
      <c r="AN213" s="394">
        <v>23704</v>
      </c>
      <c r="AO213" s="395" t="s">
        <v>78</v>
      </c>
      <c r="AP213" s="396">
        <f t="shared" si="159"/>
        <v>31989.496159999999</v>
      </c>
      <c r="AQ213" s="397"/>
      <c r="AR213" s="401" t="s">
        <v>78</v>
      </c>
      <c r="AS213" s="396" t="str">
        <f t="shared" si="160"/>
        <v>-</v>
      </c>
      <c r="AT213" s="397"/>
      <c r="AU213" s="388">
        <f t="shared" si="195"/>
        <v>1145359.9961600001</v>
      </c>
      <c r="AV213" s="389">
        <f t="shared" si="183"/>
        <v>31989.496159999999</v>
      </c>
      <c r="AW213" s="353" t="s">
        <v>78</v>
      </c>
      <c r="AX213" s="403" t="s">
        <v>275</v>
      </c>
      <c r="AY213" s="404" t="s">
        <v>276</v>
      </c>
      <c r="AZ213" s="1" t="s">
        <v>451</v>
      </c>
    </row>
    <row r="214" spans="1:52" ht="15" customHeight="1">
      <c r="A214" s="1" t="str">
        <f t="shared" si="157"/>
        <v>TSX:SSRM_2022_</v>
      </c>
      <c r="B214" s="1" t="str">
        <f t="shared" si="163"/>
        <v>TSX:SSRM_2022_NEO2</v>
      </c>
      <c r="C214" s="114" t="str">
        <f t="shared" si="197"/>
        <v>TSX:SSRM</v>
      </c>
      <c r="D214" s="133" t="str">
        <f>_xll.ciqfunctions.udf.CIQ(C214,"IQ_Company_Name")</f>
        <v>SSR Mining Inc.</v>
      </c>
      <c r="E214" s="114">
        <f t="shared" si="208"/>
        <v>2022</v>
      </c>
      <c r="F214" s="114" t="str">
        <f t="shared" si="209"/>
        <v>2022-01-01</v>
      </c>
      <c r="G214" s="330" t="str">
        <f t="shared" si="205"/>
        <v>2022-12-31</v>
      </c>
      <c r="H214" s="114">
        <f t="shared" si="177"/>
        <v>12</v>
      </c>
      <c r="I214" s="407" t="str">
        <f t="shared" si="206"/>
        <v>USD</v>
      </c>
      <c r="J214" s="461">
        <f t="shared" si="164"/>
        <v>1.30175</v>
      </c>
      <c r="K214" s="468"/>
      <c r="L214" s="465" t="str">
        <f t="shared" si="215"/>
        <v>NEO2</v>
      </c>
      <c r="M214" s="123" t="str">
        <f t="shared" si="215"/>
        <v>EVP &amp; Chief Strategy Officer</v>
      </c>
      <c r="N214" s="132" t="str">
        <f t="shared" si="215"/>
        <v>F. Edward Farid</v>
      </c>
      <c r="O214" s="219" t="s">
        <v>78</v>
      </c>
      <c r="P214" s="125" t="str">
        <f t="shared" si="194"/>
        <v>-</v>
      </c>
      <c r="Q214" s="311" t="s">
        <v>78</v>
      </c>
      <c r="R214" s="126" t="str">
        <f t="shared" si="191"/>
        <v>-</v>
      </c>
      <c r="S214" s="221" t="s">
        <v>78</v>
      </c>
      <c r="T214" s="125" t="str">
        <f t="shared" si="203"/>
        <v>-</v>
      </c>
      <c r="U214" s="127" t="str">
        <f t="shared" si="173"/>
        <v>-</v>
      </c>
      <c r="V214" s="128"/>
      <c r="W214" s="223" t="s">
        <v>78</v>
      </c>
      <c r="X214" s="129" t="str">
        <f t="shared" si="174"/>
        <v>-</v>
      </c>
      <c r="Y214" s="124" t="str">
        <f t="shared" si="212"/>
        <v>-</v>
      </c>
      <c r="Z214" s="130" t="str">
        <f t="shared" si="213"/>
        <v>-</v>
      </c>
      <c r="AA214" s="219" t="s">
        <v>78</v>
      </c>
      <c r="AB214" s="221" t="s">
        <v>78</v>
      </c>
      <c r="AC214" s="225" t="s">
        <v>78</v>
      </c>
      <c r="AD214" s="225" t="s">
        <v>78</v>
      </c>
      <c r="AE214" s="225" t="s">
        <v>78</v>
      </c>
      <c r="AF214" s="125" t="str">
        <f t="shared" si="204"/>
        <v>-</v>
      </c>
      <c r="AG214" s="127" t="str">
        <f t="shared" si="175"/>
        <v>-</v>
      </c>
      <c r="AH214" s="128"/>
      <c r="AI214" s="223" t="s">
        <v>78</v>
      </c>
      <c r="AJ214" s="131" t="str">
        <f t="shared" si="176"/>
        <v>-</v>
      </c>
      <c r="AK214" s="368" t="str">
        <f t="shared" si="169"/>
        <v>-</v>
      </c>
      <c r="AL214" s="375" t="str">
        <f t="shared" si="214"/>
        <v>-</v>
      </c>
      <c r="AM214" s="376" t="str">
        <f t="shared" si="181"/>
        <v>-</v>
      </c>
      <c r="AN214" s="394">
        <v>22379</v>
      </c>
      <c r="AO214" s="395" t="s">
        <v>78</v>
      </c>
      <c r="AP214" s="396">
        <f t="shared" si="159"/>
        <v>29131.863249999999</v>
      </c>
      <c r="AQ214" s="397"/>
      <c r="AR214" s="401" t="s">
        <v>78</v>
      </c>
      <c r="AS214" s="396" t="str">
        <f t="shared" si="160"/>
        <v>-</v>
      </c>
      <c r="AT214" s="397"/>
      <c r="AU214" s="388">
        <f t="shared" si="195"/>
        <v>29131.863249999999</v>
      </c>
      <c r="AV214" s="389">
        <f t="shared" si="183"/>
        <v>29131.863249999999</v>
      </c>
      <c r="AW214" s="353" t="s">
        <v>78</v>
      </c>
      <c r="AX214" s="403" t="s">
        <v>275</v>
      </c>
      <c r="AY214" s="404" t="s">
        <v>276</v>
      </c>
      <c r="AZ214" s="1" t="s">
        <v>451</v>
      </c>
    </row>
    <row r="215" spans="1:52" ht="15" customHeight="1">
      <c r="A215" s="1" t="str">
        <f t="shared" si="157"/>
        <v>TSX:SSRM_2024_</v>
      </c>
      <c r="B215" s="1" t="str">
        <f t="shared" si="163"/>
        <v>TSX:SSRM_2024_NEO3</v>
      </c>
      <c r="C215" s="114" t="str">
        <f t="shared" si="197"/>
        <v>TSX:SSRM</v>
      </c>
      <c r="D215" s="133" t="str">
        <f>_xll.ciqfunctions.udf.CIQ(C215,"IQ_Company_Name")</f>
        <v>SSR Mining Inc.</v>
      </c>
      <c r="E215" s="114">
        <f t="shared" si="208"/>
        <v>2024</v>
      </c>
      <c r="F215" s="114" t="str">
        <f t="shared" si="209"/>
        <v>2024-01-01</v>
      </c>
      <c r="G215" s="330" t="str">
        <f t="shared" si="205"/>
        <v>2024-12-31</v>
      </c>
      <c r="H215" s="114">
        <f t="shared" si="177"/>
        <v>12</v>
      </c>
      <c r="I215" s="407" t="str">
        <f t="shared" si="206"/>
        <v>USD</v>
      </c>
      <c r="J215" s="461">
        <f t="shared" si="164"/>
        <v>1.3701700000000001</v>
      </c>
      <c r="K215" s="468"/>
      <c r="L215" s="464" t="s">
        <v>109</v>
      </c>
      <c r="M215" s="217" t="s">
        <v>331</v>
      </c>
      <c r="N215" s="218" t="s">
        <v>332</v>
      </c>
      <c r="O215" s="219">
        <v>490000</v>
      </c>
      <c r="P215" s="125">
        <f t="shared" si="194"/>
        <v>671383.3</v>
      </c>
      <c r="Q215" s="311" t="s">
        <v>78</v>
      </c>
      <c r="R215" s="126" t="str">
        <f t="shared" si="191"/>
        <v>-</v>
      </c>
      <c r="S215" s="221">
        <v>334425</v>
      </c>
      <c r="T215" s="125">
        <f t="shared" si="203"/>
        <v>458219.10225000005</v>
      </c>
      <c r="U215" s="127">
        <f t="shared" si="173"/>
        <v>0.6825</v>
      </c>
      <c r="V215" s="128">
        <f>IFERROR(AVERAGE(U215:U217),"N/A")</f>
        <v>0.64901999999999993</v>
      </c>
      <c r="W215" s="223">
        <v>0.75</v>
      </c>
      <c r="X215" s="129">
        <f t="shared" si="174"/>
        <v>503537.47500000003</v>
      </c>
      <c r="Y215" s="124">
        <f t="shared" si="212"/>
        <v>1129602.40225</v>
      </c>
      <c r="Z215" s="130">
        <f t="shared" si="213"/>
        <v>1174920.7750000001</v>
      </c>
      <c r="AA215" s="435">
        <f>735000*0.5</f>
        <v>367500</v>
      </c>
      <c r="AB215" s="434">
        <f>735000*0.5</f>
        <v>367500</v>
      </c>
      <c r="AC215" s="225" t="s">
        <v>78</v>
      </c>
      <c r="AD215" s="225" t="s">
        <v>78</v>
      </c>
      <c r="AE215" s="225" t="s">
        <v>78</v>
      </c>
      <c r="AF215" s="125">
        <f t="shared" si="204"/>
        <v>735000</v>
      </c>
      <c r="AG215" s="127">
        <f t="shared" si="175"/>
        <v>1.5</v>
      </c>
      <c r="AH215" s="128">
        <f>IFERROR(AVERAGE(AG215:AG217),"N/A")</f>
        <v>1.5</v>
      </c>
      <c r="AI215" s="423">
        <v>1.5</v>
      </c>
      <c r="AJ215" s="131">
        <f t="shared" si="176"/>
        <v>1007074.9500000001</v>
      </c>
      <c r="AK215" s="368">
        <f t="shared" si="169"/>
        <v>1007074.9500000001</v>
      </c>
      <c r="AL215" s="375">
        <f t="shared" si="214"/>
        <v>2136677.35225</v>
      </c>
      <c r="AM215" s="376">
        <f t="shared" si="181"/>
        <v>2181995.7250000001</v>
      </c>
      <c r="AN215" s="394">
        <v>27600</v>
      </c>
      <c r="AO215" s="424" t="s">
        <v>274</v>
      </c>
      <c r="AP215" s="396">
        <f t="shared" si="159"/>
        <v>37816.692000000003</v>
      </c>
      <c r="AQ215" s="397">
        <f>IFERROR(AVERAGE(AP215:AP217),"N/A")</f>
        <v>36722.274000000005</v>
      </c>
      <c r="AR215" s="401" t="s">
        <v>78</v>
      </c>
      <c r="AS215" s="396" t="str">
        <f t="shared" si="160"/>
        <v>-</v>
      </c>
      <c r="AT215" s="397" t="str">
        <f>IFERROR(AVERAGE(AS215:AS217),"N/A")</f>
        <v>N/A</v>
      </c>
      <c r="AU215" s="388">
        <f t="shared" si="195"/>
        <v>2174494.0442499998</v>
      </c>
      <c r="AV215" s="389">
        <f t="shared" si="183"/>
        <v>2219812.4169999999</v>
      </c>
      <c r="AW215" s="353" t="s">
        <v>333</v>
      </c>
      <c r="AX215" s="403" t="s">
        <v>275</v>
      </c>
      <c r="AY215" s="404" t="s">
        <v>276</v>
      </c>
      <c r="AZ215" s="1" t="s">
        <v>451</v>
      </c>
    </row>
    <row r="216" spans="1:52" ht="15" customHeight="1">
      <c r="A216" s="1" t="str">
        <f t="shared" si="157"/>
        <v>TSX:SSRM_2023_</v>
      </c>
      <c r="B216" s="1" t="str">
        <f t="shared" si="163"/>
        <v>TSX:SSRM_2023_NEO3</v>
      </c>
      <c r="C216" s="114" t="str">
        <f t="shared" si="197"/>
        <v>TSX:SSRM</v>
      </c>
      <c r="D216" s="133" t="str">
        <f>_xll.ciqfunctions.udf.CIQ(C216,"IQ_Company_Name")</f>
        <v>SSR Mining Inc.</v>
      </c>
      <c r="E216" s="114">
        <f t="shared" si="208"/>
        <v>2023</v>
      </c>
      <c r="F216" s="114" t="str">
        <f t="shared" si="209"/>
        <v>2023-01-01</v>
      </c>
      <c r="G216" s="330" t="str">
        <f t="shared" si="205"/>
        <v>2023-12-31</v>
      </c>
      <c r="H216" s="114">
        <f t="shared" si="177"/>
        <v>12</v>
      </c>
      <c r="I216" s="407" t="str">
        <f t="shared" si="206"/>
        <v>USD</v>
      </c>
      <c r="J216" s="461">
        <f t="shared" si="164"/>
        <v>1.34954</v>
      </c>
      <c r="K216" s="468"/>
      <c r="L216" s="465" t="str">
        <f t="shared" ref="L216:N217" si="216">L215</f>
        <v>NEO3</v>
      </c>
      <c r="M216" s="123" t="str">
        <f t="shared" si="216"/>
        <v>EVP, Growth and Innovation</v>
      </c>
      <c r="N216" s="132" t="str">
        <f t="shared" si="216"/>
        <v>John Ebbett</v>
      </c>
      <c r="O216" s="219">
        <v>450000</v>
      </c>
      <c r="P216" s="125">
        <f t="shared" si="194"/>
        <v>607293</v>
      </c>
      <c r="Q216" s="311" t="s">
        <v>78</v>
      </c>
      <c r="R216" s="126" t="str">
        <f t="shared" si="191"/>
        <v>-</v>
      </c>
      <c r="S216" s="221">
        <v>276993</v>
      </c>
      <c r="T216" s="125">
        <f t="shared" si="203"/>
        <v>373813.13322000002</v>
      </c>
      <c r="U216" s="127">
        <f t="shared" si="173"/>
        <v>0.61553999999999998</v>
      </c>
      <c r="V216" s="128"/>
      <c r="W216" s="223" t="s">
        <v>78</v>
      </c>
      <c r="X216" s="129">
        <f t="shared" si="174"/>
        <v>0</v>
      </c>
      <c r="Y216" s="124">
        <f t="shared" si="212"/>
        <v>981106.13321999996</v>
      </c>
      <c r="Z216" s="130">
        <f t="shared" si="213"/>
        <v>607293</v>
      </c>
      <c r="AA216" s="435">
        <f>0.4*675000</f>
        <v>270000</v>
      </c>
      <c r="AB216" s="438">
        <f>0.6*675000</f>
        <v>405000</v>
      </c>
      <c r="AC216" s="225" t="s">
        <v>78</v>
      </c>
      <c r="AD216" s="225" t="s">
        <v>78</v>
      </c>
      <c r="AE216" s="225" t="s">
        <v>78</v>
      </c>
      <c r="AF216" s="125">
        <f t="shared" si="204"/>
        <v>675000</v>
      </c>
      <c r="AG216" s="127">
        <f t="shared" si="175"/>
        <v>1.5</v>
      </c>
      <c r="AH216" s="128"/>
      <c r="AI216" s="223" t="s">
        <v>78</v>
      </c>
      <c r="AJ216" s="131">
        <f t="shared" si="176"/>
        <v>0</v>
      </c>
      <c r="AK216" s="368">
        <f t="shared" si="169"/>
        <v>910939.5</v>
      </c>
      <c r="AL216" s="375">
        <f t="shared" si="214"/>
        <v>1892045.63322</v>
      </c>
      <c r="AM216" s="376">
        <f t="shared" si="181"/>
        <v>607293</v>
      </c>
      <c r="AN216" s="394">
        <v>26400</v>
      </c>
      <c r="AO216" s="395" t="s">
        <v>78</v>
      </c>
      <c r="AP216" s="396">
        <f t="shared" si="159"/>
        <v>35627.856</v>
      </c>
      <c r="AQ216" s="397"/>
      <c r="AR216" s="401" t="s">
        <v>78</v>
      </c>
      <c r="AS216" s="396" t="str">
        <f t="shared" si="160"/>
        <v>-</v>
      </c>
      <c r="AT216" s="397"/>
      <c r="AU216" s="388">
        <f t="shared" si="195"/>
        <v>1927673.4892199999</v>
      </c>
      <c r="AV216" s="389">
        <f t="shared" si="183"/>
        <v>642920.85600000003</v>
      </c>
      <c r="AW216" s="353" t="s">
        <v>78</v>
      </c>
      <c r="AX216" s="403" t="s">
        <v>275</v>
      </c>
      <c r="AY216" s="404" t="s">
        <v>276</v>
      </c>
      <c r="AZ216" s="1" t="s">
        <v>451</v>
      </c>
    </row>
    <row r="217" spans="1:52" ht="15" customHeight="1">
      <c r="A217" s="1" t="str">
        <f t="shared" si="157"/>
        <v>TSX:SSRM_2022_</v>
      </c>
      <c r="B217" s="1" t="str">
        <f t="shared" si="163"/>
        <v>TSX:SSRM_2022_NEO3</v>
      </c>
      <c r="C217" s="203" t="str">
        <f t="shared" si="197"/>
        <v>TSX:SSRM</v>
      </c>
      <c r="D217" s="205" t="str">
        <f>_xll.ciqfunctions.udf.CIQ(C217,"IQ_Company_Name")</f>
        <v>SSR Mining Inc.</v>
      </c>
      <c r="E217" s="204">
        <f t="shared" si="208"/>
        <v>2022</v>
      </c>
      <c r="F217" s="204" t="str">
        <f t="shared" si="209"/>
        <v>2022-01-01</v>
      </c>
      <c r="G217" s="331" t="str">
        <f t="shared" si="205"/>
        <v>2022-12-31</v>
      </c>
      <c r="H217" s="204">
        <f t="shared" si="177"/>
        <v>12</v>
      </c>
      <c r="I217" s="408" t="str">
        <f t="shared" si="206"/>
        <v>USD</v>
      </c>
      <c r="J217" s="463">
        <f t="shared" si="164"/>
        <v>1.30175</v>
      </c>
      <c r="K217" s="470"/>
      <c r="L217" s="466" t="str">
        <f t="shared" si="216"/>
        <v>NEO3</v>
      </c>
      <c r="M217" s="206" t="str">
        <f t="shared" si="216"/>
        <v>EVP, Growth and Innovation</v>
      </c>
      <c r="N217" s="207" t="str">
        <f t="shared" si="216"/>
        <v>John Ebbett</v>
      </c>
      <c r="O217" s="220" t="s">
        <v>78</v>
      </c>
      <c r="P217" s="209" t="str">
        <f t="shared" si="194"/>
        <v>-</v>
      </c>
      <c r="Q217" s="312" t="s">
        <v>78</v>
      </c>
      <c r="R217" s="329" t="str">
        <f t="shared" si="191"/>
        <v>-</v>
      </c>
      <c r="S217" s="222" t="s">
        <v>78</v>
      </c>
      <c r="T217" s="209" t="str">
        <f t="shared" si="203"/>
        <v>-</v>
      </c>
      <c r="U217" s="211" t="str">
        <f t="shared" si="173"/>
        <v>-</v>
      </c>
      <c r="V217" s="212"/>
      <c r="W217" s="224" t="s">
        <v>78</v>
      </c>
      <c r="X217" s="213" t="str">
        <f t="shared" si="174"/>
        <v>-</v>
      </c>
      <c r="Y217" s="208" t="str">
        <f t="shared" si="212"/>
        <v>-</v>
      </c>
      <c r="Z217" s="214" t="str">
        <f t="shared" si="213"/>
        <v>-</v>
      </c>
      <c r="AA217" s="222" t="s">
        <v>78</v>
      </c>
      <c r="AB217" s="226" t="s">
        <v>78</v>
      </c>
      <c r="AC217" s="226" t="s">
        <v>78</v>
      </c>
      <c r="AD217" s="226" t="s">
        <v>78</v>
      </c>
      <c r="AE217" s="226" t="s">
        <v>78</v>
      </c>
      <c r="AF217" s="420" t="str">
        <f t="shared" si="204"/>
        <v>-</v>
      </c>
      <c r="AG217" s="211" t="str">
        <f t="shared" si="175"/>
        <v>-</v>
      </c>
      <c r="AH217" s="212"/>
      <c r="AI217" s="224" t="s">
        <v>78</v>
      </c>
      <c r="AJ217" s="215" t="str">
        <f t="shared" si="176"/>
        <v>-</v>
      </c>
      <c r="AK217" s="369" t="str">
        <f t="shared" si="169"/>
        <v>-</v>
      </c>
      <c r="AL217" s="377" t="str">
        <f t="shared" si="214"/>
        <v>-</v>
      </c>
      <c r="AM217" s="378" t="str">
        <f t="shared" si="181"/>
        <v>-</v>
      </c>
      <c r="AN217" s="398" t="s">
        <v>78</v>
      </c>
      <c r="AO217" s="399" t="s">
        <v>78</v>
      </c>
      <c r="AP217" s="396" t="str">
        <f t="shared" si="159"/>
        <v>-</v>
      </c>
      <c r="AQ217" s="400"/>
      <c r="AR217" s="402" t="s">
        <v>78</v>
      </c>
      <c r="AS217" s="396" t="str">
        <f t="shared" si="160"/>
        <v>-</v>
      </c>
      <c r="AT217" s="400"/>
      <c r="AU217" s="390" t="str">
        <f t="shared" si="195"/>
        <v>-</v>
      </c>
      <c r="AV217" s="391" t="str">
        <f t="shared" si="183"/>
        <v>-</v>
      </c>
      <c r="AW217" s="354" t="s">
        <v>78</v>
      </c>
      <c r="AX217" s="405" t="s">
        <v>275</v>
      </c>
      <c r="AY217" s="406" t="s">
        <v>276</v>
      </c>
      <c r="AZ217" s="1" t="s">
        <v>451</v>
      </c>
    </row>
    <row r="218" spans="1:52" ht="15" customHeight="1">
      <c r="A218" s="1" t="str">
        <f t="shared" si="157"/>
        <v>TSX:OGC
_2024_</v>
      </c>
      <c r="B218" s="1" t="str">
        <f t="shared" si="163"/>
        <v>TSX:OGC
_2024_CEO</v>
      </c>
      <c r="C218" s="216" t="str">
        <f>D16</f>
        <v xml:space="preserve">TSX:OGC
</v>
      </c>
      <c r="D218" s="133" t="str">
        <f>_xll.ciqfunctions.udf.CIQ(C218,"IQ_Company_Name")</f>
        <v>OceanaGold Corporation</v>
      </c>
      <c r="E218" s="328">
        <f>$F$9</f>
        <v>2024</v>
      </c>
      <c r="F218" s="330" t="str">
        <f>E218&amp;"-01-01"</f>
        <v>2024-01-01</v>
      </c>
      <c r="G218" s="330" t="str">
        <f t="shared" ref="G218:G267" si="217">E218&amp;"-12-31"</f>
        <v>2024-12-31</v>
      </c>
      <c r="H218" s="114">
        <f t="shared" si="177"/>
        <v>12</v>
      </c>
      <c r="I218" s="328" t="s">
        <v>297</v>
      </c>
      <c r="J218" s="461">
        <f t="shared" si="164"/>
        <v>1.3701700000000001</v>
      </c>
      <c r="K218" s="468"/>
      <c r="L218" s="464" t="s">
        <v>79</v>
      </c>
      <c r="M218" s="217" t="s">
        <v>272</v>
      </c>
      <c r="N218" s="218" t="s">
        <v>428</v>
      </c>
      <c r="O218" s="219">
        <v>679545</v>
      </c>
      <c r="P218" s="125">
        <f t="shared" ref="P218:P247" si="218">IFERROR(O218*(12/$H218)*$J218,"-")</f>
        <v>931092.17265000008</v>
      </c>
      <c r="Q218" s="311" t="s">
        <v>78</v>
      </c>
      <c r="R218" s="126" t="str">
        <f t="shared" ref="R218:R247" si="219">IFERROR(IF((Q218*$J218)=0,"-",(Q218*$J218)),"-")</f>
        <v>-</v>
      </c>
      <c r="S218" s="221">
        <v>493311</v>
      </c>
      <c r="T218" s="125">
        <f t="shared" ref="T218:T247" si="220">IFERROR(S218*(12/$H218)*$J218,"-")</f>
        <v>675919.93287000002</v>
      </c>
      <c r="U218" s="127">
        <f t="shared" si="173"/>
        <v>0.7259430942763172</v>
      </c>
      <c r="V218" s="128">
        <f>IFERROR(AVERAGE(U218:U220),"N/A")</f>
        <v>0.80744849727559653</v>
      </c>
      <c r="W218" s="223">
        <v>0.9</v>
      </c>
      <c r="X218" s="129">
        <f t="shared" si="174"/>
        <v>837982.9553850001</v>
      </c>
      <c r="Y218" s="124">
        <f t="shared" si="178"/>
        <v>1607012.1055200002</v>
      </c>
      <c r="Z218" s="130">
        <f t="shared" si="179"/>
        <v>1769075.1280350001</v>
      </c>
      <c r="AA218" s="225">
        <f>2699622*(0.34)</f>
        <v>917871.4800000001</v>
      </c>
      <c r="AB218" s="225">
        <f>2699622*(0.66)</f>
        <v>1781750.52</v>
      </c>
      <c r="AC218" s="225" t="s">
        <v>78</v>
      </c>
      <c r="AD218" s="225" t="s">
        <v>78</v>
      </c>
      <c r="AE218" s="225" t="s">
        <v>78</v>
      </c>
      <c r="AF218" s="125">
        <f t="shared" ref="AF218:AF230" si="221">IFERROR(IF(SUM(AA218:AE218)=0,IF(COUNTIF($AA218:$AE218,"=0")&gt;0,"$0","-"),SUM(AA218:AE218)),"-")</f>
        <v>2699622</v>
      </c>
      <c r="AG218" s="127">
        <f t="shared" si="175"/>
        <v>3.9726905502946823</v>
      </c>
      <c r="AH218" s="128">
        <f>IFERROR(AVERAGE(AG218:AG220),"N/A")</f>
        <v>3.9347161378736684</v>
      </c>
      <c r="AI218" s="423" t="s">
        <v>78</v>
      </c>
      <c r="AJ218" s="131">
        <f>IFERROR(IF(ISNUMBER($AI218)=TRUE, $AI218*$P218, $AH218*$P218), "-")</f>
        <v>3663583.397573811</v>
      </c>
      <c r="AK218" s="368">
        <f t="shared" ref="AK218:AK237" si="222">IFERROR($AF218*$J218,"-")</f>
        <v>3698941.0757400002</v>
      </c>
      <c r="AL218" s="375">
        <f t="shared" si="180"/>
        <v>5305953.1812600009</v>
      </c>
      <c r="AM218" s="376">
        <f t="shared" si="181"/>
        <v>5432658.5256088115</v>
      </c>
      <c r="AN218" s="432">
        <v>15252</v>
      </c>
      <c r="AO218" s="395" t="s">
        <v>805</v>
      </c>
      <c r="AP218" s="396">
        <f t="shared" si="159"/>
        <v>20897.832840000003</v>
      </c>
      <c r="AQ218" s="409">
        <f>IFERROR(AVERAGE(AP218:AP220),"N/A")</f>
        <v>27851.806438154981</v>
      </c>
      <c r="AR218" s="401">
        <v>145746</v>
      </c>
      <c r="AS218" s="396">
        <f t="shared" si="160"/>
        <v>199696.79682000002</v>
      </c>
      <c r="AT218" s="409">
        <f>IFERROR(AVERAGE(AS218:AS220),"N/A")</f>
        <v>174173.11990528906</v>
      </c>
      <c r="AU218" s="388">
        <f t="shared" si="182"/>
        <v>5526547.810920001</v>
      </c>
      <c r="AV218" s="389">
        <f t="shared" si="183"/>
        <v>5653253.1552688116</v>
      </c>
      <c r="AW218" s="353" t="s">
        <v>78</v>
      </c>
      <c r="AX218" s="403" t="s">
        <v>358</v>
      </c>
      <c r="AY218" s="404" t="s">
        <v>451</v>
      </c>
    </row>
    <row r="219" spans="1:52" ht="15" customHeight="1">
      <c r="A219" s="1" t="str">
        <f t="shared" si="157"/>
        <v>TSX:OGC
_2023_</v>
      </c>
      <c r="B219" s="1" t="str">
        <f t="shared" si="163"/>
        <v>TSX:OGC
_2023_CEO</v>
      </c>
      <c r="C219" s="114" t="str">
        <f>C218</f>
        <v xml:space="preserve">TSX:OGC
</v>
      </c>
      <c r="D219" s="133" t="str">
        <f>_xll.ciqfunctions.udf.CIQ(C219,"IQ_Company_Name")</f>
        <v>OceanaGold Corporation</v>
      </c>
      <c r="E219" s="328">
        <f>$F$10</f>
        <v>2023</v>
      </c>
      <c r="F219" s="330" t="str">
        <f>E219&amp;"-01-01"</f>
        <v>2023-01-01</v>
      </c>
      <c r="G219" s="330" t="str">
        <f t="shared" si="217"/>
        <v>2023-12-31</v>
      </c>
      <c r="H219" s="114">
        <f t="shared" si="177"/>
        <v>12</v>
      </c>
      <c r="I219" s="407" t="str">
        <f>I218</f>
        <v>USD</v>
      </c>
      <c r="J219" s="461">
        <f t="shared" si="164"/>
        <v>1.34954</v>
      </c>
      <c r="K219" s="468"/>
      <c r="L219" s="465" t="str">
        <f t="shared" ref="L219:N220" si="223">L218</f>
        <v>CEO</v>
      </c>
      <c r="M219" s="123" t="str">
        <f t="shared" si="223"/>
        <v>President &amp; CEO</v>
      </c>
      <c r="N219" s="132" t="str">
        <f t="shared" si="223"/>
        <v>Gerard Bond</v>
      </c>
      <c r="O219" s="219">
        <v>651806</v>
      </c>
      <c r="P219" s="125">
        <f t="shared" si="218"/>
        <v>879638.26923999994</v>
      </c>
      <c r="Q219" s="311" t="s">
        <v>78</v>
      </c>
      <c r="R219" s="126" t="str">
        <f t="shared" si="219"/>
        <v>-</v>
      </c>
      <c r="S219" s="221">
        <v>501437</v>
      </c>
      <c r="T219" s="125">
        <f t="shared" si="220"/>
        <v>676709.28897999995</v>
      </c>
      <c r="U219" s="127">
        <f t="shared" si="173"/>
        <v>0.76930405672853575</v>
      </c>
      <c r="V219" s="128"/>
      <c r="W219" s="223" t="s">
        <v>78</v>
      </c>
      <c r="X219" s="129">
        <f t="shared" si="174"/>
        <v>0</v>
      </c>
      <c r="Y219" s="124">
        <f t="shared" si="178"/>
        <v>1556347.55822</v>
      </c>
      <c r="Z219" s="130">
        <f t="shared" si="179"/>
        <v>879638.26923999994</v>
      </c>
      <c r="AA219" s="225">
        <f>2157266*(0.34)</f>
        <v>733470.44000000006</v>
      </c>
      <c r="AB219" s="225">
        <f>2157266*(0.66)</f>
        <v>1423795.56</v>
      </c>
      <c r="AC219" s="225" t="s">
        <v>78</v>
      </c>
      <c r="AD219" s="225" t="s">
        <v>78</v>
      </c>
      <c r="AE219" s="225" t="s">
        <v>78</v>
      </c>
      <c r="AF219" s="125">
        <f t="shared" si="221"/>
        <v>2157266</v>
      </c>
      <c r="AG219" s="127">
        <f t="shared" si="175"/>
        <v>3.3096749646367174</v>
      </c>
      <c r="AH219" s="128"/>
      <c r="AI219" s="423" t="s">
        <v>78</v>
      </c>
      <c r="AJ219" s="131">
        <f t="shared" si="176"/>
        <v>0</v>
      </c>
      <c r="AK219" s="368">
        <f t="shared" si="222"/>
        <v>2911316.75764</v>
      </c>
      <c r="AL219" s="375">
        <f t="shared" si="180"/>
        <v>4467664.3158599995</v>
      </c>
      <c r="AM219" s="376">
        <f t="shared" si="181"/>
        <v>879638.26923999994</v>
      </c>
      <c r="AN219" s="432">
        <v>22337</v>
      </c>
      <c r="AO219" s="395" t="s">
        <v>805</v>
      </c>
      <c r="AP219" s="396">
        <f t="shared" si="159"/>
        <v>30144.67498</v>
      </c>
      <c r="AQ219" s="397"/>
      <c r="AR219" s="401">
        <v>95617</v>
      </c>
      <c r="AS219" s="396">
        <f t="shared" si="160"/>
        <v>129038.96618</v>
      </c>
      <c r="AT219" s="397"/>
      <c r="AU219" s="388">
        <f t="shared" si="182"/>
        <v>4626847.9570199996</v>
      </c>
      <c r="AV219" s="389">
        <f t="shared" si="183"/>
        <v>1038821.9103999999</v>
      </c>
      <c r="AW219" s="353" t="s">
        <v>78</v>
      </c>
      <c r="AX219" s="403" t="s">
        <v>358</v>
      </c>
      <c r="AY219" s="404" t="s">
        <v>451</v>
      </c>
    </row>
    <row r="220" spans="1:52" ht="15" customHeight="1">
      <c r="A220" s="1" t="str">
        <f t="shared" si="157"/>
        <v>TSX:OGC
_2022_</v>
      </c>
      <c r="B220" s="1" t="str">
        <f t="shared" si="163"/>
        <v>TSX:OGC
_2022_CEO</v>
      </c>
      <c r="C220" s="114" t="str">
        <f t="shared" si="197"/>
        <v xml:space="preserve">TSX:OGC
</v>
      </c>
      <c r="D220" s="133" t="str">
        <f>_xll.ciqfunctions.udf.CIQ(C220,"IQ_Company_Name")</f>
        <v>OceanaGold Corporation</v>
      </c>
      <c r="E220" s="328">
        <f>$F$11</f>
        <v>2022</v>
      </c>
      <c r="F220" s="453">
        <v>44655</v>
      </c>
      <c r="G220" s="330" t="str">
        <f t="shared" si="217"/>
        <v>2022-12-31</v>
      </c>
      <c r="H220" s="114">
        <f t="shared" si="177"/>
        <v>8.9340659340659343</v>
      </c>
      <c r="I220" s="407" t="str">
        <f>I219</f>
        <v>USD</v>
      </c>
      <c r="J220" s="461">
        <f t="shared" si="164"/>
        <v>1.30175</v>
      </c>
      <c r="K220" s="468"/>
      <c r="L220" s="465" t="str">
        <f t="shared" si="223"/>
        <v>CEO</v>
      </c>
      <c r="M220" s="123" t="str">
        <f t="shared" si="223"/>
        <v>President &amp; CEO</v>
      </c>
      <c r="N220" s="132" t="str">
        <f t="shared" si="223"/>
        <v>Gerard Bond</v>
      </c>
      <c r="O220" s="219">
        <v>467822</v>
      </c>
      <c r="P220" s="125">
        <f t="shared" si="218"/>
        <v>817975.54617712181</v>
      </c>
      <c r="Q220" s="311" t="s">
        <v>78</v>
      </c>
      <c r="R220" s="126" t="str">
        <f t="shared" si="219"/>
        <v>-</v>
      </c>
      <c r="S220" s="221">
        <v>433717</v>
      </c>
      <c r="T220" s="125">
        <f t="shared" si="220"/>
        <v>758343.77169372689</v>
      </c>
      <c r="U220" s="127">
        <f t="shared" si="173"/>
        <v>0.92709834082193643</v>
      </c>
      <c r="V220" s="128"/>
      <c r="W220" s="223" t="s">
        <v>78</v>
      </c>
      <c r="X220" s="129">
        <f t="shared" si="174"/>
        <v>0</v>
      </c>
      <c r="Y220" s="124">
        <f t="shared" si="178"/>
        <v>1576319.3178708488</v>
      </c>
      <c r="Z220" s="130">
        <f t="shared" si="179"/>
        <v>817975.54617712181</v>
      </c>
      <c r="AA220" s="225">
        <f>2841335*(0.34)</f>
        <v>966053.9</v>
      </c>
      <c r="AB220" s="225">
        <f>2841335*(0.66)</f>
        <v>1875281.1</v>
      </c>
      <c r="AC220" s="225" t="s">
        <v>78</v>
      </c>
      <c r="AD220" s="225" t="s">
        <v>78</v>
      </c>
      <c r="AE220" s="225" t="s">
        <v>78</v>
      </c>
      <c r="AF220" s="125">
        <f t="shared" si="221"/>
        <v>2841335</v>
      </c>
      <c r="AG220" s="127">
        <f t="shared" si="175"/>
        <v>4.5217828986896063</v>
      </c>
      <c r="AH220" s="128"/>
      <c r="AI220" s="423" t="s">
        <v>78</v>
      </c>
      <c r="AJ220" s="131">
        <f t="shared" si="176"/>
        <v>0</v>
      </c>
      <c r="AK220" s="368">
        <f t="shared" si="222"/>
        <v>3698707.8362499997</v>
      </c>
      <c r="AL220" s="375">
        <f t="shared" si="180"/>
        <v>5275027.1541208485</v>
      </c>
      <c r="AM220" s="376">
        <f t="shared" si="181"/>
        <v>817975.54617712181</v>
      </c>
      <c r="AN220" s="432">
        <v>18595</v>
      </c>
      <c r="AO220" s="395" t="s">
        <v>805</v>
      </c>
      <c r="AP220" s="396">
        <f t="shared" si="159"/>
        <v>32512.911494464945</v>
      </c>
      <c r="AQ220" s="397"/>
      <c r="AR220" s="401">
        <v>110830</v>
      </c>
      <c r="AS220" s="396">
        <f t="shared" si="160"/>
        <v>193783.59671586717</v>
      </c>
      <c r="AT220" s="397"/>
      <c r="AU220" s="388">
        <f t="shared" si="182"/>
        <v>5501323.6623311806</v>
      </c>
      <c r="AV220" s="389">
        <f t="shared" si="183"/>
        <v>1044272.0543874539</v>
      </c>
      <c r="AW220" s="353" t="s">
        <v>436</v>
      </c>
      <c r="AX220" s="403" t="s">
        <v>358</v>
      </c>
      <c r="AY220" s="404" t="s">
        <v>451</v>
      </c>
    </row>
    <row r="221" spans="1:52" ht="15" customHeight="1">
      <c r="A221" s="1" t="str">
        <f t="shared" si="157"/>
        <v>TSX:OGC
_2024_</v>
      </c>
      <c r="B221" s="1" t="str">
        <f t="shared" si="163"/>
        <v>TSX:OGC
_2024_CFO</v>
      </c>
      <c r="C221" s="114" t="str">
        <f t="shared" si="197"/>
        <v xml:space="preserve">TSX:OGC
</v>
      </c>
      <c r="D221" s="133" t="str">
        <f>_xll.ciqfunctions.udf.CIQ(C221,"IQ_Company_Name")</f>
        <v>OceanaGold Corporation</v>
      </c>
      <c r="E221" s="114">
        <f t="shared" ref="E221:E232" si="224">E218</f>
        <v>2024</v>
      </c>
      <c r="F221" s="114" t="str">
        <f>E221&amp;"-01-01"</f>
        <v>2024-01-01</v>
      </c>
      <c r="G221" s="330" t="str">
        <f t="shared" si="217"/>
        <v>2024-12-31</v>
      </c>
      <c r="H221" s="114">
        <f t="shared" si="177"/>
        <v>12</v>
      </c>
      <c r="I221" s="407" t="str">
        <f>I220</f>
        <v>USD</v>
      </c>
      <c r="J221" s="461">
        <f t="shared" si="164"/>
        <v>1.3701700000000001</v>
      </c>
      <c r="K221" s="468"/>
      <c r="L221" s="464" t="s">
        <v>106</v>
      </c>
      <c r="M221" s="217" t="s">
        <v>309</v>
      </c>
      <c r="N221" s="218" t="s">
        <v>429</v>
      </c>
      <c r="O221" s="219">
        <v>409883</v>
      </c>
      <c r="P221" s="125">
        <f t="shared" si="218"/>
        <v>561609.39011000004</v>
      </c>
      <c r="Q221" s="311" t="s">
        <v>78</v>
      </c>
      <c r="R221" s="126" t="str">
        <f t="shared" si="219"/>
        <v>-</v>
      </c>
      <c r="S221" s="221">
        <v>145052</v>
      </c>
      <c r="T221" s="125">
        <f t="shared" si="220"/>
        <v>198745.89884000001</v>
      </c>
      <c r="U221" s="127">
        <f t="shared" si="173"/>
        <v>0.35388635293486187</v>
      </c>
      <c r="V221" s="128">
        <f>IFERROR(AVERAGE(U221:U223),"N/A")</f>
        <v>0.47827938741626741</v>
      </c>
      <c r="W221" s="223">
        <v>0.6</v>
      </c>
      <c r="X221" s="129">
        <f t="shared" si="174"/>
        <v>336965.634066</v>
      </c>
      <c r="Y221" s="124">
        <f t="shared" si="178"/>
        <v>760355.28895000007</v>
      </c>
      <c r="Z221" s="130">
        <f t="shared" si="179"/>
        <v>898575.02417600004</v>
      </c>
      <c r="AA221" s="225">
        <f>1075323*(0.3)</f>
        <v>322596.89999999997</v>
      </c>
      <c r="AB221" s="225">
        <f>1075323*(0.7)</f>
        <v>752726.1</v>
      </c>
      <c r="AC221" s="225" t="s">
        <v>78</v>
      </c>
      <c r="AD221" s="225" t="s">
        <v>78</v>
      </c>
      <c r="AE221" s="225" t="s">
        <v>78</v>
      </c>
      <c r="AF221" s="125">
        <f t="shared" si="221"/>
        <v>1075323</v>
      </c>
      <c r="AG221" s="127">
        <f t="shared" si="175"/>
        <v>2.6234876781910939</v>
      </c>
      <c r="AH221" s="128">
        <f>IFERROR(AVERAGE(AG221:AG223),"N/A")</f>
        <v>2.9430435134368285</v>
      </c>
      <c r="AI221" s="423" t="s">
        <v>78</v>
      </c>
      <c r="AJ221" s="131">
        <f t="shared" si="176"/>
        <v>1652840.8726484489</v>
      </c>
      <c r="AK221" s="368">
        <f t="shared" si="222"/>
        <v>1473375.3149100002</v>
      </c>
      <c r="AL221" s="375">
        <f t="shared" si="180"/>
        <v>2233730.6038600001</v>
      </c>
      <c r="AM221" s="376">
        <f t="shared" si="181"/>
        <v>2551415.8968244488</v>
      </c>
      <c r="AN221" s="432">
        <v>9262</v>
      </c>
      <c r="AO221" s="395" t="s">
        <v>805</v>
      </c>
      <c r="AP221" s="396">
        <f t="shared" si="159"/>
        <v>12690.51454</v>
      </c>
      <c r="AQ221" s="397">
        <f>IFERROR(AVERAGE(AP221:AP223),"N/A")</f>
        <v>21133.127533423423</v>
      </c>
      <c r="AR221" s="439">
        <v>0</v>
      </c>
      <c r="AS221" s="396">
        <f t="shared" si="160"/>
        <v>0</v>
      </c>
      <c r="AT221" s="397">
        <f>IFERROR(AVERAGE(AS221:AS223),"N/A")</f>
        <v>109150.98972828829</v>
      </c>
      <c r="AU221" s="388">
        <f t="shared" si="182"/>
        <v>2246421.1184</v>
      </c>
      <c r="AV221" s="389">
        <f t="shared" si="183"/>
        <v>2564106.4113644487</v>
      </c>
      <c r="AW221" s="353" t="s">
        <v>78</v>
      </c>
      <c r="AX221" s="403" t="s">
        <v>358</v>
      </c>
      <c r="AY221" s="404" t="s">
        <v>451</v>
      </c>
    </row>
    <row r="222" spans="1:52" ht="15" customHeight="1">
      <c r="A222" s="1" t="str">
        <f t="shared" si="157"/>
        <v>TSX:OGC
_2023_</v>
      </c>
      <c r="B222" s="1" t="str">
        <f t="shared" si="163"/>
        <v>TSX:OGC
_2023_CFO</v>
      </c>
      <c r="C222" s="114" t="str">
        <f t="shared" si="197"/>
        <v xml:space="preserve">TSX:OGC
</v>
      </c>
      <c r="D222" s="133" t="str">
        <f>_xll.ciqfunctions.udf.CIQ(C222,"IQ_Company_Name")</f>
        <v>OceanaGold Corporation</v>
      </c>
      <c r="E222" s="114">
        <f t="shared" si="224"/>
        <v>2023</v>
      </c>
      <c r="F222" s="453">
        <v>45069</v>
      </c>
      <c r="G222" s="330" t="str">
        <f t="shared" si="217"/>
        <v>2023-12-31</v>
      </c>
      <c r="H222" s="114">
        <f t="shared" si="177"/>
        <v>7.3186813186813193</v>
      </c>
      <c r="I222" s="407" t="str">
        <f>I221</f>
        <v>USD</v>
      </c>
      <c r="J222" s="461">
        <f t="shared" si="164"/>
        <v>1.34954</v>
      </c>
      <c r="K222" s="468"/>
      <c r="L222" s="465" t="str">
        <f t="shared" ref="L222:N223" si="225">L221</f>
        <v>CFO</v>
      </c>
      <c r="M222" s="123" t="str">
        <f t="shared" si="225"/>
        <v>EVP &amp; CFO</v>
      </c>
      <c r="N222" s="132" t="str">
        <f t="shared" si="225"/>
        <v>Marius van Niekerk</v>
      </c>
      <c r="O222" s="219">
        <v>244647</v>
      </c>
      <c r="P222" s="125">
        <f t="shared" si="218"/>
        <v>541344.91939783772</v>
      </c>
      <c r="Q222" s="311" t="s">
        <v>78</v>
      </c>
      <c r="R222" s="126" t="str">
        <f t="shared" si="219"/>
        <v>-</v>
      </c>
      <c r="S222" s="221">
        <v>147442</v>
      </c>
      <c r="T222" s="125">
        <f t="shared" si="220"/>
        <v>326253.65365549544</v>
      </c>
      <c r="U222" s="127">
        <f t="shared" si="173"/>
        <v>0.60267242189767301</v>
      </c>
      <c r="V222" s="128"/>
      <c r="W222" s="223" t="s">
        <v>78</v>
      </c>
      <c r="X222" s="129">
        <f t="shared" si="174"/>
        <v>0</v>
      </c>
      <c r="Y222" s="124">
        <f t="shared" si="178"/>
        <v>867598.57305333321</v>
      </c>
      <c r="Z222" s="130">
        <f t="shared" si="179"/>
        <v>541344.91939783772</v>
      </c>
      <c r="AA222" s="225">
        <f>1308736*(0.3)</f>
        <v>392620.79999999999</v>
      </c>
      <c r="AB222" s="225">
        <f>1308736*(0.7)</f>
        <v>916115.2</v>
      </c>
      <c r="AC222" s="225" t="s">
        <v>78</v>
      </c>
      <c r="AD222" s="225" t="s">
        <v>78</v>
      </c>
      <c r="AE222" s="225" t="s">
        <v>78</v>
      </c>
      <c r="AF222" s="125">
        <f t="shared" si="221"/>
        <v>1308736</v>
      </c>
      <c r="AG222" s="127">
        <f t="shared" si="175"/>
        <v>3.2625993486825631</v>
      </c>
      <c r="AH222" s="128"/>
      <c r="AI222" s="423" t="s">
        <v>78</v>
      </c>
      <c r="AJ222" s="131">
        <f t="shared" si="176"/>
        <v>0</v>
      </c>
      <c r="AK222" s="368">
        <f t="shared" si="222"/>
        <v>1766191.5814399999</v>
      </c>
      <c r="AL222" s="375">
        <f t="shared" si="180"/>
        <v>2633790.1544933328</v>
      </c>
      <c r="AM222" s="376">
        <f t="shared" si="181"/>
        <v>541344.91939783772</v>
      </c>
      <c r="AN222" s="432">
        <v>13366</v>
      </c>
      <c r="AO222" s="395" t="s">
        <v>805</v>
      </c>
      <c r="AP222" s="396">
        <f t="shared" si="159"/>
        <v>29575.740526846843</v>
      </c>
      <c r="AQ222" s="397"/>
      <c r="AR222" s="401">
        <v>98656</v>
      </c>
      <c r="AS222" s="396">
        <f t="shared" si="160"/>
        <v>218301.97945657658</v>
      </c>
      <c r="AT222" s="397"/>
      <c r="AU222" s="388">
        <f t="shared" si="182"/>
        <v>2881667.874476756</v>
      </c>
      <c r="AV222" s="389">
        <f t="shared" si="183"/>
        <v>789222.63938126108</v>
      </c>
      <c r="AW222" s="353" t="s">
        <v>437</v>
      </c>
      <c r="AX222" s="403" t="s">
        <v>358</v>
      </c>
      <c r="AY222" s="404" t="s">
        <v>451</v>
      </c>
    </row>
    <row r="223" spans="1:52" ht="15" customHeight="1">
      <c r="A223" s="1" t="str">
        <f t="shared" si="157"/>
        <v>TSX:OGC
_2022_</v>
      </c>
      <c r="B223" s="1" t="str">
        <f t="shared" si="163"/>
        <v>TSX:OGC
_2022_CFO</v>
      </c>
      <c r="C223" s="114" t="str">
        <f t="shared" si="197"/>
        <v xml:space="preserve">TSX:OGC
</v>
      </c>
      <c r="D223" s="133" t="str">
        <f>_xll.ciqfunctions.udf.CIQ(C223,"IQ_Company_Name")</f>
        <v>OceanaGold Corporation</v>
      </c>
      <c r="E223" s="114">
        <f t="shared" si="224"/>
        <v>2022</v>
      </c>
      <c r="F223" s="114" t="str">
        <f>E223&amp;"-01-01"</f>
        <v>2022-01-01</v>
      </c>
      <c r="G223" s="330" t="str">
        <f t="shared" si="217"/>
        <v>2022-12-31</v>
      </c>
      <c r="H223" s="114">
        <f t="shared" si="177"/>
        <v>12</v>
      </c>
      <c r="I223" s="407" t="str">
        <f t="shared" ref="I223:I247" si="226">I222</f>
        <v>USD</v>
      </c>
      <c r="J223" s="461">
        <f t="shared" si="164"/>
        <v>1.30175</v>
      </c>
      <c r="K223" s="468"/>
      <c r="L223" s="465" t="str">
        <f t="shared" si="225"/>
        <v>CFO</v>
      </c>
      <c r="M223" s="123" t="str">
        <f t="shared" si="225"/>
        <v>EVP &amp; CFO</v>
      </c>
      <c r="N223" s="132" t="str">
        <f t="shared" si="225"/>
        <v>Marius van Niekerk</v>
      </c>
      <c r="O223" s="219" t="s">
        <v>78</v>
      </c>
      <c r="P223" s="125" t="str">
        <f t="shared" si="218"/>
        <v>-</v>
      </c>
      <c r="Q223" s="311" t="s">
        <v>78</v>
      </c>
      <c r="R223" s="126" t="str">
        <f t="shared" si="219"/>
        <v>-</v>
      </c>
      <c r="S223" s="221" t="s">
        <v>78</v>
      </c>
      <c r="T223" s="125" t="str">
        <f t="shared" si="220"/>
        <v>-</v>
      </c>
      <c r="U223" s="127" t="str">
        <f t="shared" si="173"/>
        <v>-</v>
      </c>
      <c r="V223" s="128"/>
      <c r="W223" s="223" t="s">
        <v>78</v>
      </c>
      <c r="X223" s="129" t="str">
        <f t="shared" si="174"/>
        <v>-</v>
      </c>
      <c r="Y223" s="124" t="str">
        <f t="shared" si="178"/>
        <v>-</v>
      </c>
      <c r="Z223" s="130" t="str">
        <f t="shared" si="179"/>
        <v>-</v>
      </c>
      <c r="AA223" s="225" t="s">
        <v>78</v>
      </c>
      <c r="AB223" s="225" t="s">
        <v>78</v>
      </c>
      <c r="AC223" s="225" t="s">
        <v>78</v>
      </c>
      <c r="AD223" s="225" t="s">
        <v>78</v>
      </c>
      <c r="AE223" s="225" t="s">
        <v>78</v>
      </c>
      <c r="AF223" s="125" t="str">
        <f t="shared" si="221"/>
        <v>-</v>
      </c>
      <c r="AG223" s="127" t="str">
        <f t="shared" si="175"/>
        <v>-</v>
      </c>
      <c r="AH223" s="128"/>
      <c r="AI223" s="423" t="s">
        <v>78</v>
      </c>
      <c r="AJ223" s="131" t="str">
        <f t="shared" si="176"/>
        <v>-</v>
      </c>
      <c r="AK223" s="368" t="str">
        <f t="shared" si="222"/>
        <v>-</v>
      </c>
      <c r="AL223" s="375" t="str">
        <f t="shared" si="180"/>
        <v>-</v>
      </c>
      <c r="AM223" s="376" t="str">
        <f t="shared" si="181"/>
        <v>-</v>
      </c>
      <c r="AN223" s="432" t="s">
        <v>78</v>
      </c>
      <c r="AO223" s="395" t="s">
        <v>78</v>
      </c>
      <c r="AP223" s="396" t="str">
        <f t="shared" si="159"/>
        <v>-</v>
      </c>
      <c r="AQ223" s="397"/>
      <c r="AR223" s="401" t="s">
        <v>78</v>
      </c>
      <c r="AS223" s="396" t="str">
        <f t="shared" si="160"/>
        <v>-</v>
      </c>
      <c r="AT223" s="397"/>
      <c r="AU223" s="388" t="str">
        <f t="shared" si="182"/>
        <v>-</v>
      </c>
      <c r="AV223" s="389" t="str">
        <f t="shared" si="183"/>
        <v>-</v>
      </c>
      <c r="AW223" s="353" t="s">
        <v>78</v>
      </c>
      <c r="AX223" s="403" t="s">
        <v>358</v>
      </c>
      <c r="AY223" s="404" t="s">
        <v>451</v>
      </c>
    </row>
    <row r="224" spans="1:52" ht="15" customHeight="1">
      <c r="A224" s="1" t="str">
        <f t="shared" si="157"/>
        <v>TSX:OGC
_2024_Region</v>
      </c>
      <c r="B224" s="1" t="str">
        <f t="shared" si="163"/>
        <v>TSX:OGC
_2024_NEO1</v>
      </c>
      <c r="C224" s="114" t="str">
        <f t="shared" si="197"/>
        <v xml:space="preserve">TSX:OGC
</v>
      </c>
      <c r="D224" s="133" t="str">
        <f>_xll.ciqfunctions.udf.CIQ(C224,"IQ_Company_Name")</f>
        <v>OceanaGold Corporation</v>
      </c>
      <c r="E224" s="114">
        <f t="shared" si="224"/>
        <v>2024</v>
      </c>
      <c r="F224" s="330" t="str">
        <f>E224&amp;"-01-01"</f>
        <v>2024-01-01</v>
      </c>
      <c r="G224" s="330" t="str">
        <f t="shared" si="217"/>
        <v>2024-12-31</v>
      </c>
      <c r="H224" s="114">
        <f t="shared" si="177"/>
        <v>12</v>
      </c>
      <c r="I224" s="407" t="str">
        <f t="shared" si="226"/>
        <v>USD</v>
      </c>
      <c r="J224" s="461">
        <f t="shared" si="164"/>
        <v>1.3701700000000001</v>
      </c>
      <c r="K224" s="468" t="s">
        <v>475</v>
      </c>
      <c r="L224" s="464" t="s">
        <v>107</v>
      </c>
      <c r="M224" s="217" t="s">
        <v>433</v>
      </c>
      <c r="N224" s="218" t="s">
        <v>430</v>
      </c>
      <c r="O224" s="219">
        <v>397492</v>
      </c>
      <c r="P224" s="125">
        <f t="shared" si="218"/>
        <v>544631.61364</v>
      </c>
      <c r="Q224" s="311" t="s">
        <v>78</v>
      </c>
      <c r="R224" s="126" t="str">
        <f t="shared" si="219"/>
        <v>-</v>
      </c>
      <c r="S224" s="221">
        <v>242765</v>
      </c>
      <c r="T224" s="125">
        <f t="shared" si="220"/>
        <v>332629.32005000004</v>
      </c>
      <c r="U224" s="127">
        <f t="shared" si="173"/>
        <v>0.61074185140833026</v>
      </c>
      <c r="V224" s="128">
        <f>IFERROR(AVERAGE(U224:U226),"N/A")</f>
        <v>0.46649255054155864</v>
      </c>
      <c r="W224" s="223">
        <v>0.6</v>
      </c>
      <c r="X224" s="129">
        <f t="shared" si="174"/>
        <v>326778.968184</v>
      </c>
      <c r="Y224" s="124">
        <f t="shared" si="178"/>
        <v>877260.93369000009</v>
      </c>
      <c r="Z224" s="130">
        <f t="shared" si="179"/>
        <v>871410.58182399999</v>
      </c>
      <c r="AA224" s="225">
        <f>1120955*(0.3)</f>
        <v>336286.5</v>
      </c>
      <c r="AB224" s="225">
        <f>1120955*(0.7)</f>
        <v>784668.5</v>
      </c>
      <c r="AC224" s="225" t="s">
        <v>78</v>
      </c>
      <c r="AD224" s="225" t="s">
        <v>78</v>
      </c>
      <c r="AE224" s="225" t="s">
        <v>78</v>
      </c>
      <c r="AF224" s="125">
        <f t="shared" si="221"/>
        <v>1120955</v>
      </c>
      <c r="AG224" s="127">
        <f t="shared" si="175"/>
        <v>2.8200693347287493</v>
      </c>
      <c r="AH224" s="128">
        <f>IFERROR(AVERAGE(AG224:AG226),"N/A")</f>
        <v>1.8347939734073915</v>
      </c>
      <c r="AI224" s="423" t="s">
        <v>78</v>
      </c>
      <c r="AJ224" s="131">
        <f t="shared" si="176"/>
        <v>999286.80243381485</v>
      </c>
      <c r="AK224" s="368">
        <f t="shared" si="222"/>
        <v>1535898.9123500001</v>
      </c>
      <c r="AL224" s="375">
        <f t="shared" si="180"/>
        <v>2413159.8460400002</v>
      </c>
      <c r="AM224" s="376">
        <f t="shared" si="181"/>
        <v>1870697.3842578148</v>
      </c>
      <c r="AN224" s="432">
        <v>18900</v>
      </c>
      <c r="AO224" s="395" t="s">
        <v>805</v>
      </c>
      <c r="AP224" s="396">
        <f t="shared" si="159"/>
        <v>25896.213000000003</v>
      </c>
      <c r="AQ224" s="397">
        <f>IFERROR(AVERAGE(AP224:AP226),"N/A")</f>
        <v>22137.872760000002</v>
      </c>
      <c r="AR224" s="401" t="s">
        <v>78</v>
      </c>
      <c r="AS224" s="396" t="str">
        <f t="shared" si="160"/>
        <v>-</v>
      </c>
      <c r="AT224" s="397" t="str">
        <f>IFERROR(AVERAGE(AS224:AS226),"N/A")</f>
        <v>N/A</v>
      </c>
      <c r="AU224" s="388">
        <f t="shared" si="182"/>
        <v>2439056.0590400002</v>
      </c>
      <c r="AV224" s="389">
        <f t="shared" si="183"/>
        <v>1896593.5972578148</v>
      </c>
      <c r="AW224" s="353" t="s">
        <v>78</v>
      </c>
      <c r="AX224" s="403" t="s">
        <v>358</v>
      </c>
      <c r="AY224" s="404" t="s">
        <v>451</v>
      </c>
    </row>
    <row r="225" spans="1:52" ht="15" customHeight="1">
      <c r="A225" s="1" t="str">
        <f t="shared" ref="A225:A288" si="227">$C225&amp;"_"&amp;$E225&amp;"_"&amp;$K225</f>
        <v>TSX:OGC
_2023_Region</v>
      </c>
      <c r="B225" s="1" t="str">
        <f t="shared" si="163"/>
        <v>TSX:OGC
_2023_NEO1</v>
      </c>
      <c r="C225" s="114" t="str">
        <f t="shared" si="197"/>
        <v xml:space="preserve">TSX:OGC
</v>
      </c>
      <c r="D225" s="133" t="str">
        <f>_xll.ciqfunctions.udf.CIQ(C225,"IQ_Company_Name")</f>
        <v>OceanaGold Corporation</v>
      </c>
      <c r="E225" s="114">
        <f t="shared" si="224"/>
        <v>2023</v>
      </c>
      <c r="F225" s="330" t="str">
        <f>E225&amp;"-01-01"</f>
        <v>2023-01-01</v>
      </c>
      <c r="G225" s="330" t="str">
        <f t="shared" si="217"/>
        <v>2023-12-31</v>
      </c>
      <c r="H225" s="114">
        <f t="shared" si="177"/>
        <v>12</v>
      </c>
      <c r="I225" s="407" t="str">
        <f t="shared" si="226"/>
        <v>USD</v>
      </c>
      <c r="J225" s="461">
        <f t="shared" si="164"/>
        <v>1.34954</v>
      </c>
      <c r="K225" s="468" t="s">
        <v>475</v>
      </c>
      <c r="L225" s="465" t="str">
        <f t="shared" ref="L225:N226" si="228">L224</f>
        <v>NEO1</v>
      </c>
      <c r="M225" s="123" t="str">
        <f t="shared" si="228"/>
        <v>EVP &amp; COO, Asia Pacific</v>
      </c>
      <c r="N225" s="132" t="str">
        <f t="shared" si="228"/>
        <v>Peter Sharpe</v>
      </c>
      <c r="O225" s="219">
        <v>414691</v>
      </c>
      <c r="P225" s="125">
        <f t="shared" si="218"/>
        <v>559642.09213999996</v>
      </c>
      <c r="Q225" s="311" t="s">
        <v>78</v>
      </c>
      <c r="R225" s="126" t="str">
        <f t="shared" si="219"/>
        <v>-</v>
      </c>
      <c r="S225" s="221">
        <v>244953</v>
      </c>
      <c r="T225" s="125">
        <f t="shared" si="220"/>
        <v>330573.87161999999</v>
      </c>
      <c r="U225" s="127">
        <f t="shared" si="173"/>
        <v>0.59068800625043705</v>
      </c>
      <c r="V225" s="128"/>
      <c r="W225" s="223" t="s">
        <v>78</v>
      </c>
      <c r="X225" s="129">
        <f t="shared" si="174"/>
        <v>0</v>
      </c>
      <c r="Y225" s="124">
        <f t="shared" si="178"/>
        <v>890215.96375999996</v>
      </c>
      <c r="Z225" s="130">
        <f t="shared" si="179"/>
        <v>559642.09213999996</v>
      </c>
      <c r="AA225" s="225">
        <f>946399*(0.3)</f>
        <v>283919.7</v>
      </c>
      <c r="AB225" s="225">
        <f>946399*(0.7)</f>
        <v>662479.29999999993</v>
      </c>
      <c r="AC225" s="225" t="s">
        <v>78</v>
      </c>
      <c r="AD225" s="225" t="s">
        <v>78</v>
      </c>
      <c r="AE225" s="225" t="s">
        <v>78</v>
      </c>
      <c r="AF225" s="125">
        <f t="shared" si="221"/>
        <v>946399</v>
      </c>
      <c r="AG225" s="127">
        <f t="shared" si="175"/>
        <v>2.282178778898023</v>
      </c>
      <c r="AH225" s="128"/>
      <c r="AI225" s="423" t="s">
        <v>78</v>
      </c>
      <c r="AJ225" s="131">
        <f t="shared" si="176"/>
        <v>0</v>
      </c>
      <c r="AK225" s="368">
        <f t="shared" si="222"/>
        <v>1277203.3064599999</v>
      </c>
      <c r="AL225" s="375">
        <f t="shared" si="180"/>
        <v>2167419.2702199998</v>
      </c>
      <c r="AM225" s="376">
        <f t="shared" si="181"/>
        <v>559642.09213999996</v>
      </c>
      <c r="AN225" s="432">
        <v>18232</v>
      </c>
      <c r="AO225" s="395" t="s">
        <v>805</v>
      </c>
      <c r="AP225" s="396">
        <f t="shared" ref="AP225:AP288" si="229">IFERROR(AN225*(12/$H225)*$J225,"-")</f>
        <v>24604.813279999998</v>
      </c>
      <c r="AQ225" s="397"/>
      <c r="AR225" s="401" t="s">
        <v>78</v>
      </c>
      <c r="AS225" s="396" t="str">
        <f t="shared" ref="AS225:AS288" si="230">IFERROR(AR225*(12/$H225)*$J225,"-")</f>
        <v>-</v>
      </c>
      <c r="AT225" s="397"/>
      <c r="AU225" s="388">
        <f t="shared" si="182"/>
        <v>2192024.0834999997</v>
      </c>
      <c r="AV225" s="389">
        <f t="shared" si="183"/>
        <v>584246.90541999997</v>
      </c>
      <c r="AW225" s="353" t="s">
        <v>78</v>
      </c>
      <c r="AX225" s="403" t="s">
        <v>358</v>
      </c>
      <c r="AY225" s="404" t="s">
        <v>451</v>
      </c>
    </row>
    <row r="226" spans="1:52" ht="15" customHeight="1">
      <c r="A226" s="1" t="str">
        <f t="shared" si="227"/>
        <v>TSX:OGC
_2022_Region</v>
      </c>
      <c r="B226" s="1" t="str">
        <f t="shared" si="163"/>
        <v>TSX:OGC
_2022_NEO1</v>
      </c>
      <c r="C226" s="114" t="str">
        <f t="shared" si="197"/>
        <v xml:space="preserve">TSX:OGC
</v>
      </c>
      <c r="D226" s="133" t="str">
        <f>_xll.ciqfunctions.udf.CIQ(C226,"IQ_Company_Name")</f>
        <v>OceanaGold Corporation</v>
      </c>
      <c r="E226" s="114">
        <f t="shared" si="224"/>
        <v>2022</v>
      </c>
      <c r="F226" s="453">
        <v>44835</v>
      </c>
      <c r="G226" s="330" t="str">
        <f t="shared" si="217"/>
        <v>2022-12-31</v>
      </c>
      <c r="H226" s="114">
        <f t="shared" si="177"/>
        <v>3</v>
      </c>
      <c r="I226" s="407" t="str">
        <f t="shared" si="226"/>
        <v>USD</v>
      </c>
      <c r="J226" s="461">
        <f t="shared" si="164"/>
        <v>1.30175</v>
      </c>
      <c r="K226" s="468" t="s">
        <v>475</v>
      </c>
      <c r="L226" s="465" t="str">
        <f t="shared" si="228"/>
        <v>NEO1</v>
      </c>
      <c r="M226" s="123" t="str">
        <f t="shared" si="228"/>
        <v>EVP &amp; COO, Asia Pacific</v>
      </c>
      <c r="N226" s="132" t="str">
        <f t="shared" si="228"/>
        <v>Peter Sharpe</v>
      </c>
      <c r="O226" s="219">
        <v>242290</v>
      </c>
      <c r="P226" s="125">
        <f t="shared" si="218"/>
        <v>1261604.03</v>
      </c>
      <c r="Q226" s="311" t="s">
        <v>78</v>
      </c>
      <c r="R226" s="126" t="str">
        <f t="shared" si="219"/>
        <v>-</v>
      </c>
      <c r="S226" s="221">
        <v>47985</v>
      </c>
      <c r="T226" s="125">
        <f t="shared" si="220"/>
        <v>249857.89499999999</v>
      </c>
      <c r="U226" s="127">
        <f t="shared" si="173"/>
        <v>0.1980477939659086</v>
      </c>
      <c r="V226" s="128"/>
      <c r="W226" s="223" t="s">
        <v>78</v>
      </c>
      <c r="X226" s="129">
        <f t="shared" si="174"/>
        <v>0</v>
      </c>
      <c r="Y226" s="124">
        <f t="shared" si="178"/>
        <v>1511461.925</v>
      </c>
      <c r="Z226" s="130">
        <f t="shared" si="179"/>
        <v>1261604.03</v>
      </c>
      <c r="AA226" s="225">
        <f>389732*(0.3)</f>
        <v>116919.59999999999</v>
      </c>
      <c r="AB226" s="225">
        <f>389732*(0.7)</f>
        <v>272812.39999999997</v>
      </c>
      <c r="AC226" s="225" t="s">
        <v>78</v>
      </c>
      <c r="AD226" s="225" t="s">
        <v>78</v>
      </c>
      <c r="AE226" s="225" t="s">
        <v>78</v>
      </c>
      <c r="AF226" s="125">
        <f t="shared" si="221"/>
        <v>389731.99999999994</v>
      </c>
      <c r="AG226" s="127">
        <f t="shared" si="175"/>
        <v>0.40213380659540215</v>
      </c>
      <c r="AH226" s="128"/>
      <c r="AI226" s="423" t="s">
        <v>78</v>
      </c>
      <c r="AJ226" s="131">
        <f t="shared" si="176"/>
        <v>0</v>
      </c>
      <c r="AK226" s="368">
        <f t="shared" si="222"/>
        <v>507333.63099999994</v>
      </c>
      <c r="AL226" s="375">
        <f t="shared" si="180"/>
        <v>2018795.5559999999</v>
      </c>
      <c r="AM226" s="376">
        <f t="shared" si="181"/>
        <v>1261604.03</v>
      </c>
      <c r="AN226" s="432">
        <v>3056</v>
      </c>
      <c r="AO226" s="395" t="s">
        <v>805</v>
      </c>
      <c r="AP226" s="396">
        <f t="shared" si="229"/>
        <v>15912.591999999999</v>
      </c>
      <c r="AQ226" s="397"/>
      <c r="AR226" s="401" t="s">
        <v>78</v>
      </c>
      <c r="AS226" s="396" t="str">
        <f t="shared" si="230"/>
        <v>-</v>
      </c>
      <c r="AT226" s="397"/>
      <c r="AU226" s="388">
        <f t="shared" si="182"/>
        <v>2034708.1479999998</v>
      </c>
      <c r="AV226" s="389">
        <f t="shared" si="183"/>
        <v>1277516.622</v>
      </c>
      <c r="AW226" s="353" t="s">
        <v>438</v>
      </c>
      <c r="AX226" s="403" t="s">
        <v>358</v>
      </c>
      <c r="AY226" s="404" t="s">
        <v>451</v>
      </c>
    </row>
    <row r="227" spans="1:52" ht="15" customHeight="1">
      <c r="A227" s="1" t="str">
        <f t="shared" si="227"/>
        <v>TSX:OGC
_2024_Region2</v>
      </c>
      <c r="B227" s="1" t="str">
        <f t="shared" si="163"/>
        <v>TSX:OGC
_2024_NEO2</v>
      </c>
      <c r="C227" s="114" t="str">
        <f t="shared" si="197"/>
        <v xml:space="preserve">TSX:OGC
</v>
      </c>
      <c r="D227" s="133" t="str">
        <f>_xll.ciqfunctions.udf.CIQ(C227,"IQ_Company_Name")</f>
        <v>OceanaGold Corporation</v>
      </c>
      <c r="E227" s="114">
        <f t="shared" si="224"/>
        <v>2024</v>
      </c>
      <c r="F227" s="114" t="str">
        <f>E227&amp;"-01-01"</f>
        <v>2024-01-01</v>
      </c>
      <c r="G227" s="330" t="str">
        <f t="shared" si="217"/>
        <v>2024-12-31</v>
      </c>
      <c r="H227" s="114">
        <f t="shared" si="177"/>
        <v>12</v>
      </c>
      <c r="I227" s="407" t="str">
        <f t="shared" si="226"/>
        <v>USD</v>
      </c>
      <c r="J227" s="461">
        <f t="shared" si="164"/>
        <v>1.3701700000000001</v>
      </c>
      <c r="K227" s="468" t="s">
        <v>763</v>
      </c>
      <c r="L227" s="464" t="s">
        <v>108</v>
      </c>
      <c r="M227" s="217" t="s">
        <v>434</v>
      </c>
      <c r="N227" s="218" t="s">
        <v>431</v>
      </c>
      <c r="O227" s="219">
        <v>386962</v>
      </c>
      <c r="P227" s="125">
        <f t="shared" si="218"/>
        <v>530203.72354000004</v>
      </c>
      <c r="Q227" s="311" t="s">
        <v>78</v>
      </c>
      <c r="R227" s="126" t="str">
        <f t="shared" si="219"/>
        <v>-</v>
      </c>
      <c r="S227" s="221">
        <v>193925</v>
      </c>
      <c r="T227" s="125">
        <f t="shared" si="220"/>
        <v>265710.21725000005</v>
      </c>
      <c r="U227" s="127">
        <f t="shared" si="173"/>
        <v>0.50114739948625453</v>
      </c>
      <c r="V227" s="128">
        <f>IFERROR(AVERAGE(U227:U229),"N/A")</f>
        <v>0.55197379544227332</v>
      </c>
      <c r="W227" s="223">
        <v>0.6</v>
      </c>
      <c r="X227" s="129">
        <f t="shared" si="174"/>
        <v>318122.23412400001</v>
      </c>
      <c r="Y227" s="124">
        <f t="shared" si="178"/>
        <v>795913.94079000014</v>
      </c>
      <c r="Z227" s="130">
        <f t="shared" si="179"/>
        <v>848325.9576640001</v>
      </c>
      <c r="AA227" s="225">
        <f>802037*(0.3)</f>
        <v>240611.09999999998</v>
      </c>
      <c r="AB227" s="225">
        <f>802037*(0.7)</f>
        <v>561425.89999999991</v>
      </c>
      <c r="AC227" s="225" t="s">
        <v>78</v>
      </c>
      <c r="AD227" s="225" t="s">
        <v>78</v>
      </c>
      <c r="AE227" s="225" t="s">
        <v>78</v>
      </c>
      <c r="AF227" s="125">
        <f t="shared" si="221"/>
        <v>802036.99999999988</v>
      </c>
      <c r="AG227" s="127">
        <f t="shared" si="175"/>
        <v>2.0726505444979093</v>
      </c>
      <c r="AH227" s="128">
        <f>IFERROR(AVERAGE(AG227:AG229),"N/A")</f>
        <v>1.6681734487320454</v>
      </c>
      <c r="AI227" s="423" t="s">
        <v>78</v>
      </c>
      <c r="AJ227" s="131">
        <f t="shared" si="176"/>
        <v>884471.77402829379</v>
      </c>
      <c r="AK227" s="368">
        <f t="shared" si="222"/>
        <v>1098927.03629</v>
      </c>
      <c r="AL227" s="375">
        <f t="shared" si="180"/>
        <v>1894840.9770800001</v>
      </c>
      <c r="AM227" s="376">
        <f t="shared" si="181"/>
        <v>1732797.7316922939</v>
      </c>
      <c r="AN227" s="432">
        <v>30500</v>
      </c>
      <c r="AO227" s="395" t="s">
        <v>805</v>
      </c>
      <c r="AP227" s="396">
        <f t="shared" si="229"/>
        <v>41790.185000000005</v>
      </c>
      <c r="AQ227" s="397">
        <f>IFERROR(AVERAGE(AP227:AP229),"N/A")</f>
        <v>41790.185000000005</v>
      </c>
      <c r="AR227" s="401">
        <v>21754</v>
      </c>
      <c r="AS227" s="396">
        <f t="shared" si="230"/>
        <v>29806.678180000003</v>
      </c>
      <c r="AT227" s="397">
        <f>IFERROR(AVERAGE(AS227:AS229),"N/A")</f>
        <v>29763.003363333333</v>
      </c>
      <c r="AU227" s="388">
        <f t="shared" si="182"/>
        <v>1966437.8402600002</v>
      </c>
      <c r="AV227" s="389">
        <f t="shared" si="183"/>
        <v>1804394.594872294</v>
      </c>
      <c r="AW227" s="353" t="s">
        <v>439</v>
      </c>
      <c r="AX227" s="403" t="s">
        <v>358</v>
      </c>
      <c r="AY227" s="404" t="s">
        <v>451</v>
      </c>
    </row>
    <row r="228" spans="1:52" ht="15" customHeight="1">
      <c r="A228" s="1" t="str">
        <f t="shared" si="227"/>
        <v>TSX:OGC
_2023_Region2</v>
      </c>
      <c r="B228" s="1" t="str">
        <f t="shared" si="163"/>
        <v>TSX:OGC
_2023_NEO2</v>
      </c>
      <c r="C228" s="114" t="str">
        <f t="shared" si="197"/>
        <v xml:space="preserve">TSX:OGC
</v>
      </c>
      <c r="D228" s="133" t="str">
        <f>_xll.ciqfunctions.udf.CIQ(C228,"IQ_Company_Name")</f>
        <v>OceanaGold Corporation</v>
      </c>
      <c r="E228" s="114">
        <f t="shared" si="224"/>
        <v>2023</v>
      </c>
      <c r="F228" s="114" t="str">
        <f>E228&amp;"-01-01"</f>
        <v>2023-01-01</v>
      </c>
      <c r="G228" s="330" t="str">
        <f t="shared" si="217"/>
        <v>2023-12-31</v>
      </c>
      <c r="H228" s="114">
        <f t="shared" si="177"/>
        <v>12</v>
      </c>
      <c r="I228" s="407" t="str">
        <f t="shared" si="226"/>
        <v>USD</v>
      </c>
      <c r="J228" s="461">
        <f t="shared" si="164"/>
        <v>1.34954</v>
      </c>
      <c r="K228" s="468" t="s">
        <v>763</v>
      </c>
      <c r="L228" s="465" t="str">
        <f t="shared" ref="L228:N229" si="231">L227</f>
        <v>NEO2</v>
      </c>
      <c r="M228" s="123" t="str">
        <f t="shared" si="231"/>
        <v>EVP &amp; COO, Americas</v>
      </c>
      <c r="N228" s="132" t="str">
        <f t="shared" si="231"/>
        <v>David Londoño</v>
      </c>
      <c r="O228" s="219">
        <v>401689</v>
      </c>
      <c r="P228" s="125">
        <f t="shared" si="218"/>
        <v>542095.37306000001</v>
      </c>
      <c r="Q228" s="311" t="s">
        <v>78</v>
      </c>
      <c r="R228" s="126" t="str">
        <f t="shared" si="219"/>
        <v>-</v>
      </c>
      <c r="S228" s="221">
        <v>193925</v>
      </c>
      <c r="T228" s="125">
        <f t="shared" si="220"/>
        <v>261709.54449999999</v>
      </c>
      <c r="U228" s="127">
        <f t="shared" si="173"/>
        <v>0.48277398684056566</v>
      </c>
      <c r="V228" s="128"/>
      <c r="W228" s="223" t="s">
        <v>78</v>
      </c>
      <c r="X228" s="129">
        <f t="shared" si="174"/>
        <v>0</v>
      </c>
      <c r="Y228" s="124">
        <f t="shared" si="178"/>
        <v>803804.91755999997</v>
      </c>
      <c r="Z228" s="130">
        <f t="shared" si="179"/>
        <v>542095.37306000001</v>
      </c>
      <c r="AA228" s="225">
        <f>663128*(0.3)</f>
        <v>198938.4</v>
      </c>
      <c r="AB228" s="225">
        <f>663128*(0.7)</f>
        <v>464189.6</v>
      </c>
      <c r="AC228" s="225" t="s">
        <v>78</v>
      </c>
      <c r="AD228" s="225" t="s">
        <v>78</v>
      </c>
      <c r="AE228" s="225" t="s">
        <v>78</v>
      </c>
      <c r="AF228" s="125">
        <f t="shared" si="221"/>
        <v>663128</v>
      </c>
      <c r="AG228" s="127">
        <f t="shared" si="175"/>
        <v>1.6508492888777138</v>
      </c>
      <c r="AH228" s="128"/>
      <c r="AI228" s="423" t="s">
        <v>78</v>
      </c>
      <c r="AJ228" s="131">
        <f t="shared" si="176"/>
        <v>0</v>
      </c>
      <c r="AK228" s="368">
        <f t="shared" si="222"/>
        <v>894917.76111999992</v>
      </c>
      <c r="AL228" s="375">
        <f t="shared" si="180"/>
        <v>1698722.6786799999</v>
      </c>
      <c r="AM228" s="376">
        <f t="shared" si="181"/>
        <v>542095.37306000001</v>
      </c>
      <c r="AN228" s="432" t="s">
        <v>78</v>
      </c>
      <c r="AO228" s="395" t="s">
        <v>78</v>
      </c>
      <c r="AP228" s="396" t="str">
        <f t="shared" si="229"/>
        <v>-</v>
      </c>
      <c r="AQ228" s="397"/>
      <c r="AR228" s="401">
        <v>21604</v>
      </c>
      <c r="AS228" s="396">
        <f t="shared" si="230"/>
        <v>29155.462159999999</v>
      </c>
      <c r="AT228" s="397"/>
      <c r="AU228" s="388">
        <f t="shared" si="182"/>
        <v>1727878.14084</v>
      </c>
      <c r="AV228" s="389">
        <f t="shared" si="183"/>
        <v>571250.83522000001</v>
      </c>
      <c r="AW228" s="353" t="s">
        <v>78</v>
      </c>
      <c r="AX228" s="403" t="s">
        <v>358</v>
      </c>
      <c r="AY228" s="404" t="s">
        <v>451</v>
      </c>
    </row>
    <row r="229" spans="1:52" ht="15" customHeight="1">
      <c r="A229" s="1" t="str">
        <f t="shared" si="227"/>
        <v>TSX:OGC
_2022_Region2</v>
      </c>
      <c r="B229" s="1" t="str">
        <f t="shared" si="163"/>
        <v>TSX:OGC
_2022_NEO2</v>
      </c>
      <c r="C229" s="114" t="str">
        <f t="shared" si="197"/>
        <v xml:space="preserve">TSX:OGC
</v>
      </c>
      <c r="D229" s="133" t="str">
        <f>_xll.ciqfunctions.udf.CIQ(C229,"IQ_Company_Name")</f>
        <v>OceanaGold Corporation</v>
      </c>
      <c r="E229" s="114">
        <f t="shared" si="224"/>
        <v>2022</v>
      </c>
      <c r="F229" s="114" t="str">
        <f>E229&amp;"-01-01"</f>
        <v>2022-01-01</v>
      </c>
      <c r="G229" s="330" t="str">
        <f t="shared" si="217"/>
        <v>2022-12-31</v>
      </c>
      <c r="H229" s="114">
        <f t="shared" si="177"/>
        <v>12</v>
      </c>
      <c r="I229" s="407" t="str">
        <f t="shared" si="226"/>
        <v>USD</v>
      </c>
      <c r="J229" s="461">
        <f t="shared" si="164"/>
        <v>1.30175</v>
      </c>
      <c r="K229" s="468" t="s">
        <v>763</v>
      </c>
      <c r="L229" s="465" t="str">
        <f t="shared" si="231"/>
        <v>NEO2</v>
      </c>
      <c r="M229" s="123" t="str">
        <f t="shared" si="231"/>
        <v>EVP &amp; COO, Americas</v>
      </c>
      <c r="N229" s="132" t="str">
        <f t="shared" si="231"/>
        <v>David Londoño</v>
      </c>
      <c r="O229" s="219">
        <v>390000</v>
      </c>
      <c r="P229" s="125">
        <f t="shared" si="218"/>
        <v>507682.5</v>
      </c>
      <c r="Q229" s="311" t="s">
        <v>78</v>
      </c>
      <c r="R229" s="126" t="str">
        <f t="shared" si="219"/>
        <v>-</v>
      </c>
      <c r="S229" s="221">
        <v>262080</v>
      </c>
      <c r="T229" s="125">
        <f t="shared" si="220"/>
        <v>341162.64</v>
      </c>
      <c r="U229" s="127">
        <f t="shared" si="173"/>
        <v>0.67200000000000004</v>
      </c>
      <c r="V229" s="128"/>
      <c r="W229" s="223" t="s">
        <v>78</v>
      </c>
      <c r="X229" s="129">
        <f t="shared" si="174"/>
        <v>0</v>
      </c>
      <c r="Y229" s="124">
        <f t="shared" si="178"/>
        <v>848845.14</v>
      </c>
      <c r="Z229" s="130">
        <f t="shared" si="179"/>
        <v>507682.5</v>
      </c>
      <c r="AA229" s="225">
        <f>499598*(0.3)</f>
        <v>149879.4</v>
      </c>
      <c r="AB229" s="225">
        <f>499598*(0.7)</f>
        <v>349718.6</v>
      </c>
      <c r="AC229" s="225" t="s">
        <v>78</v>
      </c>
      <c r="AD229" s="225" t="s">
        <v>78</v>
      </c>
      <c r="AE229" s="225" t="s">
        <v>78</v>
      </c>
      <c r="AF229" s="125">
        <f t="shared" si="221"/>
        <v>499598</v>
      </c>
      <c r="AG229" s="127">
        <f t="shared" si="175"/>
        <v>1.2810205128205128</v>
      </c>
      <c r="AH229" s="128"/>
      <c r="AI229" s="423" t="s">
        <v>78</v>
      </c>
      <c r="AJ229" s="131">
        <f t="shared" si="176"/>
        <v>0</v>
      </c>
      <c r="AK229" s="368">
        <f t="shared" si="222"/>
        <v>650351.69649999996</v>
      </c>
      <c r="AL229" s="375">
        <f t="shared" si="180"/>
        <v>1499196.8365</v>
      </c>
      <c r="AM229" s="376">
        <f t="shared" si="181"/>
        <v>507682.5</v>
      </c>
      <c r="AN229" s="432" t="s">
        <v>78</v>
      </c>
      <c r="AO229" s="395" t="s">
        <v>78</v>
      </c>
      <c r="AP229" s="396" t="str">
        <f t="shared" si="229"/>
        <v>-</v>
      </c>
      <c r="AQ229" s="397"/>
      <c r="AR229" s="401">
        <v>23297</v>
      </c>
      <c r="AS229" s="396">
        <f t="shared" si="230"/>
        <v>30326.869749999998</v>
      </c>
      <c r="AT229" s="397"/>
      <c r="AU229" s="388">
        <f t="shared" si="182"/>
        <v>1529523.70625</v>
      </c>
      <c r="AV229" s="389">
        <f t="shared" si="183"/>
        <v>538009.36974999995</v>
      </c>
      <c r="AW229" s="353" t="s">
        <v>78</v>
      </c>
      <c r="AX229" s="403" t="s">
        <v>358</v>
      </c>
      <c r="AY229" s="404" t="s">
        <v>451</v>
      </c>
    </row>
    <row r="230" spans="1:52" ht="15" customHeight="1">
      <c r="A230" s="1" t="str">
        <f t="shared" si="227"/>
        <v>TSX:OGC
_2024_</v>
      </c>
      <c r="B230" s="1" t="str">
        <f t="shared" ref="B230:B293" si="232">$C230&amp;"_"&amp;$E230&amp;"_"&amp;$L230</f>
        <v>TSX:OGC
_2024_NEO3</v>
      </c>
      <c r="C230" s="114" t="str">
        <f t="shared" si="197"/>
        <v xml:space="preserve">TSX:OGC
</v>
      </c>
      <c r="D230" s="133" t="str">
        <f>_xll.ciqfunctions.udf.CIQ(C230,"IQ_Company_Name")</f>
        <v>OceanaGold Corporation</v>
      </c>
      <c r="E230" s="114">
        <f t="shared" si="224"/>
        <v>2024</v>
      </c>
      <c r="F230" s="114" t="str">
        <f>E230&amp;"-01-01"</f>
        <v>2024-01-01</v>
      </c>
      <c r="G230" s="330" t="str">
        <f t="shared" si="217"/>
        <v>2024-12-31</v>
      </c>
      <c r="H230" s="114">
        <f t="shared" si="177"/>
        <v>12</v>
      </c>
      <c r="I230" s="407" t="str">
        <f t="shared" si="226"/>
        <v>USD</v>
      </c>
      <c r="J230" s="461">
        <f t="shared" si="164"/>
        <v>1.3701700000000001</v>
      </c>
      <c r="K230" s="468"/>
      <c r="L230" s="464" t="s">
        <v>109</v>
      </c>
      <c r="M230" s="217" t="s">
        <v>435</v>
      </c>
      <c r="N230" s="218" t="s">
        <v>432</v>
      </c>
      <c r="O230" s="219">
        <v>327508</v>
      </c>
      <c r="P230" s="125">
        <f t="shared" si="218"/>
        <v>448741.63636000006</v>
      </c>
      <c r="Q230" s="311" t="s">
        <v>78</v>
      </c>
      <c r="R230" s="126" t="str">
        <f t="shared" si="219"/>
        <v>-</v>
      </c>
      <c r="S230" s="221">
        <v>159701</v>
      </c>
      <c r="T230" s="125">
        <f t="shared" si="220"/>
        <v>218817.51917000001</v>
      </c>
      <c r="U230" s="127">
        <f t="shared" si="173"/>
        <v>0.48762472977759319</v>
      </c>
      <c r="V230" s="128">
        <f>IFERROR(AVERAGE(U230:U232),"N/A")</f>
        <v>0.48762472977759319</v>
      </c>
      <c r="W230" s="223">
        <v>0.6</v>
      </c>
      <c r="X230" s="129">
        <f t="shared" si="174"/>
        <v>269244.98181600001</v>
      </c>
      <c r="Y230" s="124">
        <f t="shared" si="178"/>
        <v>667559.15553000011</v>
      </c>
      <c r="Z230" s="130">
        <f t="shared" si="179"/>
        <v>717986.61817600008</v>
      </c>
      <c r="AA230" s="225">
        <f>889367*(0.3)</f>
        <v>266810.09999999998</v>
      </c>
      <c r="AB230" s="225">
        <f>889367*(0.7)</f>
        <v>622556.89999999991</v>
      </c>
      <c r="AC230" s="225" t="s">
        <v>78</v>
      </c>
      <c r="AD230" s="225" t="s">
        <v>78</v>
      </c>
      <c r="AE230" s="225" t="s">
        <v>78</v>
      </c>
      <c r="AF230" s="125">
        <f t="shared" si="221"/>
        <v>889366.99999999988</v>
      </c>
      <c r="AG230" s="127">
        <f t="shared" si="175"/>
        <v>2.7155580932374166</v>
      </c>
      <c r="AH230" s="128">
        <f>IFERROR(AVERAGE(AG230:AG232),"N/A")</f>
        <v>1.7076502702997196</v>
      </c>
      <c r="AI230" s="423" t="s">
        <v>78</v>
      </c>
      <c r="AJ230" s="131">
        <f t="shared" si="176"/>
        <v>766293.77662489261</v>
      </c>
      <c r="AK230" s="368">
        <f t="shared" si="222"/>
        <v>1218583.98239</v>
      </c>
      <c r="AL230" s="375">
        <f t="shared" si="180"/>
        <v>1886143.1379200001</v>
      </c>
      <c r="AM230" s="376">
        <f t="shared" si="181"/>
        <v>1484280.3948008926</v>
      </c>
      <c r="AN230" s="432">
        <v>18900</v>
      </c>
      <c r="AO230" s="395" t="s">
        <v>805</v>
      </c>
      <c r="AP230" s="396">
        <f t="shared" si="229"/>
        <v>25896.213000000003</v>
      </c>
      <c r="AQ230" s="397">
        <f>IFERROR(AVERAGE(AP230:AP232),"N/A")</f>
        <v>25120.205097377053</v>
      </c>
      <c r="AR230" s="401" t="s">
        <v>78</v>
      </c>
      <c r="AS230" s="396" t="str">
        <f t="shared" si="230"/>
        <v>-</v>
      </c>
      <c r="AT230" s="397" t="str">
        <f>IFERROR(AVERAGE(AS230:AS232),"N/A")</f>
        <v>N/A</v>
      </c>
      <c r="AU230" s="388">
        <f t="shared" si="182"/>
        <v>1912039.3509200001</v>
      </c>
      <c r="AV230" s="389">
        <f t="shared" si="183"/>
        <v>1510176.6078008926</v>
      </c>
      <c r="AW230" s="353" t="s">
        <v>440</v>
      </c>
      <c r="AX230" s="403" t="s">
        <v>358</v>
      </c>
      <c r="AY230" s="404" t="s">
        <v>451</v>
      </c>
    </row>
    <row r="231" spans="1:52" ht="15" customHeight="1">
      <c r="A231" s="1" t="str">
        <f t="shared" si="227"/>
        <v>TSX:OGC
_2023_</v>
      </c>
      <c r="B231" s="1" t="str">
        <f t="shared" si="232"/>
        <v>TSX:OGC
_2023_NEO3</v>
      </c>
      <c r="C231" s="114" t="str">
        <f t="shared" si="197"/>
        <v xml:space="preserve">TSX:OGC
</v>
      </c>
      <c r="D231" s="133" t="str">
        <f>_xll.ciqfunctions.udf.CIQ(C231,"IQ_Company_Name")</f>
        <v>OceanaGold Corporation</v>
      </c>
      <c r="E231" s="114">
        <f t="shared" si="224"/>
        <v>2023</v>
      </c>
      <c r="F231" s="453">
        <v>44986</v>
      </c>
      <c r="G231" s="330" t="str">
        <f t="shared" si="217"/>
        <v>2023-12-31</v>
      </c>
      <c r="H231" s="114">
        <f t="shared" si="177"/>
        <v>10.054945054945055</v>
      </c>
      <c r="I231" s="407" t="str">
        <f t="shared" si="226"/>
        <v>USD</v>
      </c>
      <c r="J231" s="461">
        <f t="shared" ref="J231:J294" si="233">IF($I231="CAD",1,IF($I231="USD",VLOOKUP($E231,$F$9:$G$11,2,FALSE),"N/A"))</f>
        <v>1.34954</v>
      </c>
      <c r="K231" s="468"/>
      <c r="L231" s="465" t="str">
        <f t="shared" ref="L231:N232" si="234">L230</f>
        <v>NEO3</v>
      </c>
      <c r="M231" s="123" t="str">
        <f t="shared" si="234"/>
        <v>EVP, Chief People &amp; Technology Officer</v>
      </c>
      <c r="N231" s="132" t="str">
        <f t="shared" si="234"/>
        <v>Michelle Du Plessis</v>
      </c>
      <c r="O231" s="219">
        <v>275371</v>
      </c>
      <c r="P231" s="125">
        <f t="shared" si="218"/>
        <v>443512.13534347538</v>
      </c>
      <c r="Q231" s="311" t="s">
        <v>78</v>
      </c>
      <c r="R231" s="126" t="str">
        <f t="shared" si="219"/>
        <v>-</v>
      </c>
      <c r="S231" s="221" t="s">
        <v>78</v>
      </c>
      <c r="T231" s="125" t="str">
        <f t="shared" si="220"/>
        <v>-</v>
      </c>
      <c r="U231" s="127" t="str">
        <f t="shared" si="173"/>
        <v>-</v>
      </c>
      <c r="V231" s="128"/>
      <c r="W231" s="223" t="s">
        <v>78</v>
      </c>
      <c r="X231" s="129">
        <f t="shared" si="174"/>
        <v>0</v>
      </c>
      <c r="Y231" s="124">
        <f t="shared" si="178"/>
        <v>443512.13534347538</v>
      </c>
      <c r="Z231" s="130">
        <f t="shared" si="179"/>
        <v>443512.13534347538</v>
      </c>
      <c r="AA231" s="225">
        <f>229963*(0.3)</f>
        <v>68988.899999999994</v>
      </c>
      <c r="AB231" s="225">
        <f>229963*(0.7)</f>
        <v>160974.09999999998</v>
      </c>
      <c r="AC231" s="225" t="s">
        <v>78</v>
      </c>
      <c r="AD231" s="225" t="s">
        <v>78</v>
      </c>
      <c r="AE231" s="225" t="s">
        <v>78</v>
      </c>
      <c r="AF231" s="125">
        <f t="shared" ref="AF231:AF294" si="235">IFERROR(IF(SUM(AA231:AE231)=0,IF(COUNTIF($AA231:$AE231,"=0")&gt;0,"$0","-"),SUM(AA231:AE231)),"-")</f>
        <v>229962.99999999997</v>
      </c>
      <c r="AG231" s="127">
        <f t="shared" si="175"/>
        <v>0.6997424473620224</v>
      </c>
      <c r="AH231" s="128"/>
      <c r="AI231" s="423" t="s">
        <v>78</v>
      </c>
      <c r="AJ231" s="131">
        <f t="shared" si="176"/>
        <v>0</v>
      </c>
      <c r="AK231" s="368">
        <f t="shared" si="222"/>
        <v>310344.26701999997</v>
      </c>
      <c r="AL231" s="375">
        <f t="shared" si="180"/>
        <v>753856.40236347541</v>
      </c>
      <c r="AM231" s="376">
        <f t="shared" si="181"/>
        <v>443512.13534347538</v>
      </c>
      <c r="AN231" s="432">
        <v>15115</v>
      </c>
      <c r="AO231" s="395" t="s">
        <v>805</v>
      </c>
      <c r="AP231" s="396">
        <f t="shared" si="229"/>
        <v>24344.197194754102</v>
      </c>
      <c r="AQ231" s="397"/>
      <c r="AR231" s="401" t="s">
        <v>78</v>
      </c>
      <c r="AS231" s="396" t="str">
        <f t="shared" si="230"/>
        <v>-</v>
      </c>
      <c r="AT231" s="397"/>
      <c r="AU231" s="388">
        <f t="shared" si="182"/>
        <v>778200.59955822956</v>
      </c>
      <c r="AV231" s="389">
        <f t="shared" si="183"/>
        <v>467856.33253822947</v>
      </c>
      <c r="AW231" s="353" t="s">
        <v>78</v>
      </c>
      <c r="AX231" s="403" t="s">
        <v>358</v>
      </c>
      <c r="AY231" s="404" t="s">
        <v>451</v>
      </c>
    </row>
    <row r="232" spans="1:52" ht="15" customHeight="1">
      <c r="A232" s="1" t="str">
        <f t="shared" si="227"/>
        <v>TSX:OGC
_2022_</v>
      </c>
      <c r="B232" s="1" t="str">
        <f t="shared" si="232"/>
        <v>TSX:OGC
_2022_NEO3</v>
      </c>
      <c r="C232" s="203" t="str">
        <f t="shared" si="197"/>
        <v xml:space="preserve">TSX:OGC
</v>
      </c>
      <c r="D232" s="205" t="str">
        <f>_xll.ciqfunctions.udf.CIQ(C232,"IQ_Company_Name")</f>
        <v>OceanaGold Corporation</v>
      </c>
      <c r="E232" s="204">
        <f t="shared" si="224"/>
        <v>2022</v>
      </c>
      <c r="F232" s="204" t="str">
        <f>E232&amp;"-01-01"</f>
        <v>2022-01-01</v>
      </c>
      <c r="G232" s="331" t="str">
        <f t="shared" si="217"/>
        <v>2022-12-31</v>
      </c>
      <c r="H232" s="204">
        <f t="shared" si="177"/>
        <v>12</v>
      </c>
      <c r="I232" s="408" t="str">
        <f t="shared" si="226"/>
        <v>USD</v>
      </c>
      <c r="J232" s="463">
        <f t="shared" si="233"/>
        <v>1.30175</v>
      </c>
      <c r="K232" s="470"/>
      <c r="L232" s="466" t="str">
        <f t="shared" si="234"/>
        <v>NEO3</v>
      </c>
      <c r="M232" s="206" t="str">
        <f t="shared" si="234"/>
        <v>EVP, Chief People &amp; Technology Officer</v>
      </c>
      <c r="N232" s="207" t="str">
        <f t="shared" si="234"/>
        <v>Michelle Du Plessis</v>
      </c>
      <c r="O232" s="220" t="s">
        <v>78</v>
      </c>
      <c r="P232" s="209" t="str">
        <f t="shared" si="218"/>
        <v>-</v>
      </c>
      <c r="Q232" s="312" t="s">
        <v>78</v>
      </c>
      <c r="R232" s="329" t="str">
        <f t="shared" si="219"/>
        <v>-</v>
      </c>
      <c r="S232" s="222" t="s">
        <v>78</v>
      </c>
      <c r="T232" s="209" t="str">
        <f t="shared" si="220"/>
        <v>-</v>
      </c>
      <c r="U232" s="211" t="str">
        <f t="shared" si="173"/>
        <v>-</v>
      </c>
      <c r="V232" s="212"/>
      <c r="W232" s="224" t="s">
        <v>78</v>
      </c>
      <c r="X232" s="213" t="str">
        <f t="shared" si="174"/>
        <v>-</v>
      </c>
      <c r="Y232" s="208" t="str">
        <f t="shared" si="178"/>
        <v>-</v>
      </c>
      <c r="Z232" s="214" t="str">
        <f t="shared" si="179"/>
        <v>-</v>
      </c>
      <c r="AA232" s="452" t="s">
        <v>78</v>
      </c>
      <c r="AB232" s="446" t="s">
        <v>78</v>
      </c>
      <c r="AC232" s="226" t="s">
        <v>78</v>
      </c>
      <c r="AD232" s="226" t="s">
        <v>78</v>
      </c>
      <c r="AE232" s="226" t="s">
        <v>78</v>
      </c>
      <c r="AF232" s="420" t="str">
        <f t="shared" si="235"/>
        <v>-</v>
      </c>
      <c r="AG232" s="211" t="str">
        <f t="shared" si="175"/>
        <v>-</v>
      </c>
      <c r="AH232" s="212"/>
      <c r="AI232" s="457" t="s">
        <v>78</v>
      </c>
      <c r="AJ232" s="215" t="str">
        <f t="shared" si="176"/>
        <v>-</v>
      </c>
      <c r="AK232" s="369" t="str">
        <f t="shared" si="222"/>
        <v>-</v>
      </c>
      <c r="AL232" s="377" t="str">
        <f t="shared" si="180"/>
        <v>-</v>
      </c>
      <c r="AM232" s="378" t="str">
        <f t="shared" si="181"/>
        <v>-</v>
      </c>
      <c r="AN232" s="942" t="s">
        <v>78</v>
      </c>
      <c r="AO232" s="399" t="s">
        <v>78</v>
      </c>
      <c r="AP232" s="396" t="str">
        <f t="shared" si="229"/>
        <v>-</v>
      </c>
      <c r="AQ232" s="400"/>
      <c r="AR232" s="402" t="s">
        <v>78</v>
      </c>
      <c r="AS232" s="396" t="str">
        <f t="shared" si="230"/>
        <v>-</v>
      </c>
      <c r="AT232" s="400"/>
      <c r="AU232" s="390" t="str">
        <f t="shared" si="182"/>
        <v>-</v>
      </c>
      <c r="AV232" s="391" t="str">
        <f t="shared" si="183"/>
        <v>-</v>
      </c>
      <c r="AW232" s="354" t="s">
        <v>78</v>
      </c>
      <c r="AX232" s="405" t="s">
        <v>358</v>
      </c>
      <c r="AY232" s="404" t="s">
        <v>451</v>
      </c>
    </row>
    <row r="233" spans="1:52" ht="15" customHeight="1">
      <c r="A233" s="1" t="str">
        <f t="shared" si="227"/>
        <v>TSX:ERO_2024_</v>
      </c>
      <c r="B233" s="1" t="str">
        <f t="shared" si="232"/>
        <v>TSX:ERO_2024_CEO</v>
      </c>
      <c r="C233" s="216" t="str">
        <f>D17</f>
        <v>TSX:ERO</v>
      </c>
      <c r="D233" s="133" t="str">
        <f>_xll.ciqfunctions.udf.CIQ(C233,"IQ_Company_Name")</f>
        <v>Ero Copper Corp.</v>
      </c>
      <c r="E233" s="328">
        <f>$F$9</f>
        <v>2024</v>
      </c>
      <c r="F233" s="330" t="str">
        <f>E233&amp;"-01-01"</f>
        <v>2024-01-01</v>
      </c>
      <c r="G233" s="330" t="str">
        <f t="shared" si="217"/>
        <v>2024-12-31</v>
      </c>
      <c r="H233" s="114">
        <f t="shared" si="177"/>
        <v>12</v>
      </c>
      <c r="I233" s="328" t="s">
        <v>297</v>
      </c>
      <c r="J233" s="461">
        <f t="shared" si="233"/>
        <v>1.3701700000000001</v>
      </c>
      <c r="K233" s="468"/>
      <c r="L233" s="464" t="s">
        <v>79</v>
      </c>
      <c r="M233" s="217" t="s">
        <v>79</v>
      </c>
      <c r="N233" s="218" t="s">
        <v>441</v>
      </c>
      <c r="O233" s="219">
        <v>640000</v>
      </c>
      <c r="P233" s="125">
        <f t="shared" si="218"/>
        <v>876908.8</v>
      </c>
      <c r="Q233" s="311" t="s">
        <v>78</v>
      </c>
      <c r="R233" s="126" t="str">
        <f t="shared" si="219"/>
        <v>-</v>
      </c>
      <c r="S233" s="221">
        <v>416000</v>
      </c>
      <c r="T233" s="125">
        <f t="shared" si="220"/>
        <v>569990.72000000009</v>
      </c>
      <c r="U233" s="127">
        <f t="shared" si="173"/>
        <v>0.65</v>
      </c>
      <c r="V233" s="128">
        <f>IFERROR(AVERAGE(U233:U235),"N/A")</f>
        <v>0.91566666666666663</v>
      </c>
      <c r="W233" s="223">
        <v>1</v>
      </c>
      <c r="X233" s="129">
        <f t="shared" si="174"/>
        <v>876908.8</v>
      </c>
      <c r="Y233" s="124">
        <f t="shared" si="178"/>
        <v>1446899.52</v>
      </c>
      <c r="Z233" s="130">
        <f t="shared" si="179"/>
        <v>1753817.6</v>
      </c>
      <c r="AA233" s="221">
        <v>320483</v>
      </c>
      <c r="AB233" s="225">
        <v>640952</v>
      </c>
      <c r="AC233" s="225">
        <v>322824</v>
      </c>
      <c r="AD233" s="225" t="s">
        <v>78</v>
      </c>
      <c r="AE233" s="225" t="s">
        <v>78</v>
      </c>
      <c r="AF233" s="125">
        <f t="shared" si="235"/>
        <v>1284259</v>
      </c>
      <c r="AG233" s="127">
        <f t="shared" si="175"/>
        <v>2.0066546875000002</v>
      </c>
      <c r="AH233" s="128">
        <f>IFERROR(AVERAGE(AG233:AG235),"N/A")</f>
        <v>2.3139707291666665</v>
      </c>
      <c r="AI233" s="223">
        <f>55.6%/22.2%</f>
        <v>2.5045045045045047</v>
      </c>
      <c r="AJ233" s="131">
        <f t="shared" si="176"/>
        <v>2196222.0396396401</v>
      </c>
      <c r="AK233" s="368">
        <f t="shared" si="222"/>
        <v>1759653.1540300001</v>
      </c>
      <c r="AL233" s="375">
        <f t="shared" si="180"/>
        <v>3206552.6740300003</v>
      </c>
      <c r="AM233" s="376">
        <f t="shared" si="181"/>
        <v>3950039.6396396402</v>
      </c>
      <c r="AN233" s="394" t="s">
        <v>801</v>
      </c>
      <c r="AO233" s="395" t="s">
        <v>801</v>
      </c>
      <c r="AP233" s="396" t="str">
        <f t="shared" si="229"/>
        <v>-</v>
      </c>
      <c r="AQ233" s="409" t="str">
        <f>IFERROR(AVERAGE(AP233:AP235),"N/A")</f>
        <v>N/A</v>
      </c>
      <c r="AR233" s="401">
        <v>1671</v>
      </c>
      <c r="AS233" s="396">
        <f t="shared" si="230"/>
        <v>2289.5540700000001</v>
      </c>
      <c r="AT233" s="409">
        <f>IFERROR(AVERAGE(AS233:AS235),"N/A")</f>
        <v>2330.9050000000002</v>
      </c>
      <c r="AU233" s="388">
        <f t="shared" si="182"/>
        <v>3208842.2281000004</v>
      </c>
      <c r="AV233" s="389">
        <f t="shared" si="183"/>
        <v>3952329.1937096403</v>
      </c>
      <c r="AW233" s="425" t="s">
        <v>464</v>
      </c>
      <c r="AX233" s="403" t="s">
        <v>358</v>
      </c>
      <c r="AY233" s="404" t="s">
        <v>451</v>
      </c>
      <c r="AZ233" s="410" t="s">
        <v>463</v>
      </c>
    </row>
    <row r="234" spans="1:52" ht="15" customHeight="1">
      <c r="A234" s="1" t="str">
        <f t="shared" si="227"/>
        <v>TSX:ERO_2023_</v>
      </c>
      <c r="B234" s="1" t="str">
        <f t="shared" si="232"/>
        <v>TSX:ERO_2023_CEO</v>
      </c>
      <c r="C234" s="114" t="str">
        <f>C233</f>
        <v>TSX:ERO</v>
      </c>
      <c r="D234" s="133" t="str">
        <f>_xll.ciqfunctions.udf.CIQ(C234,"IQ_Company_Name")</f>
        <v>Ero Copper Corp.</v>
      </c>
      <c r="E234" s="328">
        <f>$F$10</f>
        <v>2023</v>
      </c>
      <c r="F234" s="330" t="str">
        <f>E234&amp;"-01-01"</f>
        <v>2023-01-01</v>
      </c>
      <c r="G234" s="330" t="str">
        <f t="shared" si="217"/>
        <v>2023-12-31</v>
      </c>
      <c r="H234" s="114">
        <f t="shared" si="177"/>
        <v>12</v>
      </c>
      <c r="I234" s="407" t="str">
        <f>I233</f>
        <v>USD</v>
      </c>
      <c r="J234" s="461">
        <f t="shared" si="233"/>
        <v>1.34954</v>
      </c>
      <c r="K234" s="468"/>
      <c r="L234" s="465" t="str">
        <f t="shared" ref="L234:N235" si="236">L233</f>
        <v>CEO</v>
      </c>
      <c r="M234" s="123" t="str">
        <f t="shared" si="236"/>
        <v>CEO</v>
      </c>
      <c r="N234" s="132" t="str">
        <f t="shared" si="236"/>
        <v>David Strang</v>
      </c>
      <c r="O234" s="219">
        <v>640000</v>
      </c>
      <c r="P234" s="125">
        <f t="shared" si="218"/>
        <v>863705.59999999998</v>
      </c>
      <c r="Q234" s="311" t="s">
        <v>78</v>
      </c>
      <c r="R234" s="126" t="str">
        <f t="shared" si="219"/>
        <v>-</v>
      </c>
      <c r="S234" s="221">
        <v>640000</v>
      </c>
      <c r="T234" s="125">
        <f t="shared" si="220"/>
        <v>863705.59999999998</v>
      </c>
      <c r="U234" s="127">
        <f t="shared" si="173"/>
        <v>1</v>
      </c>
      <c r="V234" s="128"/>
      <c r="W234" s="223" t="s">
        <v>78</v>
      </c>
      <c r="X234" s="129">
        <f t="shared" si="174"/>
        <v>0</v>
      </c>
      <c r="Y234" s="124">
        <f t="shared" si="178"/>
        <v>1727411.2</v>
      </c>
      <c r="Z234" s="130">
        <f t="shared" si="179"/>
        <v>863705.59999999998</v>
      </c>
      <c r="AA234" s="221">
        <v>430203</v>
      </c>
      <c r="AB234" s="225">
        <v>860420</v>
      </c>
      <c r="AC234" s="225">
        <v>529545</v>
      </c>
      <c r="AD234" s="225" t="s">
        <v>78</v>
      </c>
      <c r="AE234" s="225" t="s">
        <v>78</v>
      </c>
      <c r="AF234" s="125">
        <f t="shared" si="235"/>
        <v>1820168</v>
      </c>
      <c r="AG234" s="127">
        <f t="shared" si="175"/>
        <v>2.8440124999999998</v>
      </c>
      <c r="AH234" s="128"/>
      <c r="AI234" s="223" t="s">
        <v>78</v>
      </c>
      <c r="AJ234" s="131">
        <f t="shared" si="176"/>
        <v>0</v>
      </c>
      <c r="AK234" s="368">
        <f t="shared" si="222"/>
        <v>2456389.5227199998</v>
      </c>
      <c r="AL234" s="375">
        <f t="shared" si="180"/>
        <v>4183800.72272</v>
      </c>
      <c r="AM234" s="376">
        <f t="shared" si="181"/>
        <v>863705.59999999998</v>
      </c>
      <c r="AN234" s="394" t="s">
        <v>801</v>
      </c>
      <c r="AO234" s="395" t="s">
        <v>801</v>
      </c>
      <c r="AP234" s="396" t="str">
        <f t="shared" si="229"/>
        <v>-</v>
      </c>
      <c r="AQ234" s="397"/>
      <c r="AR234" s="401">
        <v>1742</v>
      </c>
      <c r="AS234" s="396">
        <f t="shared" si="230"/>
        <v>2350.8986799999998</v>
      </c>
      <c r="AT234" s="397"/>
      <c r="AU234" s="388">
        <f t="shared" si="182"/>
        <v>4186151.6214000001</v>
      </c>
      <c r="AV234" s="389">
        <f t="shared" si="183"/>
        <v>866056.49867999996</v>
      </c>
      <c r="AW234" s="353" t="s">
        <v>78</v>
      </c>
      <c r="AX234" s="403" t="s">
        <v>358</v>
      </c>
      <c r="AY234" s="404" t="s">
        <v>451</v>
      </c>
      <c r="AZ234" s="1" t="s">
        <v>462</v>
      </c>
    </row>
    <row r="235" spans="1:52" ht="15" customHeight="1">
      <c r="A235" s="1" t="str">
        <f t="shared" si="227"/>
        <v>TSX:ERO_2022_</v>
      </c>
      <c r="B235" s="1" t="str">
        <f t="shared" si="232"/>
        <v>TSX:ERO_2022_CEO</v>
      </c>
      <c r="C235" s="114" t="str">
        <f t="shared" si="197"/>
        <v>TSX:ERO</v>
      </c>
      <c r="D235" s="133" t="str">
        <f>_xll.ciqfunctions.udf.CIQ(C235,"IQ_Company_Name")</f>
        <v>Ero Copper Corp.</v>
      </c>
      <c r="E235" s="328">
        <f>$F$11</f>
        <v>2022</v>
      </c>
      <c r="F235" s="114" t="str">
        <f>E235&amp;"-01-01"</f>
        <v>2022-01-01</v>
      </c>
      <c r="G235" s="330" t="str">
        <f t="shared" si="217"/>
        <v>2022-12-31</v>
      </c>
      <c r="H235" s="114">
        <f t="shared" si="177"/>
        <v>12</v>
      </c>
      <c r="I235" s="407" t="str">
        <f>I234</f>
        <v>USD</v>
      </c>
      <c r="J235" s="461">
        <f t="shared" si="233"/>
        <v>1.30175</v>
      </c>
      <c r="K235" s="468"/>
      <c r="L235" s="465" t="str">
        <f t="shared" si="236"/>
        <v>CEO</v>
      </c>
      <c r="M235" s="123" t="str">
        <f t="shared" si="236"/>
        <v>CEO</v>
      </c>
      <c r="N235" s="132" t="str">
        <f t="shared" si="236"/>
        <v>David Strang</v>
      </c>
      <c r="O235" s="219">
        <v>600000</v>
      </c>
      <c r="P235" s="125">
        <f t="shared" si="218"/>
        <v>781050</v>
      </c>
      <c r="Q235" s="311" t="s">
        <v>78</v>
      </c>
      <c r="R235" s="126" t="str">
        <f t="shared" si="219"/>
        <v>-</v>
      </c>
      <c r="S235" s="221">
        <v>658200</v>
      </c>
      <c r="T235" s="125">
        <f t="shared" si="220"/>
        <v>856811.85</v>
      </c>
      <c r="U235" s="127">
        <f t="shared" si="173"/>
        <v>1.097</v>
      </c>
      <c r="V235" s="128"/>
      <c r="W235" s="223" t="s">
        <v>78</v>
      </c>
      <c r="X235" s="129">
        <f t="shared" si="174"/>
        <v>0</v>
      </c>
      <c r="Y235" s="124">
        <f t="shared" si="178"/>
        <v>1637861.85</v>
      </c>
      <c r="Z235" s="130">
        <f t="shared" si="179"/>
        <v>781050</v>
      </c>
      <c r="AA235" s="221">
        <v>299731</v>
      </c>
      <c r="AB235" s="225">
        <v>599461</v>
      </c>
      <c r="AC235" s="225">
        <v>355555</v>
      </c>
      <c r="AD235" s="225" t="s">
        <v>78</v>
      </c>
      <c r="AE235" s="225" t="s">
        <v>78</v>
      </c>
      <c r="AF235" s="125">
        <f t="shared" si="235"/>
        <v>1254747</v>
      </c>
      <c r="AG235" s="127">
        <f t="shared" si="175"/>
        <v>2.0912449999999998</v>
      </c>
      <c r="AH235" s="128"/>
      <c r="AI235" s="223" t="s">
        <v>78</v>
      </c>
      <c r="AJ235" s="131">
        <f t="shared" si="176"/>
        <v>0</v>
      </c>
      <c r="AK235" s="368">
        <f t="shared" si="222"/>
        <v>1633366.9072499999</v>
      </c>
      <c r="AL235" s="375">
        <f t="shared" si="180"/>
        <v>3271228.7572499998</v>
      </c>
      <c r="AM235" s="376">
        <f t="shared" si="181"/>
        <v>781050</v>
      </c>
      <c r="AN235" s="394" t="s">
        <v>801</v>
      </c>
      <c r="AO235" s="395" t="s">
        <v>801</v>
      </c>
      <c r="AP235" s="396" t="str">
        <f t="shared" si="229"/>
        <v>-</v>
      </c>
      <c r="AQ235" s="397"/>
      <c r="AR235" s="401">
        <v>1807</v>
      </c>
      <c r="AS235" s="396">
        <f t="shared" si="230"/>
        <v>2352.2622499999998</v>
      </c>
      <c r="AT235" s="397"/>
      <c r="AU235" s="388">
        <f t="shared" si="182"/>
        <v>3273581.0194999999</v>
      </c>
      <c r="AV235" s="389">
        <f t="shared" si="183"/>
        <v>783402.26225000003</v>
      </c>
      <c r="AW235" s="353" t="s">
        <v>78</v>
      </c>
      <c r="AX235" s="403" t="s">
        <v>358</v>
      </c>
      <c r="AY235" s="404" t="s">
        <v>451</v>
      </c>
      <c r="AZ235" s="1" t="s">
        <v>462</v>
      </c>
    </row>
    <row r="236" spans="1:52" ht="15" customHeight="1">
      <c r="A236" s="1" t="str">
        <f t="shared" si="227"/>
        <v>TSX:ERO_2024_COO</v>
      </c>
      <c r="B236" s="1" t="str">
        <f t="shared" si="232"/>
        <v>TSX:ERO_2024_NEO1</v>
      </c>
      <c r="C236" s="114" t="str">
        <f t="shared" si="197"/>
        <v>TSX:ERO</v>
      </c>
      <c r="D236" s="133" t="str">
        <f>_xll.ciqfunctions.udf.CIQ(C236,"IQ_Company_Name")</f>
        <v>Ero Copper Corp.</v>
      </c>
      <c r="E236" s="114">
        <f t="shared" ref="E236:E247" si="237">E233</f>
        <v>2024</v>
      </c>
      <c r="F236" s="114" t="str">
        <f>E236&amp;"-01-01"</f>
        <v>2024-01-01</v>
      </c>
      <c r="G236" s="330" t="str">
        <f t="shared" si="217"/>
        <v>2024-12-31</v>
      </c>
      <c r="H236" s="114">
        <f t="shared" si="177"/>
        <v>12</v>
      </c>
      <c r="I236" s="407" t="str">
        <f>I235</f>
        <v>USD</v>
      </c>
      <c r="J236" s="461">
        <f t="shared" si="233"/>
        <v>1.3701700000000001</v>
      </c>
      <c r="K236" s="468" t="s">
        <v>277</v>
      </c>
      <c r="L236" s="464" t="s">
        <v>107</v>
      </c>
      <c r="M236" s="217" t="s">
        <v>399</v>
      </c>
      <c r="N236" s="218" t="s">
        <v>442</v>
      </c>
      <c r="O236" s="219">
        <v>475000</v>
      </c>
      <c r="P236" s="125">
        <f t="shared" si="218"/>
        <v>650830.75</v>
      </c>
      <c r="Q236" s="311" t="s">
        <v>78</v>
      </c>
      <c r="R236" s="126" t="str">
        <f t="shared" si="219"/>
        <v>-</v>
      </c>
      <c r="S236" s="221">
        <v>231563</v>
      </c>
      <c r="T236" s="125">
        <f t="shared" si="220"/>
        <v>317280.67571000004</v>
      </c>
      <c r="U236" s="127">
        <f t="shared" si="173"/>
        <v>0.487501052631579</v>
      </c>
      <c r="V236" s="128">
        <f>IFERROR(AVERAGE(U236:U238),"N/A")</f>
        <v>0.81969989340439708</v>
      </c>
      <c r="W236" s="223">
        <v>0.75</v>
      </c>
      <c r="X236" s="129">
        <f t="shared" si="174"/>
        <v>488123.0625</v>
      </c>
      <c r="Y236" s="124">
        <f t="shared" si="178"/>
        <v>968111.4257100001</v>
      </c>
      <c r="Z236" s="130">
        <f t="shared" si="179"/>
        <v>1138953.8125</v>
      </c>
      <c r="AA236" s="221">
        <v>359907</v>
      </c>
      <c r="AB236" s="225">
        <v>719828</v>
      </c>
      <c r="AC236" s="225">
        <v>362542</v>
      </c>
      <c r="AD236" s="225" t="s">
        <v>78</v>
      </c>
      <c r="AE236" s="225" t="s">
        <v>78</v>
      </c>
      <c r="AF236" s="125">
        <f t="shared" si="235"/>
        <v>1442277</v>
      </c>
      <c r="AG236" s="127">
        <f t="shared" si="175"/>
        <v>3.0363726315789474</v>
      </c>
      <c r="AH236" s="128">
        <f>IFERROR(AVERAGE(AG236:AG238),"N/A")</f>
        <v>2.307103157894737</v>
      </c>
      <c r="AI236" s="223" t="s">
        <v>78</v>
      </c>
      <c r="AJ236" s="131">
        <f t="shared" si="176"/>
        <v>1501533.6785800001</v>
      </c>
      <c r="AK236" s="368">
        <f t="shared" si="222"/>
        <v>1976164.6770900001</v>
      </c>
      <c r="AL236" s="375">
        <f t="shared" si="180"/>
        <v>2944276.1028000005</v>
      </c>
      <c r="AM236" s="376">
        <f t="shared" si="181"/>
        <v>2640487.4910800001</v>
      </c>
      <c r="AN236" s="394" t="s">
        <v>801</v>
      </c>
      <c r="AO236" s="395" t="s">
        <v>801</v>
      </c>
      <c r="AP236" s="396" t="str">
        <f t="shared" si="229"/>
        <v>-</v>
      </c>
      <c r="AQ236" s="397">
        <f>IFERROR(AVERAGE(AP236:AP238),"N/A")</f>
        <v>0</v>
      </c>
      <c r="AR236" s="401">
        <v>306</v>
      </c>
      <c r="AS236" s="396">
        <f t="shared" si="230"/>
        <v>419.27202000000005</v>
      </c>
      <c r="AT236" s="397">
        <f>IFERROR(AVERAGE(AS236:AS238),"N/A")</f>
        <v>526.76082721518992</v>
      </c>
      <c r="AU236" s="388">
        <f t="shared" si="182"/>
        <v>2944695.3748200005</v>
      </c>
      <c r="AV236" s="389">
        <f t="shared" si="183"/>
        <v>2640906.7631000001</v>
      </c>
      <c r="AW236" s="458" t="s">
        <v>458</v>
      </c>
      <c r="AX236" s="403" t="s">
        <v>358</v>
      </c>
      <c r="AY236" s="404" t="s">
        <v>451</v>
      </c>
      <c r="AZ236" s="1" t="s">
        <v>462</v>
      </c>
    </row>
    <row r="237" spans="1:52" ht="15" customHeight="1">
      <c r="A237" s="1" t="str">
        <f t="shared" si="227"/>
        <v>TSX:ERO_2023_COO</v>
      </c>
      <c r="B237" s="1" t="str">
        <f t="shared" si="232"/>
        <v>TSX:ERO_2023_NEO1</v>
      </c>
      <c r="C237" s="114" t="str">
        <f t="shared" si="197"/>
        <v>TSX:ERO</v>
      </c>
      <c r="D237" s="133" t="str">
        <f>_xll.ciqfunctions.udf.CIQ(C237,"IQ_Company_Name")</f>
        <v>Ero Copper Corp.</v>
      </c>
      <c r="E237" s="114">
        <f t="shared" si="237"/>
        <v>2023</v>
      </c>
      <c r="F237" s="453">
        <v>45054</v>
      </c>
      <c r="G237" s="330" t="str">
        <f t="shared" si="217"/>
        <v>2023-12-31</v>
      </c>
      <c r="H237" s="114">
        <f t="shared" si="177"/>
        <v>7.8131868131868139</v>
      </c>
      <c r="I237" s="407" t="str">
        <f>I236</f>
        <v>USD</v>
      </c>
      <c r="J237" s="461">
        <f t="shared" si="233"/>
        <v>1.34954</v>
      </c>
      <c r="K237" s="468" t="s">
        <v>277</v>
      </c>
      <c r="L237" s="465" t="str">
        <f t="shared" ref="L237:N238" si="238">L236</f>
        <v>NEO1</v>
      </c>
      <c r="M237" s="123" t="str">
        <f t="shared" si="238"/>
        <v>President &amp; COO</v>
      </c>
      <c r="N237" s="132" t="str">
        <f t="shared" si="238"/>
        <v>Makko DeFilippo</v>
      </c>
      <c r="O237" s="219">
        <v>455582</v>
      </c>
      <c r="P237" s="443">
        <f>IFERROR(475000*(12/12)*$J237,"-")</f>
        <v>641031.5</v>
      </c>
      <c r="Q237" s="311" t="s">
        <v>78</v>
      </c>
      <c r="R237" s="126" t="str">
        <f t="shared" si="219"/>
        <v>-</v>
      </c>
      <c r="S237" s="221">
        <v>356250</v>
      </c>
      <c r="T237" s="125">
        <f t="shared" si="220"/>
        <v>738403.37341772148</v>
      </c>
      <c r="U237" s="127">
        <f t="shared" si="173"/>
        <v>1.1518987341772151</v>
      </c>
      <c r="V237" s="128"/>
      <c r="W237" s="223" t="s">
        <v>78</v>
      </c>
      <c r="X237" s="129">
        <f t="shared" si="174"/>
        <v>0</v>
      </c>
      <c r="Y237" s="124">
        <f t="shared" si="178"/>
        <v>1379434.8734177216</v>
      </c>
      <c r="Z237" s="130">
        <f t="shared" si="179"/>
        <v>641031.5</v>
      </c>
      <c r="AA237" s="221">
        <v>177142</v>
      </c>
      <c r="AB237" s="225">
        <v>354283</v>
      </c>
      <c r="AC237" s="225">
        <v>218046</v>
      </c>
      <c r="AD237" s="225" t="s">
        <v>78</v>
      </c>
      <c r="AE237" s="225" t="s">
        <v>78</v>
      </c>
      <c r="AF237" s="125">
        <f t="shared" si="235"/>
        <v>749471</v>
      </c>
      <c r="AG237" s="127">
        <f t="shared" si="175"/>
        <v>1.5778336842105263</v>
      </c>
      <c r="AH237" s="128"/>
      <c r="AI237" s="223" t="s">
        <v>78</v>
      </c>
      <c r="AJ237" s="131">
        <f t="shared" si="176"/>
        <v>0</v>
      </c>
      <c r="AK237" s="368">
        <f t="shared" si="222"/>
        <v>1011441.09334</v>
      </c>
      <c r="AL237" s="375">
        <f t="shared" si="180"/>
        <v>2390875.9667577217</v>
      </c>
      <c r="AM237" s="376">
        <f t="shared" si="181"/>
        <v>641031.5</v>
      </c>
      <c r="AN237" s="394" t="s">
        <v>801</v>
      </c>
      <c r="AO237" s="395" t="s">
        <v>801</v>
      </c>
      <c r="AP237" s="396" t="str">
        <f t="shared" si="229"/>
        <v>-</v>
      </c>
      <c r="AQ237" s="397"/>
      <c r="AR237" s="401">
        <v>306</v>
      </c>
      <c r="AS237" s="396">
        <f t="shared" si="230"/>
        <v>634.24963443037973</v>
      </c>
      <c r="AT237" s="397"/>
      <c r="AU237" s="388">
        <f t="shared" si="182"/>
        <v>2391510.216392152</v>
      </c>
      <c r="AV237" s="389">
        <f t="shared" si="183"/>
        <v>641665.74963443039</v>
      </c>
      <c r="AW237" s="353" t="s">
        <v>448</v>
      </c>
      <c r="AX237" s="403" t="s">
        <v>358</v>
      </c>
      <c r="AY237" s="404" t="s">
        <v>451</v>
      </c>
      <c r="AZ237" s="1" t="s">
        <v>462</v>
      </c>
    </row>
    <row r="238" spans="1:52" ht="15" customHeight="1">
      <c r="A238" s="1" t="str">
        <f t="shared" si="227"/>
        <v>TSX:ERO_2022_COO</v>
      </c>
      <c r="B238" s="1" t="str">
        <f t="shared" si="232"/>
        <v>TSX:ERO_2022_NEO1</v>
      </c>
      <c r="C238" s="114" t="str">
        <f t="shared" si="197"/>
        <v>TSX:ERO</v>
      </c>
      <c r="D238" s="133" t="str">
        <f>_xll.ciqfunctions.udf.CIQ(C238,"IQ_Company_Name")</f>
        <v>Ero Copper Corp.</v>
      </c>
      <c r="E238" s="114">
        <f t="shared" si="237"/>
        <v>2022</v>
      </c>
      <c r="F238" s="114" t="str">
        <f>E238&amp;"-01-01"</f>
        <v>2022-01-01</v>
      </c>
      <c r="G238" s="330" t="str">
        <f t="shared" si="217"/>
        <v>2022-12-31</v>
      </c>
      <c r="H238" s="114">
        <f t="shared" si="177"/>
        <v>12</v>
      </c>
      <c r="I238" s="407" t="str">
        <f t="shared" si="226"/>
        <v>USD</v>
      </c>
      <c r="J238" s="461">
        <f t="shared" si="233"/>
        <v>1.30175</v>
      </c>
      <c r="K238" s="468" t="s">
        <v>277</v>
      </c>
      <c r="L238" s="465" t="str">
        <f t="shared" si="238"/>
        <v>NEO1</v>
      </c>
      <c r="M238" s="123" t="str">
        <f t="shared" si="238"/>
        <v>President &amp; COO</v>
      </c>
      <c r="N238" s="132" t="str">
        <f t="shared" si="238"/>
        <v>Makko DeFilippo</v>
      </c>
      <c r="O238" s="219"/>
      <c r="P238" s="125"/>
      <c r="Q238" s="311"/>
      <c r="R238" s="126"/>
      <c r="S238" s="221"/>
      <c r="T238" s="125"/>
      <c r="U238" s="127"/>
      <c r="V238" s="128"/>
      <c r="W238" s="223"/>
      <c r="X238" s="129"/>
      <c r="Y238" s="124"/>
      <c r="Z238" s="130"/>
      <c r="AA238" s="221"/>
      <c r="AB238" s="225"/>
      <c r="AC238" s="225"/>
      <c r="AD238" s="225"/>
      <c r="AE238" s="225"/>
      <c r="AF238" s="125"/>
      <c r="AG238" s="127"/>
      <c r="AH238" s="128"/>
      <c r="AI238" s="223"/>
      <c r="AJ238" s="131"/>
      <c r="AK238" s="368"/>
      <c r="AL238" s="375"/>
      <c r="AM238" s="376"/>
      <c r="AN238" s="394"/>
      <c r="AO238" s="395"/>
      <c r="AP238" s="396">
        <f t="shared" si="229"/>
        <v>0</v>
      </c>
      <c r="AQ238" s="397"/>
      <c r="AR238" s="401" t="s">
        <v>78</v>
      </c>
      <c r="AS238" s="396" t="str">
        <f t="shared" si="230"/>
        <v>-</v>
      </c>
      <c r="AT238" s="397"/>
      <c r="AU238" s="388"/>
      <c r="AV238" s="389"/>
      <c r="AW238" s="353"/>
      <c r="AX238" s="403" t="s">
        <v>358</v>
      </c>
      <c r="AY238" s="404" t="s">
        <v>451</v>
      </c>
      <c r="AZ238" s="1" t="s">
        <v>462</v>
      </c>
    </row>
    <row r="239" spans="1:52" ht="15" customHeight="1">
      <c r="A239" s="1" t="str">
        <f t="shared" si="227"/>
        <v>TSX:ERO_2024_COO2</v>
      </c>
      <c r="B239" s="1" t="str">
        <f t="shared" si="232"/>
        <v>TSX:ERO_2024_NEO2</v>
      </c>
      <c r="C239" s="114" t="str">
        <f t="shared" si="197"/>
        <v>TSX:ERO</v>
      </c>
      <c r="D239" s="133" t="str">
        <f>_xll.ciqfunctions.udf.CIQ(C239,"IQ_Company_Name")</f>
        <v>Ero Copper Corp.</v>
      </c>
      <c r="E239" s="114">
        <f t="shared" si="237"/>
        <v>2024</v>
      </c>
      <c r="F239" s="459">
        <v>45547</v>
      </c>
      <c r="G239" s="330" t="str">
        <f t="shared" si="217"/>
        <v>2024-12-31</v>
      </c>
      <c r="H239" s="114">
        <f t="shared" si="177"/>
        <v>3.6164383561643834</v>
      </c>
      <c r="I239" s="407" t="str">
        <f t="shared" si="226"/>
        <v>USD</v>
      </c>
      <c r="J239" s="461">
        <f t="shared" si="233"/>
        <v>1.3701700000000001</v>
      </c>
      <c r="K239" s="468" t="s">
        <v>470</v>
      </c>
      <c r="L239" s="464" t="s">
        <v>108</v>
      </c>
      <c r="M239" s="217" t="s">
        <v>444</v>
      </c>
      <c r="N239" s="218" t="s">
        <v>443</v>
      </c>
      <c r="O239" s="219">
        <v>137200</v>
      </c>
      <c r="P239" s="443">
        <f>IFERROR(450000*(12/12)*$J239,"-")</f>
        <v>616576.5</v>
      </c>
      <c r="Q239" s="311" t="s">
        <v>78</v>
      </c>
      <c r="R239" s="126" t="str">
        <f t="shared" si="219"/>
        <v>-</v>
      </c>
      <c r="S239" s="221">
        <v>66113</v>
      </c>
      <c r="T239" s="125">
        <f t="shared" si="220"/>
        <v>300580.98146954551</v>
      </c>
      <c r="U239" s="127">
        <f t="shared" si="173"/>
        <v>0.48749989898989909</v>
      </c>
      <c r="V239" s="128">
        <f>IFERROR(AVERAGE(U239:U241),"N/A")</f>
        <v>0.48749989898989909</v>
      </c>
      <c r="W239" s="223">
        <v>0.75</v>
      </c>
      <c r="X239" s="129">
        <f t="shared" si="174"/>
        <v>462432.375</v>
      </c>
      <c r="Y239" s="124">
        <f t="shared" si="178"/>
        <v>917157.48146954551</v>
      </c>
      <c r="Z239" s="130">
        <f t="shared" si="179"/>
        <v>1079008.875</v>
      </c>
      <c r="AA239" s="221">
        <v>162996</v>
      </c>
      <c r="AB239" s="225">
        <v>325992</v>
      </c>
      <c r="AC239" s="225">
        <v>164184</v>
      </c>
      <c r="AD239" s="225" t="s">
        <v>78</v>
      </c>
      <c r="AE239" s="225" t="s">
        <v>78</v>
      </c>
      <c r="AF239" s="125">
        <f t="shared" si="235"/>
        <v>653172</v>
      </c>
      <c r="AG239" s="127">
        <f t="shared" si="175"/>
        <v>1.4514933333333335</v>
      </c>
      <c r="AH239" s="128">
        <f>IFERROR(AVERAGE(AG239:AG241),"N/A")</f>
        <v>1.4514933333333335</v>
      </c>
      <c r="AI239" s="223" t="s">
        <v>78</v>
      </c>
      <c r="AJ239" s="131">
        <f t="shared" si="176"/>
        <v>894956.67924000008</v>
      </c>
      <c r="AK239" s="368">
        <f t="shared" ref="AK239:AK262" si="239">IFERROR($AF239*$J239,"-")</f>
        <v>894956.67924000008</v>
      </c>
      <c r="AL239" s="375">
        <f t="shared" si="180"/>
        <v>1812114.1607095455</v>
      </c>
      <c r="AM239" s="376">
        <f t="shared" si="181"/>
        <v>1973965.55424</v>
      </c>
      <c r="AN239" s="394" t="s">
        <v>801</v>
      </c>
      <c r="AO239" s="395" t="s">
        <v>801</v>
      </c>
      <c r="AP239" s="396" t="str">
        <f t="shared" si="229"/>
        <v>-</v>
      </c>
      <c r="AQ239" s="397" t="str">
        <f>IFERROR(AVERAGE(AP239:AP241),"N/A")</f>
        <v>N/A</v>
      </c>
      <c r="AR239" s="401">
        <v>381</v>
      </c>
      <c r="AS239" s="396">
        <f t="shared" si="230"/>
        <v>1732.2062822727275</v>
      </c>
      <c r="AT239" s="397">
        <f>IFERROR(AVERAGE(AS239:AS241),"N/A")</f>
        <v>1732.2062822727275</v>
      </c>
      <c r="AU239" s="388">
        <f t="shared" si="182"/>
        <v>1813846.3669918182</v>
      </c>
      <c r="AV239" s="389">
        <f t="shared" si="183"/>
        <v>1975697.7605222727</v>
      </c>
      <c r="AW239" s="425" t="s">
        <v>459</v>
      </c>
      <c r="AX239" s="403" t="s">
        <v>358</v>
      </c>
      <c r="AY239" s="404" t="s">
        <v>451</v>
      </c>
      <c r="AZ239" s="1" t="s">
        <v>462</v>
      </c>
    </row>
    <row r="240" spans="1:52" ht="15" customHeight="1">
      <c r="A240" s="1" t="str">
        <f t="shared" si="227"/>
        <v>TSX:ERO_2023_COO2</v>
      </c>
      <c r="B240" s="1" t="str">
        <f t="shared" si="232"/>
        <v>TSX:ERO_2023_NEO2</v>
      </c>
      <c r="C240" s="114" t="str">
        <f t="shared" si="197"/>
        <v>TSX:ERO</v>
      </c>
      <c r="D240" s="133" t="str">
        <f>_xll.ciqfunctions.udf.CIQ(C240,"IQ_Company_Name")</f>
        <v>Ero Copper Corp.</v>
      </c>
      <c r="E240" s="114">
        <f t="shared" si="237"/>
        <v>2023</v>
      </c>
      <c r="F240" s="330" t="str">
        <f>E240&amp;"-01-01"</f>
        <v>2023-01-01</v>
      </c>
      <c r="G240" s="330" t="str">
        <f t="shared" si="217"/>
        <v>2023-12-31</v>
      </c>
      <c r="H240" s="114">
        <f t="shared" si="177"/>
        <v>12</v>
      </c>
      <c r="I240" s="407" t="str">
        <f t="shared" si="226"/>
        <v>USD</v>
      </c>
      <c r="J240" s="461">
        <f t="shared" si="233"/>
        <v>1.34954</v>
      </c>
      <c r="K240" s="468" t="s">
        <v>470</v>
      </c>
      <c r="L240" s="465" t="str">
        <f t="shared" ref="L240:N241" si="240">L239</f>
        <v>NEO2</v>
      </c>
      <c r="M240" s="123" t="str">
        <f t="shared" si="240"/>
        <v>SVP, Operations</v>
      </c>
      <c r="N240" s="132" t="str">
        <f t="shared" si="240"/>
        <v>Gelson Batista</v>
      </c>
      <c r="O240" s="219" t="s">
        <v>78</v>
      </c>
      <c r="P240" s="125" t="str">
        <f t="shared" si="218"/>
        <v>-</v>
      </c>
      <c r="Q240" s="311" t="s">
        <v>78</v>
      </c>
      <c r="R240" s="126" t="str">
        <f t="shared" si="219"/>
        <v>-</v>
      </c>
      <c r="S240" s="221" t="s">
        <v>78</v>
      </c>
      <c r="T240" s="125" t="str">
        <f t="shared" si="220"/>
        <v>-</v>
      </c>
      <c r="U240" s="127" t="str">
        <f t="shared" si="173"/>
        <v>-</v>
      </c>
      <c r="V240" s="128"/>
      <c r="W240" s="223" t="s">
        <v>78</v>
      </c>
      <c r="X240" s="129" t="str">
        <f t="shared" si="174"/>
        <v>-</v>
      </c>
      <c r="Y240" s="124" t="str">
        <f t="shared" si="178"/>
        <v>-</v>
      </c>
      <c r="Z240" s="130" t="str">
        <f t="shared" si="179"/>
        <v>-</v>
      </c>
      <c r="AA240" s="221" t="s">
        <v>78</v>
      </c>
      <c r="AB240" s="225" t="s">
        <v>78</v>
      </c>
      <c r="AC240" s="225" t="s">
        <v>78</v>
      </c>
      <c r="AD240" s="225" t="s">
        <v>78</v>
      </c>
      <c r="AE240" s="225" t="s">
        <v>78</v>
      </c>
      <c r="AF240" s="125" t="str">
        <f t="shared" si="235"/>
        <v>-</v>
      </c>
      <c r="AG240" s="127" t="str">
        <f t="shared" si="175"/>
        <v>-</v>
      </c>
      <c r="AH240" s="128"/>
      <c r="AI240" s="223" t="s">
        <v>78</v>
      </c>
      <c r="AJ240" s="131" t="str">
        <f t="shared" si="176"/>
        <v>-</v>
      </c>
      <c r="AK240" s="368" t="str">
        <f t="shared" si="239"/>
        <v>-</v>
      </c>
      <c r="AL240" s="375" t="str">
        <f t="shared" si="180"/>
        <v>-</v>
      </c>
      <c r="AM240" s="376" t="str">
        <f t="shared" si="181"/>
        <v>-</v>
      </c>
      <c r="AN240" s="394" t="s">
        <v>78</v>
      </c>
      <c r="AO240" s="395" t="s">
        <v>78</v>
      </c>
      <c r="AP240" s="396" t="str">
        <f t="shared" si="229"/>
        <v>-</v>
      </c>
      <c r="AQ240" s="397"/>
      <c r="AR240" s="401" t="s">
        <v>78</v>
      </c>
      <c r="AS240" s="396" t="str">
        <f t="shared" si="230"/>
        <v>-</v>
      </c>
      <c r="AT240" s="397"/>
      <c r="AU240" s="388" t="str">
        <f t="shared" si="182"/>
        <v>-</v>
      </c>
      <c r="AV240" s="389" t="str">
        <f t="shared" si="183"/>
        <v>-</v>
      </c>
      <c r="AW240" s="353" t="s">
        <v>78</v>
      </c>
      <c r="AX240" s="403" t="s">
        <v>358</v>
      </c>
      <c r="AY240" s="404" t="s">
        <v>451</v>
      </c>
      <c r="AZ240" s="1" t="s">
        <v>462</v>
      </c>
    </row>
    <row r="241" spans="1:52" ht="15" customHeight="1">
      <c r="A241" s="1" t="str">
        <f t="shared" si="227"/>
        <v>TSX:ERO_2022_COO2</v>
      </c>
      <c r="B241" s="1" t="str">
        <f t="shared" si="232"/>
        <v>TSX:ERO_2022_NEO2</v>
      </c>
      <c r="C241" s="114" t="str">
        <f t="shared" si="197"/>
        <v>TSX:ERO</v>
      </c>
      <c r="D241" s="133" t="str">
        <f>_xll.ciqfunctions.udf.CIQ(C241,"IQ_Company_Name")</f>
        <v>Ero Copper Corp.</v>
      </c>
      <c r="E241" s="114">
        <f t="shared" si="237"/>
        <v>2022</v>
      </c>
      <c r="F241" s="114" t="str">
        <f>E241&amp;"-01-01"</f>
        <v>2022-01-01</v>
      </c>
      <c r="G241" s="330" t="str">
        <f t="shared" si="217"/>
        <v>2022-12-31</v>
      </c>
      <c r="H241" s="114">
        <f t="shared" si="177"/>
        <v>12</v>
      </c>
      <c r="I241" s="407" t="str">
        <f t="shared" si="226"/>
        <v>USD</v>
      </c>
      <c r="J241" s="461">
        <f t="shared" si="233"/>
        <v>1.30175</v>
      </c>
      <c r="K241" s="468" t="s">
        <v>470</v>
      </c>
      <c r="L241" s="465" t="str">
        <f t="shared" si="240"/>
        <v>NEO2</v>
      </c>
      <c r="M241" s="123" t="str">
        <f t="shared" si="240"/>
        <v>SVP, Operations</v>
      </c>
      <c r="N241" s="132" t="str">
        <f t="shared" si="240"/>
        <v>Gelson Batista</v>
      </c>
      <c r="O241" s="219" t="s">
        <v>78</v>
      </c>
      <c r="P241" s="125" t="str">
        <f t="shared" si="218"/>
        <v>-</v>
      </c>
      <c r="Q241" s="311" t="s">
        <v>78</v>
      </c>
      <c r="R241" s="126" t="str">
        <f t="shared" si="219"/>
        <v>-</v>
      </c>
      <c r="S241" s="221" t="s">
        <v>78</v>
      </c>
      <c r="T241" s="125" t="str">
        <f t="shared" si="220"/>
        <v>-</v>
      </c>
      <c r="U241" s="127" t="str">
        <f t="shared" si="173"/>
        <v>-</v>
      </c>
      <c r="V241" s="128"/>
      <c r="W241" s="223" t="s">
        <v>78</v>
      </c>
      <c r="X241" s="129" t="str">
        <f t="shared" si="174"/>
        <v>-</v>
      </c>
      <c r="Y241" s="124" t="str">
        <f t="shared" si="178"/>
        <v>-</v>
      </c>
      <c r="Z241" s="130" t="str">
        <f t="shared" si="179"/>
        <v>-</v>
      </c>
      <c r="AA241" s="221" t="s">
        <v>78</v>
      </c>
      <c r="AB241" s="225" t="s">
        <v>78</v>
      </c>
      <c r="AC241" s="225" t="s">
        <v>78</v>
      </c>
      <c r="AD241" s="225" t="s">
        <v>78</v>
      </c>
      <c r="AE241" s="225" t="s">
        <v>78</v>
      </c>
      <c r="AF241" s="125" t="str">
        <f t="shared" si="235"/>
        <v>-</v>
      </c>
      <c r="AG241" s="127" t="str">
        <f t="shared" si="175"/>
        <v>-</v>
      </c>
      <c r="AH241" s="128"/>
      <c r="AI241" s="223" t="s">
        <v>78</v>
      </c>
      <c r="AJ241" s="131" t="str">
        <f t="shared" si="176"/>
        <v>-</v>
      </c>
      <c r="AK241" s="368" t="str">
        <f t="shared" si="239"/>
        <v>-</v>
      </c>
      <c r="AL241" s="375" t="str">
        <f t="shared" si="180"/>
        <v>-</v>
      </c>
      <c r="AM241" s="376" t="str">
        <f t="shared" si="181"/>
        <v>-</v>
      </c>
      <c r="AN241" s="394" t="s">
        <v>78</v>
      </c>
      <c r="AO241" s="395" t="s">
        <v>78</v>
      </c>
      <c r="AP241" s="396" t="str">
        <f t="shared" si="229"/>
        <v>-</v>
      </c>
      <c r="AQ241" s="397"/>
      <c r="AR241" s="401" t="s">
        <v>78</v>
      </c>
      <c r="AS241" s="396" t="str">
        <f t="shared" si="230"/>
        <v>-</v>
      </c>
      <c r="AT241" s="397"/>
      <c r="AU241" s="388" t="str">
        <f t="shared" si="182"/>
        <v>-</v>
      </c>
      <c r="AV241" s="389" t="str">
        <f t="shared" si="183"/>
        <v>-</v>
      </c>
      <c r="AW241" s="353" t="s">
        <v>78</v>
      </c>
      <c r="AX241" s="403" t="s">
        <v>358</v>
      </c>
      <c r="AY241" s="404" t="s">
        <v>451</v>
      </c>
      <c r="AZ241" s="1" t="s">
        <v>462</v>
      </c>
    </row>
    <row r="242" spans="1:52" ht="15" customHeight="1">
      <c r="A242" s="1" t="str">
        <f t="shared" si="227"/>
        <v>TSX:ERO_2024_</v>
      </c>
      <c r="B242" s="1" t="str">
        <f t="shared" si="232"/>
        <v>TSX:ERO_2024_CFO</v>
      </c>
      <c r="C242" s="114" t="str">
        <f t="shared" si="197"/>
        <v>TSX:ERO</v>
      </c>
      <c r="D242" s="133" t="str">
        <f>_xll.ciqfunctions.udf.CIQ(C242,"IQ_Company_Name")</f>
        <v>Ero Copper Corp.</v>
      </c>
      <c r="E242" s="114">
        <f t="shared" si="237"/>
        <v>2024</v>
      </c>
      <c r="F242" s="114" t="str">
        <f>E242&amp;"-01-01"</f>
        <v>2024-01-01</v>
      </c>
      <c r="G242" s="330" t="str">
        <f t="shared" si="217"/>
        <v>2024-12-31</v>
      </c>
      <c r="H242" s="114">
        <f t="shared" si="177"/>
        <v>12</v>
      </c>
      <c r="I242" s="407" t="str">
        <f t="shared" si="226"/>
        <v>USD</v>
      </c>
      <c r="J242" s="461">
        <f t="shared" si="233"/>
        <v>1.3701700000000001</v>
      </c>
      <c r="K242" s="468"/>
      <c r="L242" s="464" t="s">
        <v>106</v>
      </c>
      <c r="M242" s="217" t="s">
        <v>106</v>
      </c>
      <c r="N242" s="218" t="s">
        <v>445</v>
      </c>
      <c r="O242" s="219">
        <v>397850</v>
      </c>
      <c r="P242" s="125">
        <f t="shared" si="218"/>
        <v>545122.13450000004</v>
      </c>
      <c r="Q242" s="311" t="s">
        <v>78</v>
      </c>
      <c r="R242" s="126" t="str">
        <f t="shared" si="219"/>
        <v>-</v>
      </c>
      <c r="S242" s="221">
        <v>193952</v>
      </c>
      <c r="T242" s="125">
        <f t="shared" si="220"/>
        <v>265747.21184</v>
      </c>
      <c r="U242" s="127">
        <f t="shared" si="173"/>
        <v>0.48750031418876455</v>
      </c>
      <c r="V242" s="128">
        <f>IFERROR(AVERAGE(U242:U244),"N/A")</f>
        <v>0.65016792019330305</v>
      </c>
      <c r="W242" s="223">
        <v>0.75</v>
      </c>
      <c r="X242" s="129">
        <f t="shared" si="174"/>
        <v>408841.600875</v>
      </c>
      <c r="Y242" s="124">
        <f t="shared" si="178"/>
        <v>810869.34634000005</v>
      </c>
      <c r="Z242" s="130">
        <f t="shared" si="179"/>
        <v>953963.73537500005</v>
      </c>
      <c r="AA242" s="221">
        <v>159612</v>
      </c>
      <c r="AB242" s="225">
        <v>319224</v>
      </c>
      <c r="AC242" s="225">
        <v>160779</v>
      </c>
      <c r="AD242" s="225" t="s">
        <v>78</v>
      </c>
      <c r="AE242" s="225" t="s">
        <v>78</v>
      </c>
      <c r="AF242" s="125">
        <f t="shared" si="235"/>
        <v>639615</v>
      </c>
      <c r="AG242" s="127">
        <f t="shared" si="175"/>
        <v>1.607678773407063</v>
      </c>
      <c r="AH242" s="128">
        <f>IFERROR(AVERAGE(AG242:AG244),"N/A")</f>
        <v>1.593486412706332</v>
      </c>
      <c r="AI242" s="223" t="s">
        <v>78</v>
      </c>
      <c r="AJ242" s="131">
        <f t="shared" si="176"/>
        <v>868644.71459122363</v>
      </c>
      <c r="AK242" s="368">
        <f t="shared" si="239"/>
        <v>876381.2845500001</v>
      </c>
      <c r="AL242" s="375">
        <f t="shared" si="180"/>
        <v>1687250.6308900001</v>
      </c>
      <c r="AM242" s="376">
        <f t="shared" si="181"/>
        <v>1822608.4499662237</v>
      </c>
      <c r="AN242" s="394" t="s">
        <v>801</v>
      </c>
      <c r="AO242" s="395" t="s">
        <v>801</v>
      </c>
      <c r="AP242" s="396" t="str">
        <f t="shared" si="229"/>
        <v>-</v>
      </c>
      <c r="AQ242" s="397" t="str">
        <f>IFERROR(AVERAGE(AP242:AP244),"N/A")</f>
        <v>N/A</v>
      </c>
      <c r="AR242" s="401">
        <v>6305</v>
      </c>
      <c r="AS242" s="396">
        <f t="shared" si="230"/>
        <v>8638.9218500000006</v>
      </c>
      <c r="AT242" s="397">
        <f>IFERROR(AVERAGE(AS242:AS244),"N/A")</f>
        <v>8620.4413199999999</v>
      </c>
      <c r="AU242" s="388">
        <f t="shared" si="182"/>
        <v>1695889.5527400002</v>
      </c>
      <c r="AV242" s="389">
        <f t="shared" si="183"/>
        <v>1831247.3718162237</v>
      </c>
      <c r="AW242" s="447" t="s">
        <v>460</v>
      </c>
      <c r="AX242" s="403" t="s">
        <v>358</v>
      </c>
      <c r="AY242" s="404" t="s">
        <v>451</v>
      </c>
      <c r="AZ242" s="1" t="s">
        <v>462</v>
      </c>
    </row>
    <row r="243" spans="1:52" ht="15" customHeight="1">
      <c r="A243" s="1" t="str">
        <f t="shared" si="227"/>
        <v>TSX:ERO_2023_</v>
      </c>
      <c r="B243" s="1" t="str">
        <f t="shared" si="232"/>
        <v>TSX:ERO_2023_CFO</v>
      </c>
      <c r="C243" s="114" t="str">
        <f t="shared" si="197"/>
        <v>TSX:ERO</v>
      </c>
      <c r="D243" s="133" t="str">
        <f>_xll.ciqfunctions.udf.CIQ(C243,"IQ_Company_Name")</f>
        <v>Ero Copper Corp.</v>
      </c>
      <c r="E243" s="114">
        <f t="shared" si="237"/>
        <v>2023</v>
      </c>
      <c r="F243" s="114" t="str">
        <f>E243&amp;"-01-01"</f>
        <v>2023-01-01</v>
      </c>
      <c r="G243" s="330" t="str">
        <f t="shared" si="217"/>
        <v>2023-12-31</v>
      </c>
      <c r="H243" s="114">
        <f t="shared" si="177"/>
        <v>12</v>
      </c>
      <c r="I243" s="407" t="str">
        <f t="shared" si="226"/>
        <v>USD</v>
      </c>
      <c r="J243" s="461">
        <f t="shared" si="233"/>
        <v>1.34954</v>
      </c>
      <c r="K243" s="468"/>
      <c r="L243" s="465" t="str">
        <f t="shared" ref="L243:N244" si="241">L242</f>
        <v>CFO</v>
      </c>
      <c r="M243" s="123" t="str">
        <f t="shared" si="241"/>
        <v>CFO</v>
      </c>
      <c r="N243" s="132" t="str">
        <f t="shared" si="241"/>
        <v>Wayne Drier</v>
      </c>
      <c r="O243" s="219">
        <v>397875</v>
      </c>
      <c r="P243" s="125">
        <f t="shared" si="218"/>
        <v>536948.22750000004</v>
      </c>
      <c r="Q243" s="311" t="s">
        <v>78</v>
      </c>
      <c r="R243" s="126" t="str">
        <f t="shared" si="219"/>
        <v>-</v>
      </c>
      <c r="S243" s="221">
        <v>298388</v>
      </c>
      <c r="T243" s="125">
        <f t="shared" si="220"/>
        <v>402686.54151999997</v>
      </c>
      <c r="U243" s="127">
        <f t="shared" si="173"/>
        <v>0.74995413132265143</v>
      </c>
      <c r="V243" s="128"/>
      <c r="W243" s="223" t="s">
        <v>78</v>
      </c>
      <c r="X243" s="129">
        <f t="shared" si="174"/>
        <v>0</v>
      </c>
      <c r="Y243" s="124">
        <f t="shared" si="178"/>
        <v>939634.76902000001</v>
      </c>
      <c r="Z243" s="130">
        <f t="shared" si="179"/>
        <v>536948.22750000004</v>
      </c>
      <c r="AA243" s="221">
        <v>177142</v>
      </c>
      <c r="AB243" s="225">
        <v>354283</v>
      </c>
      <c r="AC243" s="225">
        <v>218046</v>
      </c>
      <c r="AD243" s="225" t="s">
        <v>78</v>
      </c>
      <c r="AE243" s="225" t="s">
        <v>78</v>
      </c>
      <c r="AF243" s="125">
        <f t="shared" si="235"/>
        <v>749471</v>
      </c>
      <c r="AG243" s="127">
        <f t="shared" si="175"/>
        <v>1.8836845743009738</v>
      </c>
      <c r="AH243" s="128"/>
      <c r="AI243" s="223" t="s">
        <v>78</v>
      </c>
      <c r="AJ243" s="131">
        <f t="shared" si="176"/>
        <v>0</v>
      </c>
      <c r="AK243" s="368">
        <f t="shared" si="239"/>
        <v>1011441.09334</v>
      </c>
      <c r="AL243" s="375">
        <f t="shared" si="180"/>
        <v>1951075.8623600001</v>
      </c>
      <c r="AM243" s="376">
        <f t="shared" si="181"/>
        <v>536948.22750000004</v>
      </c>
      <c r="AN243" s="394" t="s">
        <v>801</v>
      </c>
      <c r="AO243" s="395" t="s">
        <v>801</v>
      </c>
      <c r="AP243" s="396" t="str">
        <f t="shared" si="229"/>
        <v>-</v>
      </c>
      <c r="AQ243" s="397"/>
      <c r="AR243" s="401">
        <v>7959</v>
      </c>
      <c r="AS243" s="396">
        <f t="shared" si="230"/>
        <v>10740.988859999999</v>
      </c>
      <c r="AT243" s="397"/>
      <c r="AU243" s="388">
        <f t="shared" si="182"/>
        <v>1961816.8512200001</v>
      </c>
      <c r="AV243" s="389">
        <f t="shared" si="183"/>
        <v>547689.21636000008</v>
      </c>
      <c r="AW243" s="353" t="s">
        <v>78</v>
      </c>
      <c r="AX243" s="403" t="s">
        <v>358</v>
      </c>
      <c r="AY243" s="404" t="s">
        <v>451</v>
      </c>
      <c r="AZ243" s="1" t="s">
        <v>462</v>
      </c>
    </row>
    <row r="244" spans="1:52" ht="15" customHeight="1">
      <c r="A244" s="1" t="str">
        <f t="shared" si="227"/>
        <v>TSX:ERO_2022_</v>
      </c>
      <c r="B244" s="1" t="str">
        <f t="shared" si="232"/>
        <v>TSX:ERO_2022_CFO</v>
      </c>
      <c r="C244" s="114" t="str">
        <f t="shared" si="197"/>
        <v>TSX:ERO</v>
      </c>
      <c r="D244" s="133" t="str">
        <f>_xll.ciqfunctions.udf.CIQ(C244,"IQ_Company_Name")</f>
        <v>Ero Copper Corp.</v>
      </c>
      <c r="E244" s="114">
        <f t="shared" si="237"/>
        <v>2022</v>
      </c>
      <c r="F244" s="114" t="str">
        <f>E244&amp;"-01-01"</f>
        <v>2022-01-01</v>
      </c>
      <c r="G244" s="330" t="str">
        <f t="shared" si="217"/>
        <v>2022-12-31</v>
      </c>
      <c r="H244" s="114">
        <f t="shared" si="177"/>
        <v>12</v>
      </c>
      <c r="I244" s="407" t="str">
        <f t="shared" si="226"/>
        <v>USD</v>
      </c>
      <c r="J244" s="461">
        <f t="shared" si="233"/>
        <v>1.30175</v>
      </c>
      <c r="K244" s="468"/>
      <c r="L244" s="465" t="str">
        <f t="shared" si="241"/>
        <v>CFO</v>
      </c>
      <c r="M244" s="123" t="str">
        <f t="shared" si="241"/>
        <v>CFO</v>
      </c>
      <c r="N244" s="132" t="str">
        <f t="shared" si="241"/>
        <v>Wayne Drier</v>
      </c>
      <c r="O244" s="219">
        <v>365000</v>
      </c>
      <c r="P244" s="125">
        <f t="shared" si="218"/>
        <v>475138.75</v>
      </c>
      <c r="Q244" s="311" t="s">
        <v>78</v>
      </c>
      <c r="R244" s="126" t="str">
        <f t="shared" si="219"/>
        <v>-</v>
      </c>
      <c r="S244" s="221">
        <v>260263</v>
      </c>
      <c r="T244" s="125">
        <f t="shared" si="220"/>
        <v>338797.36024999997</v>
      </c>
      <c r="U244" s="127">
        <f t="shared" si="173"/>
        <v>0.71304931506849312</v>
      </c>
      <c r="V244" s="128"/>
      <c r="W244" s="223" t="s">
        <v>78</v>
      </c>
      <c r="X244" s="129">
        <f t="shared" si="174"/>
        <v>0</v>
      </c>
      <c r="Y244" s="124">
        <f t="shared" si="178"/>
        <v>813936.11024999991</v>
      </c>
      <c r="Z244" s="130">
        <f t="shared" si="179"/>
        <v>475138.75</v>
      </c>
      <c r="AA244" s="221">
        <v>112396</v>
      </c>
      <c r="AB244" s="225">
        <v>224791</v>
      </c>
      <c r="AC244" s="225">
        <v>133333</v>
      </c>
      <c r="AD244" s="225" t="s">
        <v>78</v>
      </c>
      <c r="AE244" s="225" t="s">
        <v>78</v>
      </c>
      <c r="AF244" s="125">
        <f t="shared" si="235"/>
        <v>470520</v>
      </c>
      <c r="AG244" s="127">
        <f t="shared" si="175"/>
        <v>1.2890958904109591</v>
      </c>
      <c r="AH244" s="128"/>
      <c r="AI244" s="223" t="s">
        <v>78</v>
      </c>
      <c r="AJ244" s="131">
        <f t="shared" si="176"/>
        <v>0</v>
      </c>
      <c r="AK244" s="368">
        <f t="shared" si="239"/>
        <v>612499.41</v>
      </c>
      <c r="AL244" s="375">
        <f t="shared" si="180"/>
        <v>1426435.5202500001</v>
      </c>
      <c r="AM244" s="376">
        <f t="shared" si="181"/>
        <v>475138.75</v>
      </c>
      <c r="AN244" s="394" t="s">
        <v>801</v>
      </c>
      <c r="AO244" s="395" t="s">
        <v>801</v>
      </c>
      <c r="AP244" s="396" t="str">
        <f t="shared" si="229"/>
        <v>-</v>
      </c>
      <c r="AQ244" s="397"/>
      <c r="AR244" s="401">
        <v>4979</v>
      </c>
      <c r="AS244" s="396">
        <f t="shared" si="230"/>
        <v>6481.4132499999996</v>
      </c>
      <c r="AT244" s="397"/>
      <c r="AU244" s="388">
        <f t="shared" si="182"/>
        <v>1432916.9335</v>
      </c>
      <c r="AV244" s="389">
        <f t="shared" si="183"/>
        <v>481620.16324999998</v>
      </c>
      <c r="AW244" s="353" t="s">
        <v>78</v>
      </c>
      <c r="AX244" s="403" t="s">
        <v>358</v>
      </c>
      <c r="AY244" s="404" t="s">
        <v>451</v>
      </c>
      <c r="AZ244" s="1" t="s">
        <v>462</v>
      </c>
    </row>
    <row r="245" spans="1:52" ht="15" customHeight="1">
      <c r="A245" s="1" t="str">
        <f t="shared" si="227"/>
        <v>TSX:ERO_2024_</v>
      </c>
      <c r="B245" s="1" t="str">
        <f t="shared" si="232"/>
        <v>TSX:ERO_2024_NEO3</v>
      </c>
      <c r="C245" s="114" t="str">
        <f t="shared" si="197"/>
        <v>TSX:ERO</v>
      </c>
      <c r="D245" s="133" t="str">
        <f>_xll.ciqfunctions.udf.CIQ(C245,"IQ_Company_Name")</f>
        <v>Ero Copper Corp.</v>
      </c>
      <c r="E245" s="114">
        <f t="shared" si="237"/>
        <v>2024</v>
      </c>
      <c r="F245" s="114" t="str">
        <f t="shared" ref="F245:F308" si="242">E245&amp;"-01-01"</f>
        <v>2024-01-01</v>
      </c>
      <c r="G245" s="330" t="str">
        <f t="shared" si="217"/>
        <v>2024-12-31</v>
      </c>
      <c r="H245" s="114">
        <f t="shared" si="177"/>
        <v>12</v>
      </c>
      <c r="I245" s="407" t="str">
        <f t="shared" si="226"/>
        <v>USD</v>
      </c>
      <c r="J245" s="461">
        <f t="shared" si="233"/>
        <v>1.3701700000000001</v>
      </c>
      <c r="K245" s="468"/>
      <c r="L245" s="464" t="s">
        <v>109</v>
      </c>
      <c r="M245" s="217" t="s">
        <v>447</v>
      </c>
      <c r="N245" s="218" t="s">
        <v>446</v>
      </c>
      <c r="O245" s="219">
        <v>345000</v>
      </c>
      <c r="P245" s="125">
        <f t="shared" si="218"/>
        <v>472708.65</v>
      </c>
      <c r="Q245" s="311" t="s">
        <v>78</v>
      </c>
      <c r="R245" s="126" t="str">
        <f t="shared" si="219"/>
        <v>-</v>
      </c>
      <c r="S245" s="221">
        <v>168188</v>
      </c>
      <c r="T245" s="125">
        <f t="shared" si="220"/>
        <v>230446.15196000002</v>
      </c>
      <c r="U245" s="127">
        <f t="shared" ref="U245:U308" si="243">IFERROR($T245/$P245,"-")</f>
        <v>0.48750144927536232</v>
      </c>
      <c r="V245" s="128">
        <f>IFERROR(AVERAGE(U245:U247),"N/A")</f>
        <v>0.61212521427458311</v>
      </c>
      <c r="W245" s="223">
        <v>0.75</v>
      </c>
      <c r="X245" s="129">
        <f t="shared" ref="X245:X308" si="244">IFERROR(IF(ISNUMBER($W245)=TRUE, $W245*$P245,$V245*$P245),"-")</f>
        <v>354531.48750000005</v>
      </c>
      <c r="Y245" s="124">
        <f t="shared" si="178"/>
        <v>703154.80196000007</v>
      </c>
      <c r="Z245" s="130">
        <f t="shared" si="179"/>
        <v>827240.13750000007</v>
      </c>
      <c r="AA245" s="221">
        <v>124554</v>
      </c>
      <c r="AB245" s="225">
        <v>249123</v>
      </c>
      <c r="AC245" s="225">
        <v>125470</v>
      </c>
      <c r="AD245" s="225" t="s">
        <v>78</v>
      </c>
      <c r="AE245" s="225" t="s">
        <v>78</v>
      </c>
      <c r="AF245" s="125">
        <f t="shared" si="235"/>
        <v>499147</v>
      </c>
      <c r="AG245" s="127">
        <f t="shared" ref="AG245:AG308" si="245">IFERROR($AK245/$P245,"-")</f>
        <v>1.4468028985507246</v>
      </c>
      <c r="AH245" s="128">
        <f>IFERROR(AVERAGE(AG245:AG247),"N/A")</f>
        <v>1.4837587412042532</v>
      </c>
      <c r="AI245" s="223" t="s">
        <v>78</v>
      </c>
      <c r="AJ245" s="131">
        <f t="shared" ref="AJ245:AJ308" si="246">IFERROR(IF(ISNUMBER($AI245)=TRUE, $AI245*$P245, $AH245*$P245), "-")</f>
        <v>701385.591480362</v>
      </c>
      <c r="AK245" s="368">
        <f t="shared" si="239"/>
        <v>683916.24499000004</v>
      </c>
      <c r="AL245" s="375">
        <f t="shared" si="180"/>
        <v>1387071.0469500001</v>
      </c>
      <c r="AM245" s="376">
        <f t="shared" si="181"/>
        <v>1528625.7289803619</v>
      </c>
      <c r="AN245" s="394" t="s">
        <v>801</v>
      </c>
      <c r="AO245" s="395" t="s">
        <v>801</v>
      </c>
      <c r="AP245" s="396" t="str">
        <f t="shared" si="229"/>
        <v>-</v>
      </c>
      <c r="AQ245" s="397" t="str">
        <f>IFERROR(AVERAGE(AP245:AP247),"N/A")</f>
        <v>N/A</v>
      </c>
      <c r="AR245" s="401">
        <v>306</v>
      </c>
      <c r="AS245" s="396">
        <f t="shared" si="230"/>
        <v>419.27202000000005</v>
      </c>
      <c r="AT245" s="397">
        <f>IFERROR(AVERAGE(AS245:AS247),"N/A")</f>
        <v>410.18892</v>
      </c>
      <c r="AU245" s="388">
        <f t="shared" si="182"/>
        <v>1387490.3189700001</v>
      </c>
      <c r="AV245" s="389">
        <f t="shared" si="183"/>
        <v>1529045.001000362</v>
      </c>
      <c r="AW245" s="458" t="s">
        <v>461</v>
      </c>
      <c r="AX245" s="403" t="s">
        <v>358</v>
      </c>
      <c r="AY245" s="404" t="s">
        <v>451</v>
      </c>
      <c r="AZ245" s="1" t="s">
        <v>462</v>
      </c>
    </row>
    <row r="246" spans="1:52" ht="15" customHeight="1">
      <c r="A246" s="1" t="str">
        <f t="shared" si="227"/>
        <v>TSX:ERO_2023_</v>
      </c>
      <c r="B246" s="1" t="str">
        <f t="shared" si="232"/>
        <v>TSX:ERO_2023_NEO3</v>
      </c>
      <c r="C246" s="114" t="str">
        <f t="shared" si="197"/>
        <v>TSX:ERO</v>
      </c>
      <c r="D246" s="133" t="str">
        <f>_xll.ciqfunctions.udf.CIQ(C246,"IQ_Company_Name")</f>
        <v>Ero Copper Corp.</v>
      </c>
      <c r="E246" s="114">
        <f t="shared" si="237"/>
        <v>2023</v>
      </c>
      <c r="F246" s="114" t="str">
        <f t="shared" si="242"/>
        <v>2023-01-01</v>
      </c>
      <c r="G246" s="330" t="str">
        <f t="shared" si="217"/>
        <v>2023-12-31</v>
      </c>
      <c r="H246" s="114">
        <f t="shared" ref="H246:H309" si="247">_xlfn.DAYS(G246,F246)/_xlfn.DAYS(E246&amp;"-12-31",E246&amp;"-01-01")*12</f>
        <v>12</v>
      </c>
      <c r="I246" s="407" t="str">
        <f t="shared" si="226"/>
        <v>USD</v>
      </c>
      <c r="J246" s="461">
        <f t="shared" si="233"/>
        <v>1.34954</v>
      </c>
      <c r="K246" s="468"/>
      <c r="L246" s="465" t="str">
        <f t="shared" ref="L246:N247" si="248">L245</f>
        <v>NEO3</v>
      </c>
      <c r="M246" s="123" t="str">
        <f t="shared" si="248"/>
        <v>SVP, Corp. Dev., IR &amp; Sustain.</v>
      </c>
      <c r="N246" s="132" t="str">
        <f t="shared" si="248"/>
        <v>Courtney Lynn</v>
      </c>
      <c r="O246" s="219">
        <v>322400</v>
      </c>
      <c r="P246" s="125">
        <f t="shared" si="218"/>
        <v>435091.696</v>
      </c>
      <c r="Q246" s="311" t="s">
        <v>78</v>
      </c>
      <c r="R246" s="126" t="str">
        <f t="shared" si="219"/>
        <v>-</v>
      </c>
      <c r="S246" s="221">
        <v>241800</v>
      </c>
      <c r="T246" s="125">
        <f t="shared" si="220"/>
        <v>326318.772</v>
      </c>
      <c r="U246" s="127">
        <f t="shared" si="243"/>
        <v>0.75</v>
      </c>
      <c r="V246" s="128"/>
      <c r="W246" s="223" t="s">
        <v>78</v>
      </c>
      <c r="X246" s="129">
        <f t="shared" si="244"/>
        <v>0</v>
      </c>
      <c r="Y246" s="124">
        <f t="shared" ref="Y246:Y309" si="249">IFERROR(IF(SUM(P246,T246)=0,"-",SUM(P246,T246)),"-")</f>
        <v>761410.46799999999</v>
      </c>
      <c r="Z246" s="130">
        <f t="shared" ref="Z246:Z309" si="250">IFERROR(IF(SUM(P246,X246)=0,"-",SUM(P246,X246)),"-")</f>
        <v>435091.696</v>
      </c>
      <c r="AA246" s="221">
        <v>151840</v>
      </c>
      <c r="AB246" s="225">
        <v>303679</v>
      </c>
      <c r="AC246" s="225">
        <v>186896</v>
      </c>
      <c r="AD246" s="225" t="s">
        <v>78</v>
      </c>
      <c r="AE246" s="225" t="s">
        <v>78</v>
      </c>
      <c r="AF246" s="125">
        <f t="shared" si="235"/>
        <v>642415</v>
      </c>
      <c r="AG246" s="127">
        <f t="shared" si="245"/>
        <v>1.9926023573200993</v>
      </c>
      <c r="AH246" s="128"/>
      <c r="AI246" s="223" t="s">
        <v>78</v>
      </c>
      <c r="AJ246" s="131">
        <f t="shared" si="246"/>
        <v>0</v>
      </c>
      <c r="AK246" s="368">
        <f t="shared" si="239"/>
        <v>866964.73910000001</v>
      </c>
      <c r="AL246" s="375">
        <f t="shared" ref="AL246:AL309" si="251">IFERROR(IF(SUM(Y246,AK246)=0,"-",SUM(Y246,AK246)),"-")</f>
        <v>1628375.2071</v>
      </c>
      <c r="AM246" s="376">
        <f t="shared" ref="AM246:AM309" si="252">IFERROR(IF(SUM($Z246,$AJ246)=0,"-",SUM($Z246,$AJ246)),"-")</f>
        <v>435091.696</v>
      </c>
      <c r="AN246" s="394" t="s">
        <v>801</v>
      </c>
      <c r="AO246" s="395" t="s">
        <v>801</v>
      </c>
      <c r="AP246" s="396" t="str">
        <f t="shared" si="229"/>
        <v>-</v>
      </c>
      <c r="AQ246" s="397"/>
      <c r="AR246" s="401">
        <v>306</v>
      </c>
      <c r="AS246" s="396">
        <f t="shared" si="230"/>
        <v>412.95923999999997</v>
      </c>
      <c r="AT246" s="397"/>
      <c r="AU246" s="388">
        <f t="shared" ref="AU246:AU309" si="253">IFERROR(IF(SUM(AL246,AP246,AS246)=0,"-",SUM(AL246,AP246,AS246)),"-")</f>
        <v>1628788.16634</v>
      </c>
      <c r="AV246" s="389">
        <f t="shared" ref="AV246:AV309" si="254">IFERROR(IF(SUM(AM246,AP246,AS246)=0,"-",SUM(AM246,AP246,AS246)),"-")</f>
        <v>435504.65523999999</v>
      </c>
      <c r="AW246" s="353" t="s">
        <v>78</v>
      </c>
      <c r="AX246" s="403" t="s">
        <v>358</v>
      </c>
      <c r="AY246" s="404" t="s">
        <v>451</v>
      </c>
      <c r="AZ246" s="1" t="s">
        <v>462</v>
      </c>
    </row>
    <row r="247" spans="1:52" ht="15" customHeight="1">
      <c r="A247" s="1" t="str">
        <f t="shared" si="227"/>
        <v>TSX:ERO_2022_</v>
      </c>
      <c r="B247" s="1" t="str">
        <f t="shared" si="232"/>
        <v>TSX:ERO_2022_NEO3</v>
      </c>
      <c r="C247" s="203" t="str">
        <f t="shared" si="197"/>
        <v>TSX:ERO</v>
      </c>
      <c r="D247" s="205" t="str">
        <f>_xll.ciqfunctions.udf.CIQ(C247,"IQ_Company_Name")</f>
        <v>Ero Copper Corp.</v>
      </c>
      <c r="E247" s="204">
        <f t="shared" si="237"/>
        <v>2022</v>
      </c>
      <c r="F247" s="204" t="str">
        <f t="shared" si="242"/>
        <v>2022-01-01</v>
      </c>
      <c r="G247" s="331" t="str">
        <f t="shared" si="217"/>
        <v>2022-12-31</v>
      </c>
      <c r="H247" s="204">
        <f t="shared" si="247"/>
        <v>12</v>
      </c>
      <c r="I247" s="408" t="str">
        <f t="shared" si="226"/>
        <v>USD</v>
      </c>
      <c r="J247" s="463">
        <f t="shared" si="233"/>
        <v>1.30175</v>
      </c>
      <c r="K247" s="470"/>
      <c r="L247" s="466" t="str">
        <f t="shared" si="248"/>
        <v>NEO3</v>
      </c>
      <c r="M247" s="206" t="str">
        <f t="shared" si="248"/>
        <v>SVP, Corp. Dev., IR &amp; Sustain.</v>
      </c>
      <c r="N247" s="207" t="str">
        <f t="shared" si="248"/>
        <v>Courtney Lynn</v>
      </c>
      <c r="O247" s="220">
        <v>310000</v>
      </c>
      <c r="P247" s="209">
        <f t="shared" si="218"/>
        <v>403542.5</v>
      </c>
      <c r="Q247" s="312" t="s">
        <v>78</v>
      </c>
      <c r="R247" s="329" t="str">
        <f t="shared" si="219"/>
        <v>-</v>
      </c>
      <c r="S247" s="222">
        <v>185651</v>
      </c>
      <c r="T247" s="209">
        <f t="shared" si="220"/>
        <v>241671.18925</v>
      </c>
      <c r="U247" s="211">
        <f t="shared" si="243"/>
        <v>0.59887419354838711</v>
      </c>
      <c r="V247" s="212"/>
      <c r="W247" s="224" t="s">
        <v>78</v>
      </c>
      <c r="X247" s="213">
        <f t="shared" si="244"/>
        <v>0</v>
      </c>
      <c r="Y247" s="208">
        <f t="shared" si="249"/>
        <v>645213.68925000005</v>
      </c>
      <c r="Z247" s="214">
        <f t="shared" si="250"/>
        <v>403542.5</v>
      </c>
      <c r="AA247" s="222">
        <v>74926</v>
      </c>
      <c r="AB247" s="226">
        <v>149865</v>
      </c>
      <c r="AC247" s="226">
        <v>88889</v>
      </c>
      <c r="AD247" s="226" t="s">
        <v>78</v>
      </c>
      <c r="AE247" s="226" t="s">
        <v>78</v>
      </c>
      <c r="AF247" s="420">
        <f t="shared" si="235"/>
        <v>313680</v>
      </c>
      <c r="AG247" s="211">
        <f t="shared" si="245"/>
        <v>1.0118709677419355</v>
      </c>
      <c r="AH247" s="212"/>
      <c r="AI247" s="224" t="s">
        <v>78</v>
      </c>
      <c r="AJ247" s="215">
        <f t="shared" si="246"/>
        <v>0</v>
      </c>
      <c r="AK247" s="369">
        <f t="shared" si="239"/>
        <v>408332.94</v>
      </c>
      <c r="AL247" s="377">
        <f t="shared" si="251"/>
        <v>1053546.62925</v>
      </c>
      <c r="AM247" s="378">
        <f t="shared" si="252"/>
        <v>403542.5</v>
      </c>
      <c r="AN247" s="398" t="s">
        <v>801</v>
      </c>
      <c r="AO247" s="399" t="s">
        <v>801</v>
      </c>
      <c r="AP247" s="396" t="str">
        <f t="shared" si="229"/>
        <v>-</v>
      </c>
      <c r="AQ247" s="400"/>
      <c r="AR247" s="402">
        <v>306</v>
      </c>
      <c r="AS247" s="396">
        <f t="shared" si="230"/>
        <v>398.33549999999997</v>
      </c>
      <c r="AT247" s="400"/>
      <c r="AU247" s="390">
        <f t="shared" si="253"/>
        <v>1053944.96475</v>
      </c>
      <c r="AV247" s="391">
        <f t="shared" si="254"/>
        <v>403940.83549999999</v>
      </c>
      <c r="AW247" s="354" t="s">
        <v>78</v>
      </c>
      <c r="AX247" s="405" t="s">
        <v>358</v>
      </c>
      <c r="AY247" s="404" t="s">
        <v>451</v>
      </c>
      <c r="AZ247" s="1" t="s">
        <v>462</v>
      </c>
    </row>
    <row r="248" spans="1:52" ht="15" customHeight="1">
      <c r="A248" s="1" t="str">
        <f t="shared" si="227"/>
        <v>TSX:CG_2024_</v>
      </c>
      <c r="B248" s="1" t="str">
        <f t="shared" si="232"/>
        <v>TSX:CG_2024_CEO</v>
      </c>
      <c r="C248" s="216" t="str">
        <f>D18</f>
        <v>TSX:CG</v>
      </c>
      <c r="D248" s="133" t="str">
        <f>_xll.ciqfunctions.udf.CIQ(C248,"IQ_Company_Name")</f>
        <v>Centerra Gold Inc.</v>
      </c>
      <c r="E248" s="328">
        <v>2024</v>
      </c>
      <c r="F248" s="330" t="str">
        <f t="shared" si="242"/>
        <v>2024-01-01</v>
      </c>
      <c r="G248" s="330" t="str">
        <f t="shared" si="217"/>
        <v>2024-12-31</v>
      </c>
      <c r="H248" s="114">
        <f t="shared" si="247"/>
        <v>12</v>
      </c>
      <c r="I248" s="328" t="s">
        <v>2</v>
      </c>
      <c r="J248" s="461">
        <f t="shared" si="233"/>
        <v>1</v>
      </c>
      <c r="K248" s="468"/>
      <c r="L248" s="464" t="s">
        <v>79</v>
      </c>
      <c r="M248" s="217" t="s">
        <v>272</v>
      </c>
      <c r="N248" s="218" t="s">
        <v>334</v>
      </c>
      <c r="O248" s="219">
        <v>750000</v>
      </c>
      <c r="P248" s="125">
        <f>IFERROR(O248*(12/$H248)*$J248,"-")</f>
        <v>750000</v>
      </c>
      <c r="Q248" s="311" t="s">
        <v>78</v>
      </c>
      <c r="R248" s="126" t="str">
        <f>IFERROR(IF((Q248*$J248)=0,"-",(Q248*$J248)),"-")</f>
        <v>-</v>
      </c>
      <c r="S248" s="221">
        <v>905625</v>
      </c>
      <c r="T248" s="125">
        <f>IFERROR(S248*(12/$H248)*$J248,"-")</f>
        <v>905625</v>
      </c>
      <c r="U248" s="127">
        <f t="shared" si="243"/>
        <v>1.2075</v>
      </c>
      <c r="V248" s="128">
        <f>IFERROR(AVERAGE(U248:U250),"N/A")</f>
        <v>1.1861619999999999</v>
      </c>
      <c r="W248" s="223">
        <v>1.1499999999999999</v>
      </c>
      <c r="X248" s="129">
        <f t="shared" si="244"/>
        <v>862499.99999999988</v>
      </c>
      <c r="Y248" s="124">
        <f t="shared" si="249"/>
        <v>1655625</v>
      </c>
      <c r="Z248" s="130">
        <f t="shared" si="250"/>
        <v>1612500</v>
      </c>
      <c r="AA248" s="221">
        <f>1406250/3</f>
        <v>468750</v>
      </c>
      <c r="AB248" s="225">
        <f>1406250*0.666666666666667</f>
        <v>937500.00000000047</v>
      </c>
      <c r="AC248" s="225">
        <v>468750</v>
      </c>
      <c r="AD248" s="225" t="s">
        <v>78</v>
      </c>
      <c r="AE248" s="225" t="s">
        <v>78</v>
      </c>
      <c r="AF248" s="125">
        <f>IFERROR(IF(SUM(AA248:AE248)=0,IF(COUNTIF($AA248:$AE248,"=0")&gt;0,"$0","-"),SUM(AA248:AE248)),"-")</f>
        <v>1875000.0000000005</v>
      </c>
      <c r="AG248" s="127">
        <f t="shared" si="245"/>
        <v>2.5000000000000004</v>
      </c>
      <c r="AH248" s="128">
        <f>IFERROR(AVERAGE(AG248:AG250),"N/A")</f>
        <v>2.0879120879120885</v>
      </c>
      <c r="AI248" s="223">
        <f>(125+62.5+62.5)%</f>
        <v>2.5</v>
      </c>
      <c r="AJ248" s="131">
        <f t="shared" si="246"/>
        <v>1875000</v>
      </c>
      <c r="AK248" s="368">
        <f t="shared" si="239"/>
        <v>1875000.0000000005</v>
      </c>
      <c r="AL248" s="375">
        <f t="shared" si="251"/>
        <v>3530625.0000000005</v>
      </c>
      <c r="AM248" s="376">
        <f t="shared" si="252"/>
        <v>3487500</v>
      </c>
      <c r="AN248" s="394">
        <v>193500</v>
      </c>
      <c r="AO248" s="395" t="s">
        <v>274</v>
      </c>
      <c r="AP248" s="396">
        <f t="shared" si="229"/>
        <v>193500</v>
      </c>
      <c r="AQ248" s="409">
        <f>IFERROR(AVERAGE(AP248:AP250),"N/A")</f>
        <v>192971.31147540984</v>
      </c>
      <c r="AR248" s="401">
        <v>54950</v>
      </c>
      <c r="AS248" s="396">
        <f t="shared" si="230"/>
        <v>54950</v>
      </c>
      <c r="AT248" s="409">
        <f>IFERROR(AVERAGE(AS248:AS250),"N/A")</f>
        <v>49827.434426229505</v>
      </c>
      <c r="AU248" s="388">
        <f t="shared" si="253"/>
        <v>3779075.0000000005</v>
      </c>
      <c r="AV248" s="389">
        <f t="shared" si="254"/>
        <v>3735950</v>
      </c>
      <c r="AW248" s="353" t="s">
        <v>335</v>
      </c>
      <c r="AX248" s="403" t="s">
        <v>275</v>
      </c>
      <c r="AY248" s="404" t="s">
        <v>276</v>
      </c>
      <c r="AZ248" s="1" t="s">
        <v>451</v>
      </c>
    </row>
    <row r="249" spans="1:52" ht="15" customHeight="1">
      <c r="A249" s="1" t="str">
        <f t="shared" si="227"/>
        <v>TSX:CG_2023_</v>
      </c>
      <c r="B249" s="1" t="str">
        <f t="shared" si="232"/>
        <v>TSX:CG_2023_CEO</v>
      </c>
      <c r="C249" s="114" t="str">
        <f>C248</f>
        <v>TSX:CG</v>
      </c>
      <c r="D249" s="133" t="str">
        <f>_xll.ciqfunctions.udf.CIQ(C249,"IQ_Company_Name")</f>
        <v>Centerra Gold Inc.</v>
      </c>
      <c r="E249" s="328">
        <v>2023</v>
      </c>
      <c r="F249" s="429" t="str">
        <f>E249&amp;"-05-01"</f>
        <v>2023-05-01</v>
      </c>
      <c r="G249" s="330" t="str">
        <f t="shared" si="217"/>
        <v>2023-12-31</v>
      </c>
      <c r="H249" s="114">
        <f t="shared" si="247"/>
        <v>8.0439560439560438</v>
      </c>
      <c r="I249" s="407" t="str">
        <f t="shared" ref="I249:I262" si="255">I248</f>
        <v>CAD</v>
      </c>
      <c r="J249" s="461">
        <f t="shared" si="233"/>
        <v>1</v>
      </c>
      <c r="K249" s="468"/>
      <c r="L249" s="465" t="str">
        <f t="shared" ref="L249:N250" si="256">L248</f>
        <v>CEO</v>
      </c>
      <c r="M249" s="123" t="str">
        <f t="shared" si="256"/>
        <v>President &amp; CEO</v>
      </c>
      <c r="N249" s="132" t="str">
        <f t="shared" si="256"/>
        <v>Paul Tomory</v>
      </c>
      <c r="O249" s="219">
        <v>500000</v>
      </c>
      <c r="P249" s="125">
        <f>IFERROR(O249*(12/$H249)*$J249,"-")</f>
        <v>745901.63934426231</v>
      </c>
      <c r="Q249" s="311" t="s">
        <v>78</v>
      </c>
      <c r="R249" s="126" t="str">
        <f>IFERROR(IF((Q249*$J249)=0,"-",(Q249*$J249)),"-")</f>
        <v>-</v>
      </c>
      <c r="S249" s="221">
        <v>582412</v>
      </c>
      <c r="T249" s="125">
        <f>IFERROR(S249*(12/$H249)*$J249,"-")</f>
        <v>868844.13114754099</v>
      </c>
      <c r="U249" s="127">
        <f t="shared" si="243"/>
        <v>1.1648240000000001</v>
      </c>
      <c r="V249" s="128"/>
      <c r="W249" s="223" t="s">
        <v>78</v>
      </c>
      <c r="X249" s="129">
        <f t="shared" si="244"/>
        <v>0</v>
      </c>
      <c r="Y249" s="124">
        <f t="shared" si="249"/>
        <v>1614745.7704918033</v>
      </c>
      <c r="Z249" s="130">
        <f t="shared" si="250"/>
        <v>745901.63934426231</v>
      </c>
      <c r="AA249" s="221">
        <f>937500/3</f>
        <v>312500</v>
      </c>
      <c r="AB249" s="225">
        <f>937500*0.666666666666667</f>
        <v>625000.00000000023</v>
      </c>
      <c r="AC249" s="225">
        <v>312500</v>
      </c>
      <c r="AD249" s="225" t="s">
        <v>78</v>
      </c>
      <c r="AE249" s="225" t="s">
        <v>78</v>
      </c>
      <c r="AF249" s="125">
        <f>IFERROR(IF(SUM(AA249:AE249)=0,IF(COUNTIF($AA249:$AE249,"=0")&gt;0,"$0","-"),SUM(AA249:AE249)),"-")</f>
        <v>1250000.0000000002</v>
      </c>
      <c r="AG249" s="127">
        <f t="shared" si="245"/>
        <v>1.6758241758241761</v>
      </c>
      <c r="AH249" s="128"/>
      <c r="AI249" s="223" t="s">
        <v>78</v>
      </c>
      <c r="AJ249" s="131">
        <f t="shared" si="246"/>
        <v>0</v>
      </c>
      <c r="AK249" s="368">
        <f t="shared" si="239"/>
        <v>1250000.0000000002</v>
      </c>
      <c r="AL249" s="375">
        <f t="shared" si="251"/>
        <v>2864745.7704918035</v>
      </c>
      <c r="AM249" s="376">
        <f t="shared" si="252"/>
        <v>745901.63934426231</v>
      </c>
      <c r="AN249" s="394">
        <v>129000</v>
      </c>
      <c r="AO249" s="395" t="s">
        <v>274</v>
      </c>
      <c r="AP249" s="396">
        <f t="shared" si="229"/>
        <v>192442.6229508197</v>
      </c>
      <c r="AQ249" s="397"/>
      <c r="AR249" s="401">
        <v>29967</v>
      </c>
      <c r="AS249" s="396">
        <f t="shared" si="230"/>
        <v>44704.868852459018</v>
      </c>
      <c r="AT249" s="397"/>
      <c r="AU249" s="388">
        <f t="shared" si="253"/>
        <v>3101893.2622950822</v>
      </c>
      <c r="AV249" s="389">
        <f t="shared" si="254"/>
        <v>983049.13114754099</v>
      </c>
      <c r="AW249" s="353" t="s">
        <v>78</v>
      </c>
      <c r="AX249" s="403" t="s">
        <v>275</v>
      </c>
      <c r="AY249" s="404" t="s">
        <v>276</v>
      </c>
      <c r="AZ249" s="1" t="s">
        <v>451</v>
      </c>
    </row>
    <row r="250" spans="1:52" ht="15" customHeight="1">
      <c r="A250" s="1" t="str">
        <f t="shared" si="227"/>
        <v>TSX:CG_2022_</v>
      </c>
      <c r="B250" s="1" t="str">
        <f t="shared" si="232"/>
        <v>TSX:CG_2022_CEO</v>
      </c>
      <c r="C250" s="114" t="str">
        <f t="shared" si="197"/>
        <v>TSX:CG</v>
      </c>
      <c r="D250" s="133" t="str">
        <f>_xll.ciqfunctions.udf.CIQ(C250,"IQ_Company_Name")</f>
        <v>Centerra Gold Inc.</v>
      </c>
      <c r="E250" s="328">
        <v>2022</v>
      </c>
      <c r="F250" s="114" t="str">
        <f t="shared" si="242"/>
        <v>2022-01-01</v>
      </c>
      <c r="G250" s="330" t="str">
        <f t="shared" si="217"/>
        <v>2022-12-31</v>
      </c>
      <c r="H250" s="114">
        <f t="shared" si="247"/>
        <v>12</v>
      </c>
      <c r="I250" s="407" t="str">
        <f t="shared" si="255"/>
        <v>CAD</v>
      </c>
      <c r="J250" s="461">
        <f t="shared" si="233"/>
        <v>1</v>
      </c>
      <c r="K250" s="468"/>
      <c r="L250" s="465" t="str">
        <f t="shared" si="256"/>
        <v>CEO</v>
      </c>
      <c r="M250" s="123" t="str">
        <f t="shared" si="256"/>
        <v>President &amp; CEO</v>
      </c>
      <c r="N250" s="132" t="str">
        <f t="shared" si="256"/>
        <v>Paul Tomory</v>
      </c>
      <c r="O250" s="219" t="s">
        <v>78</v>
      </c>
      <c r="P250" s="125" t="str">
        <f>IFERROR(O250*(12/$H250)*$J250,"-")</f>
        <v>-</v>
      </c>
      <c r="Q250" s="311" t="s">
        <v>78</v>
      </c>
      <c r="R250" s="126" t="str">
        <f>IFERROR(IF((Q250*$J250)=0,"-",(Q250*$J250)),"-")</f>
        <v>-</v>
      </c>
      <c r="S250" s="221" t="s">
        <v>78</v>
      </c>
      <c r="T250" s="125" t="str">
        <f>IFERROR(S250*(12/$H250)*$J250,"-")</f>
        <v>-</v>
      </c>
      <c r="U250" s="127" t="str">
        <f t="shared" si="243"/>
        <v>-</v>
      </c>
      <c r="V250" s="128"/>
      <c r="W250" s="223" t="s">
        <v>78</v>
      </c>
      <c r="X250" s="129" t="str">
        <f t="shared" si="244"/>
        <v>-</v>
      </c>
      <c r="Y250" s="124" t="str">
        <f t="shared" si="249"/>
        <v>-</v>
      </c>
      <c r="Z250" s="130" t="str">
        <f t="shared" si="250"/>
        <v>-</v>
      </c>
      <c r="AA250" s="221" t="s">
        <v>78</v>
      </c>
      <c r="AB250" s="225" t="s">
        <v>78</v>
      </c>
      <c r="AC250" s="225" t="s">
        <v>78</v>
      </c>
      <c r="AD250" s="225" t="s">
        <v>78</v>
      </c>
      <c r="AE250" s="225" t="s">
        <v>78</v>
      </c>
      <c r="AF250" s="125" t="str">
        <f>IFERROR(IF(SUM(AA250:AE250)=0,IF(COUNTIF($AA250:$AE250,"=0")&gt;0,"$0","-"),SUM(AA250:AE250)),"-")</f>
        <v>-</v>
      </c>
      <c r="AG250" s="127" t="str">
        <f t="shared" si="245"/>
        <v>-</v>
      </c>
      <c r="AH250" s="128"/>
      <c r="AI250" s="223" t="s">
        <v>78</v>
      </c>
      <c r="AJ250" s="131" t="str">
        <f t="shared" si="246"/>
        <v>-</v>
      </c>
      <c r="AK250" s="368" t="str">
        <f t="shared" si="239"/>
        <v>-</v>
      </c>
      <c r="AL250" s="375" t="str">
        <f t="shared" si="251"/>
        <v>-</v>
      </c>
      <c r="AM250" s="376" t="str">
        <f t="shared" si="252"/>
        <v>-</v>
      </c>
      <c r="AN250" s="394" t="s">
        <v>78</v>
      </c>
      <c r="AO250" s="395" t="s">
        <v>78</v>
      </c>
      <c r="AP250" s="396" t="str">
        <f t="shared" si="229"/>
        <v>-</v>
      </c>
      <c r="AQ250" s="397"/>
      <c r="AR250" s="401" t="s">
        <v>78</v>
      </c>
      <c r="AS250" s="396" t="str">
        <f t="shared" si="230"/>
        <v>-</v>
      </c>
      <c r="AT250" s="397"/>
      <c r="AU250" s="388" t="str">
        <f t="shared" si="253"/>
        <v>-</v>
      </c>
      <c r="AV250" s="389" t="str">
        <f t="shared" si="254"/>
        <v>-</v>
      </c>
      <c r="AW250" s="353" t="s">
        <v>78</v>
      </c>
      <c r="AX250" s="403" t="s">
        <v>275</v>
      </c>
      <c r="AY250" s="404" t="s">
        <v>276</v>
      </c>
      <c r="AZ250" s="1" t="s">
        <v>451</v>
      </c>
    </row>
    <row r="251" spans="1:52" ht="15" customHeight="1">
      <c r="A251" s="1" t="str">
        <f t="shared" si="227"/>
        <v>TSX:CG_2024_</v>
      </c>
      <c r="B251" s="1" t="str">
        <f t="shared" si="232"/>
        <v>TSX:CG_2024_CFO</v>
      </c>
      <c r="C251" s="114" t="str">
        <f t="shared" si="197"/>
        <v>TSX:CG</v>
      </c>
      <c r="D251" s="133" t="str">
        <f>_xll.ciqfunctions.udf.CIQ(C251,"IQ_Company_Name")</f>
        <v>Centerra Gold Inc.</v>
      </c>
      <c r="E251" s="114">
        <f t="shared" ref="E251:E262" si="257">E248</f>
        <v>2024</v>
      </c>
      <c r="F251" s="328" t="str">
        <f>E251&amp;"-04-08"</f>
        <v>2024-04-08</v>
      </c>
      <c r="G251" s="330" t="str">
        <f t="shared" si="217"/>
        <v>2024-12-31</v>
      </c>
      <c r="H251" s="460">
        <v>12</v>
      </c>
      <c r="I251" s="407" t="str">
        <f t="shared" si="255"/>
        <v>CAD</v>
      </c>
      <c r="J251" s="461">
        <f t="shared" si="233"/>
        <v>1</v>
      </c>
      <c r="K251" s="468"/>
      <c r="L251" s="464" t="s">
        <v>106</v>
      </c>
      <c r="M251" s="217" t="s">
        <v>336</v>
      </c>
      <c r="N251" s="218" t="s">
        <v>337</v>
      </c>
      <c r="O251" s="219">
        <v>398703</v>
      </c>
      <c r="P251" s="125">
        <f t="shared" ref="P251:P262" si="258">IFERROR(O251*(12/$H251)*$J251,"-")</f>
        <v>398703</v>
      </c>
      <c r="Q251" s="311" t="s">
        <v>78</v>
      </c>
      <c r="R251" s="126" t="str">
        <f>IFERROR(IF((Q251*$J251)=0,"-",(Q251*$J251)),"-")</f>
        <v>-</v>
      </c>
      <c r="S251" s="221">
        <v>279718</v>
      </c>
      <c r="T251" s="125">
        <f>IFERROR(S251*(12/$H251)*$J251,"-")</f>
        <v>279718</v>
      </c>
      <c r="U251" s="127">
        <f t="shared" si="243"/>
        <v>0.70156984020687074</v>
      </c>
      <c r="V251" s="128">
        <f>IFERROR(AVERAGE(U251:U253),"N/A")</f>
        <v>0.70156984020687074</v>
      </c>
      <c r="W251" s="223">
        <v>0.8</v>
      </c>
      <c r="X251" s="129">
        <f t="shared" si="244"/>
        <v>318962.40000000002</v>
      </c>
      <c r="Y251" s="124">
        <f t="shared" si="249"/>
        <v>678421</v>
      </c>
      <c r="Z251" s="130">
        <f t="shared" si="250"/>
        <v>717665.4</v>
      </c>
      <c r="AA251" s="221">
        <f>481179/3</f>
        <v>160393</v>
      </c>
      <c r="AB251" s="225">
        <f>481179*0.666666666666667</f>
        <v>320786.00000000012</v>
      </c>
      <c r="AC251" s="225">
        <v>160209</v>
      </c>
      <c r="AD251" s="225" t="s">
        <v>78</v>
      </c>
      <c r="AE251" s="225" t="s">
        <v>78</v>
      </c>
      <c r="AF251" s="125">
        <f>IFERROR(IF(SUM(AA251:AE251)=0,IF(COUNTIF($AA251:$AE251,"=0")&gt;0,"$0","-"),SUM(AA251:AE251)),"-")</f>
        <v>641388.00000000012</v>
      </c>
      <c r="AG251" s="127">
        <f t="shared" si="245"/>
        <v>1.6086861648896551</v>
      </c>
      <c r="AH251" s="128">
        <f>IFERROR(AVERAGE(AG251:AG253),"N/A")</f>
        <v>1.6086861648896551</v>
      </c>
      <c r="AI251" s="223">
        <f>+(90+45+45)%</f>
        <v>1.8</v>
      </c>
      <c r="AJ251" s="131">
        <f t="shared" si="246"/>
        <v>717665.4</v>
      </c>
      <c r="AK251" s="368">
        <f t="shared" si="239"/>
        <v>641388.00000000012</v>
      </c>
      <c r="AL251" s="375">
        <f t="shared" si="251"/>
        <v>1319809</v>
      </c>
      <c r="AM251" s="376">
        <f t="shared" si="252"/>
        <v>1435330.8</v>
      </c>
      <c r="AN251" s="394">
        <v>67406</v>
      </c>
      <c r="AO251" s="395" t="s">
        <v>274</v>
      </c>
      <c r="AP251" s="396">
        <f t="shared" si="229"/>
        <v>67406</v>
      </c>
      <c r="AQ251" s="397">
        <f>IFERROR(AVERAGE(AP251:AP253),"N/A")</f>
        <v>67406</v>
      </c>
      <c r="AR251" s="401">
        <v>29785</v>
      </c>
      <c r="AS251" s="396">
        <f t="shared" si="230"/>
        <v>29785</v>
      </c>
      <c r="AT251" s="397">
        <f>IFERROR(AVERAGE(AS251:AS253),"N/A")</f>
        <v>29785</v>
      </c>
      <c r="AU251" s="388">
        <f t="shared" si="253"/>
        <v>1417000</v>
      </c>
      <c r="AV251" s="389">
        <f t="shared" si="254"/>
        <v>1532521.8</v>
      </c>
      <c r="AW251" s="353" t="s">
        <v>465</v>
      </c>
      <c r="AX251" s="403" t="s">
        <v>275</v>
      </c>
      <c r="AY251" s="404" t="s">
        <v>276</v>
      </c>
      <c r="AZ251" s="1" t="s">
        <v>451</v>
      </c>
    </row>
    <row r="252" spans="1:52" ht="15" customHeight="1">
      <c r="A252" s="1" t="str">
        <f t="shared" si="227"/>
        <v>TSX:CG_2023_</v>
      </c>
      <c r="B252" s="1" t="str">
        <f t="shared" si="232"/>
        <v>TSX:CG_2023_CFO</v>
      </c>
      <c r="C252" s="114" t="str">
        <f t="shared" si="197"/>
        <v>TSX:CG</v>
      </c>
      <c r="D252" s="133" t="str">
        <f>_xll.ciqfunctions.udf.CIQ(C252,"IQ_Company_Name")</f>
        <v>Centerra Gold Inc.</v>
      </c>
      <c r="E252" s="114">
        <f t="shared" si="257"/>
        <v>2023</v>
      </c>
      <c r="F252" s="114" t="str">
        <f t="shared" si="242"/>
        <v>2023-01-01</v>
      </c>
      <c r="G252" s="330" t="str">
        <f t="shared" si="217"/>
        <v>2023-12-31</v>
      </c>
      <c r="H252" s="114">
        <f t="shared" si="247"/>
        <v>12</v>
      </c>
      <c r="I252" s="407" t="str">
        <f t="shared" si="255"/>
        <v>CAD</v>
      </c>
      <c r="J252" s="461">
        <f t="shared" si="233"/>
        <v>1</v>
      </c>
      <c r="K252" s="468"/>
      <c r="L252" s="465" t="str">
        <f t="shared" ref="L252:N253" si="259">L251</f>
        <v>CFO</v>
      </c>
      <c r="M252" s="123" t="str">
        <f t="shared" si="259"/>
        <v>EVP, CFO</v>
      </c>
      <c r="N252" s="132" t="str">
        <f t="shared" si="259"/>
        <v>Ryan Snyder</v>
      </c>
      <c r="O252" s="219" t="s">
        <v>78</v>
      </c>
      <c r="P252" s="125" t="str">
        <f t="shared" si="258"/>
        <v>-</v>
      </c>
      <c r="Q252" s="311" t="s">
        <v>78</v>
      </c>
      <c r="R252" s="126" t="str">
        <f>IFERROR(IF((Q252*$J252)=0,"-",(Q252*$J252)),"-")</f>
        <v>-</v>
      </c>
      <c r="S252" s="221" t="s">
        <v>78</v>
      </c>
      <c r="T252" s="125" t="str">
        <f>IFERROR(S252*(12/$H252)*$J252,"-")</f>
        <v>-</v>
      </c>
      <c r="U252" s="127" t="str">
        <f t="shared" si="243"/>
        <v>-</v>
      </c>
      <c r="V252" s="128"/>
      <c r="W252" s="223" t="s">
        <v>78</v>
      </c>
      <c r="X252" s="129" t="str">
        <f t="shared" si="244"/>
        <v>-</v>
      </c>
      <c r="Y252" s="124" t="str">
        <f t="shared" si="249"/>
        <v>-</v>
      </c>
      <c r="Z252" s="130" t="str">
        <f t="shared" si="250"/>
        <v>-</v>
      </c>
      <c r="AA252" s="221" t="s">
        <v>78</v>
      </c>
      <c r="AB252" s="225" t="s">
        <v>78</v>
      </c>
      <c r="AC252" s="225" t="s">
        <v>78</v>
      </c>
      <c r="AD252" s="225" t="s">
        <v>78</v>
      </c>
      <c r="AE252" s="225" t="s">
        <v>78</v>
      </c>
      <c r="AF252" s="125" t="str">
        <f>IFERROR(IF(SUM(AA252:AE252)=0,IF(COUNTIF($AA252:$AE252,"=0")&gt;0,"$0","-"),SUM(AA252:AE252)),"-")</f>
        <v>-</v>
      </c>
      <c r="AG252" s="127" t="str">
        <f t="shared" si="245"/>
        <v>-</v>
      </c>
      <c r="AH252" s="128"/>
      <c r="AI252" s="223" t="s">
        <v>78</v>
      </c>
      <c r="AJ252" s="131" t="str">
        <f t="shared" si="246"/>
        <v>-</v>
      </c>
      <c r="AK252" s="368" t="str">
        <f t="shared" si="239"/>
        <v>-</v>
      </c>
      <c r="AL252" s="375" t="str">
        <f t="shared" si="251"/>
        <v>-</v>
      </c>
      <c r="AM252" s="376" t="str">
        <f t="shared" si="252"/>
        <v>-</v>
      </c>
      <c r="AN252" s="394" t="s">
        <v>78</v>
      </c>
      <c r="AO252" s="395" t="s">
        <v>78</v>
      </c>
      <c r="AP252" s="396" t="str">
        <f t="shared" si="229"/>
        <v>-</v>
      </c>
      <c r="AQ252" s="397"/>
      <c r="AR252" s="401" t="s">
        <v>78</v>
      </c>
      <c r="AS252" s="396" t="str">
        <f t="shared" si="230"/>
        <v>-</v>
      </c>
      <c r="AT252" s="397"/>
      <c r="AU252" s="388" t="str">
        <f t="shared" si="253"/>
        <v>-</v>
      </c>
      <c r="AV252" s="389" t="str">
        <f t="shared" si="254"/>
        <v>-</v>
      </c>
      <c r="AW252" s="353" t="s">
        <v>78</v>
      </c>
      <c r="AX252" s="403" t="s">
        <v>275</v>
      </c>
      <c r="AY252" s="404" t="s">
        <v>276</v>
      </c>
      <c r="AZ252" s="1" t="s">
        <v>451</v>
      </c>
    </row>
    <row r="253" spans="1:52" ht="15" customHeight="1">
      <c r="A253" s="1" t="str">
        <f t="shared" si="227"/>
        <v>TSX:CG_2022_</v>
      </c>
      <c r="B253" s="1" t="str">
        <f t="shared" si="232"/>
        <v>TSX:CG_2022_CFO</v>
      </c>
      <c r="C253" s="114" t="str">
        <f t="shared" si="197"/>
        <v>TSX:CG</v>
      </c>
      <c r="D253" s="133" t="str">
        <f>_xll.ciqfunctions.udf.CIQ(C253,"IQ_Company_Name")</f>
        <v>Centerra Gold Inc.</v>
      </c>
      <c r="E253" s="114">
        <f t="shared" si="257"/>
        <v>2022</v>
      </c>
      <c r="F253" s="114" t="str">
        <f t="shared" si="242"/>
        <v>2022-01-01</v>
      </c>
      <c r="G253" s="330" t="str">
        <f t="shared" si="217"/>
        <v>2022-12-31</v>
      </c>
      <c r="H253" s="114">
        <f t="shared" si="247"/>
        <v>12</v>
      </c>
      <c r="I253" s="407" t="str">
        <f t="shared" si="255"/>
        <v>CAD</v>
      </c>
      <c r="J253" s="461">
        <f t="shared" si="233"/>
        <v>1</v>
      </c>
      <c r="K253" s="468"/>
      <c r="L253" s="465" t="str">
        <f t="shared" si="259"/>
        <v>CFO</v>
      </c>
      <c r="M253" s="123" t="str">
        <f t="shared" si="259"/>
        <v>EVP, CFO</v>
      </c>
      <c r="N253" s="132" t="str">
        <f t="shared" si="259"/>
        <v>Ryan Snyder</v>
      </c>
      <c r="O253" s="219" t="s">
        <v>78</v>
      </c>
      <c r="P253" s="125" t="str">
        <f t="shared" si="258"/>
        <v>-</v>
      </c>
      <c r="Q253" s="311"/>
      <c r="R253" s="126"/>
      <c r="S253" s="221" t="s">
        <v>78</v>
      </c>
      <c r="T253" s="125"/>
      <c r="U253" s="127"/>
      <c r="V253" s="128"/>
      <c r="W253" s="223" t="s">
        <v>78</v>
      </c>
      <c r="X253" s="129"/>
      <c r="Y253" s="124"/>
      <c r="Z253" s="130"/>
      <c r="AA253" s="221" t="s">
        <v>78</v>
      </c>
      <c r="AB253" s="225" t="s">
        <v>78</v>
      </c>
      <c r="AC253" s="225" t="s">
        <v>78</v>
      </c>
      <c r="AD253" s="225" t="s">
        <v>78</v>
      </c>
      <c r="AE253" s="225" t="s">
        <v>78</v>
      </c>
      <c r="AF253" s="125"/>
      <c r="AG253" s="127"/>
      <c r="AH253" s="128"/>
      <c r="AI253" s="223" t="s">
        <v>78</v>
      </c>
      <c r="AJ253" s="131"/>
      <c r="AK253" s="368"/>
      <c r="AL253" s="375"/>
      <c r="AM253" s="376"/>
      <c r="AN253" s="394" t="s">
        <v>78</v>
      </c>
      <c r="AO253" s="395" t="s">
        <v>78</v>
      </c>
      <c r="AP253" s="396" t="str">
        <f t="shared" si="229"/>
        <v>-</v>
      </c>
      <c r="AQ253" s="397"/>
      <c r="AR253" s="401" t="s">
        <v>78</v>
      </c>
      <c r="AS253" s="396" t="str">
        <f t="shared" si="230"/>
        <v>-</v>
      </c>
      <c r="AT253" s="397"/>
      <c r="AU253" s="388" t="str">
        <f t="shared" si="253"/>
        <v>-</v>
      </c>
      <c r="AV253" s="389" t="str">
        <f t="shared" si="254"/>
        <v>-</v>
      </c>
      <c r="AW253" s="353" t="s">
        <v>78</v>
      </c>
      <c r="AX253" s="403" t="s">
        <v>275</v>
      </c>
      <c r="AY253" s="404" t="s">
        <v>276</v>
      </c>
      <c r="AZ253" s="1" t="s">
        <v>451</v>
      </c>
    </row>
    <row r="254" spans="1:52" ht="15" customHeight="1">
      <c r="A254" s="1" t="str">
        <f t="shared" si="227"/>
        <v>TSX:CG_2024_COO</v>
      </c>
      <c r="B254" s="1" t="str">
        <f t="shared" si="232"/>
        <v>TSX:CG_2024_NEO1</v>
      </c>
      <c r="C254" s="114" t="str">
        <f t="shared" si="197"/>
        <v>TSX:CG</v>
      </c>
      <c r="D254" s="133" t="str">
        <f>_xll.ciqfunctions.udf.CIQ(C254,"IQ_Company_Name")</f>
        <v>Centerra Gold Inc.</v>
      </c>
      <c r="E254" s="114">
        <f t="shared" si="257"/>
        <v>2024</v>
      </c>
      <c r="F254" s="330" t="str">
        <f t="shared" si="242"/>
        <v>2024-01-01</v>
      </c>
      <c r="G254" s="330" t="str">
        <f t="shared" si="217"/>
        <v>2024-12-31</v>
      </c>
      <c r="H254" s="114">
        <f t="shared" si="247"/>
        <v>12</v>
      </c>
      <c r="I254" s="407" t="str">
        <f t="shared" si="255"/>
        <v>CAD</v>
      </c>
      <c r="J254" s="461">
        <f t="shared" si="233"/>
        <v>1</v>
      </c>
      <c r="K254" s="468" t="s">
        <v>277</v>
      </c>
      <c r="L254" s="464" t="s">
        <v>107</v>
      </c>
      <c r="M254" s="217" t="s">
        <v>338</v>
      </c>
      <c r="N254" s="218" t="s">
        <v>339</v>
      </c>
      <c r="O254" s="219">
        <v>550000</v>
      </c>
      <c r="P254" s="125">
        <f t="shared" si="258"/>
        <v>550000</v>
      </c>
      <c r="Q254" s="311" t="s">
        <v>78</v>
      </c>
      <c r="R254" s="126" t="str">
        <f t="shared" ref="R254:R262" si="260">IFERROR(IF((Q254*$J254)=0,"-",(Q254*$J254)),"-")</f>
        <v>-</v>
      </c>
      <c r="S254" s="221">
        <v>404800</v>
      </c>
      <c r="T254" s="125">
        <f t="shared" ref="T254:T262" si="261">IFERROR(S254*(12/$H254)*$J254,"-")</f>
        <v>404800</v>
      </c>
      <c r="U254" s="127">
        <f t="shared" si="243"/>
        <v>0.73599999999999999</v>
      </c>
      <c r="V254" s="128">
        <f>IFERROR(AVERAGE(U254:U256),"N/A")</f>
        <v>0.76714895973330421</v>
      </c>
      <c r="W254" s="223">
        <v>0.8</v>
      </c>
      <c r="X254" s="129">
        <f t="shared" si="244"/>
        <v>440000</v>
      </c>
      <c r="Y254" s="124">
        <f t="shared" ref="Y254:Y262" si="262">IFERROR(IF(SUM(P254,T254)=0,"-",SUM(P254,T254)),"-")</f>
        <v>954800</v>
      </c>
      <c r="Z254" s="130">
        <f t="shared" ref="Z254:Z262" si="263">IFERROR(IF(SUM(P254,X254)=0,"-",SUM(P254,X254)),"-")</f>
        <v>990000</v>
      </c>
      <c r="AA254" s="221">
        <f>742500/3</f>
        <v>247500</v>
      </c>
      <c r="AB254" s="225">
        <f>742500*0.666666666666667</f>
        <v>495000.00000000023</v>
      </c>
      <c r="AC254" s="225">
        <v>247500</v>
      </c>
      <c r="AD254" s="225" t="s">
        <v>78</v>
      </c>
      <c r="AE254" s="225" t="s">
        <v>78</v>
      </c>
      <c r="AF254" s="125">
        <f t="shared" ref="AF254:AF262" si="264">IFERROR(IF(SUM(AA254:AE254)=0,IF(COUNTIF($AA254:$AE254,"=0")&gt;0,"$0","-"),SUM(AA254:AE254)),"-")</f>
        <v>990000.00000000023</v>
      </c>
      <c r="AG254" s="127">
        <f t="shared" si="245"/>
        <v>1.8000000000000005</v>
      </c>
      <c r="AH254" s="128">
        <f>IFERROR(AVERAGE(AG254:AG256),"N/A")</f>
        <v>1.3910932920122787</v>
      </c>
      <c r="AI254" s="223">
        <f>+(90+45+45)%</f>
        <v>1.8</v>
      </c>
      <c r="AJ254" s="131">
        <f t="shared" si="246"/>
        <v>990000</v>
      </c>
      <c r="AK254" s="368">
        <f t="shared" si="239"/>
        <v>990000.00000000023</v>
      </c>
      <c r="AL254" s="375">
        <f t="shared" ref="AL254:AL262" si="265">IFERROR(IF(SUM(Y254,AK254)=0,"-",SUM(Y254,AK254)),"-")</f>
        <v>1944800.0000000002</v>
      </c>
      <c r="AM254" s="376">
        <f t="shared" si="252"/>
        <v>1980000</v>
      </c>
      <c r="AN254" s="394">
        <v>114576</v>
      </c>
      <c r="AO254" s="395" t="s">
        <v>274</v>
      </c>
      <c r="AP254" s="396">
        <f t="shared" si="229"/>
        <v>114576</v>
      </c>
      <c r="AQ254" s="397">
        <f>IFERROR(AVERAGE(AP254:AP256),"N/A")</f>
        <v>110840.44827586207</v>
      </c>
      <c r="AR254" s="401">
        <v>62218</v>
      </c>
      <c r="AS254" s="396">
        <f t="shared" si="230"/>
        <v>62218</v>
      </c>
      <c r="AT254" s="397">
        <f>IFERROR(AVERAGE(AS254:AS256),"N/A")</f>
        <v>48623.505747126437</v>
      </c>
      <c r="AU254" s="388">
        <f t="shared" si="253"/>
        <v>2121594</v>
      </c>
      <c r="AV254" s="389">
        <f t="shared" si="254"/>
        <v>2156794</v>
      </c>
      <c r="AW254" s="353" t="s">
        <v>340</v>
      </c>
      <c r="AX254" s="403" t="s">
        <v>275</v>
      </c>
      <c r="AY254" s="404" t="s">
        <v>276</v>
      </c>
      <c r="AZ254" s="1" t="s">
        <v>451</v>
      </c>
    </row>
    <row r="255" spans="1:52" ht="15" customHeight="1">
      <c r="A255" s="1" t="str">
        <f t="shared" si="227"/>
        <v>TSX:CG_2023_COO</v>
      </c>
      <c r="B255" s="1" t="str">
        <f t="shared" si="232"/>
        <v>TSX:CG_2023_NEO1</v>
      </c>
      <c r="C255" s="114" t="str">
        <f t="shared" si="197"/>
        <v>TSX:CG</v>
      </c>
      <c r="D255" s="133" t="str">
        <f>_xll.ciqfunctions.udf.CIQ(C255,"IQ_Company_Name")</f>
        <v>Centerra Gold Inc.</v>
      </c>
      <c r="E255" s="114">
        <f t="shared" si="257"/>
        <v>2023</v>
      </c>
      <c r="F255" s="330" t="str">
        <f t="shared" si="242"/>
        <v>2023-01-01</v>
      </c>
      <c r="G255" s="330" t="str">
        <f t="shared" si="217"/>
        <v>2023-12-31</v>
      </c>
      <c r="H255" s="114">
        <f t="shared" si="247"/>
        <v>12</v>
      </c>
      <c r="I255" s="407" t="str">
        <f t="shared" si="255"/>
        <v>CAD</v>
      </c>
      <c r="J255" s="461">
        <f t="shared" si="233"/>
        <v>1</v>
      </c>
      <c r="K255" s="468" t="s">
        <v>277</v>
      </c>
      <c r="L255" s="465" t="str">
        <f t="shared" ref="L255:N256" si="266">L254</f>
        <v>NEO1</v>
      </c>
      <c r="M255" s="123" t="str">
        <f t="shared" si="266"/>
        <v>EVP, COO</v>
      </c>
      <c r="N255" s="132" t="str">
        <f t="shared" si="266"/>
        <v>Paul Chawrun</v>
      </c>
      <c r="O255" s="219">
        <v>515000</v>
      </c>
      <c r="P255" s="125">
        <f t="shared" si="258"/>
        <v>515000</v>
      </c>
      <c r="Q255" s="311" t="s">
        <v>78</v>
      </c>
      <c r="R255" s="126" t="str">
        <f t="shared" si="260"/>
        <v>-</v>
      </c>
      <c r="S255" s="221">
        <v>440428</v>
      </c>
      <c r="T255" s="125">
        <f t="shared" si="261"/>
        <v>440428</v>
      </c>
      <c r="U255" s="127">
        <f t="shared" si="243"/>
        <v>0.85519999999999996</v>
      </c>
      <c r="V255" s="128"/>
      <c r="W255" s="223" t="s">
        <v>78</v>
      </c>
      <c r="X255" s="129">
        <f t="shared" si="244"/>
        <v>0</v>
      </c>
      <c r="Y255" s="124">
        <f t="shared" si="262"/>
        <v>955428</v>
      </c>
      <c r="Z255" s="130">
        <f t="shared" si="263"/>
        <v>515000</v>
      </c>
      <c r="AA255" s="221">
        <f>695250/3</f>
        <v>231750</v>
      </c>
      <c r="AB255" s="225">
        <f>695250*0.666666666666667</f>
        <v>463500.00000000023</v>
      </c>
      <c r="AC255" s="225">
        <v>231750</v>
      </c>
      <c r="AD255" s="225" t="s">
        <v>78</v>
      </c>
      <c r="AE255" s="225" t="s">
        <v>78</v>
      </c>
      <c r="AF255" s="125">
        <f t="shared" si="264"/>
        <v>927000.00000000023</v>
      </c>
      <c r="AG255" s="127">
        <f t="shared" si="245"/>
        <v>1.8000000000000005</v>
      </c>
      <c r="AH255" s="128"/>
      <c r="AI255" s="223" t="s">
        <v>78</v>
      </c>
      <c r="AJ255" s="131">
        <f t="shared" si="246"/>
        <v>0</v>
      </c>
      <c r="AK255" s="368">
        <f t="shared" si="239"/>
        <v>927000.00000000023</v>
      </c>
      <c r="AL255" s="375">
        <f t="shared" si="265"/>
        <v>1882428.0000000002</v>
      </c>
      <c r="AM255" s="376">
        <f t="shared" si="252"/>
        <v>515000</v>
      </c>
      <c r="AN255" s="394">
        <v>111240</v>
      </c>
      <c r="AO255" s="395" t="s">
        <v>274</v>
      </c>
      <c r="AP255" s="396">
        <f t="shared" si="229"/>
        <v>111240</v>
      </c>
      <c r="AQ255" s="397"/>
      <c r="AR255" s="401">
        <v>38300</v>
      </c>
      <c r="AS255" s="396">
        <f t="shared" si="230"/>
        <v>38300</v>
      </c>
      <c r="AT255" s="397"/>
      <c r="AU255" s="388">
        <f t="shared" si="253"/>
        <v>2031968.0000000002</v>
      </c>
      <c r="AV255" s="389">
        <f t="shared" si="254"/>
        <v>664540</v>
      </c>
      <c r="AW255" s="353" t="s">
        <v>78</v>
      </c>
      <c r="AX255" s="403" t="s">
        <v>275</v>
      </c>
      <c r="AY255" s="404" t="s">
        <v>276</v>
      </c>
      <c r="AZ255" s="1" t="s">
        <v>451</v>
      </c>
    </row>
    <row r="256" spans="1:52" ht="15" customHeight="1">
      <c r="A256" s="1" t="str">
        <f t="shared" si="227"/>
        <v>TSX:CG_2022_COO</v>
      </c>
      <c r="B256" s="1" t="str">
        <f t="shared" si="232"/>
        <v>TSX:CG_2022_NEO1</v>
      </c>
      <c r="C256" s="114" t="str">
        <f t="shared" si="197"/>
        <v>TSX:CG</v>
      </c>
      <c r="D256" s="133" t="str">
        <f>_xll.ciqfunctions.udf.CIQ(C256,"IQ_Company_Name")</f>
        <v>Centerra Gold Inc.</v>
      </c>
      <c r="E256" s="114">
        <f t="shared" si="257"/>
        <v>2022</v>
      </c>
      <c r="F256" s="328" t="str">
        <f>E256&amp;"-09-06"</f>
        <v>2022-09-06</v>
      </c>
      <c r="G256" s="330" t="str">
        <f t="shared" si="217"/>
        <v>2022-12-31</v>
      </c>
      <c r="H256" s="114">
        <f t="shared" si="247"/>
        <v>3.8241758241758239</v>
      </c>
      <c r="I256" s="407" t="str">
        <f t="shared" si="255"/>
        <v>CAD</v>
      </c>
      <c r="J256" s="461">
        <f t="shared" si="233"/>
        <v>1</v>
      </c>
      <c r="K256" s="468" t="s">
        <v>277</v>
      </c>
      <c r="L256" s="465" t="str">
        <f t="shared" si="266"/>
        <v>NEO1</v>
      </c>
      <c r="M256" s="123" t="str">
        <f t="shared" si="266"/>
        <v>EVP, COO</v>
      </c>
      <c r="N256" s="132" t="str">
        <f t="shared" si="266"/>
        <v>Paul Chawrun</v>
      </c>
      <c r="O256" s="219">
        <v>165182</v>
      </c>
      <c r="P256" s="125">
        <f t="shared" si="258"/>
        <v>518329.72413793107</v>
      </c>
      <c r="Q256" s="311" t="s">
        <v>78</v>
      </c>
      <c r="R256" s="126" t="str">
        <f t="shared" si="260"/>
        <v>-</v>
      </c>
      <c r="S256" s="221">
        <v>117320</v>
      </c>
      <c r="T256" s="125">
        <f t="shared" si="261"/>
        <v>368142.06896551728</v>
      </c>
      <c r="U256" s="127">
        <f t="shared" si="243"/>
        <v>0.71024687919991281</v>
      </c>
      <c r="V256" s="128"/>
      <c r="W256" s="223" t="s">
        <v>78</v>
      </c>
      <c r="X256" s="129">
        <f t="shared" si="244"/>
        <v>0</v>
      </c>
      <c r="Y256" s="124">
        <f t="shared" si="262"/>
        <v>886471.79310344835</v>
      </c>
      <c r="Z256" s="130">
        <f t="shared" si="263"/>
        <v>518329.72413793107</v>
      </c>
      <c r="AA256" s="221">
        <f>148574/3</f>
        <v>49524.666666666664</v>
      </c>
      <c r="AB256" s="225">
        <f>148574*0.666666666666667</f>
        <v>99049.333333333372</v>
      </c>
      <c r="AC256" s="225">
        <v>148574</v>
      </c>
      <c r="AD256" s="225" t="s">
        <v>78</v>
      </c>
      <c r="AE256" s="225" t="s">
        <v>78</v>
      </c>
      <c r="AF256" s="125">
        <f t="shared" si="264"/>
        <v>297148</v>
      </c>
      <c r="AG256" s="127">
        <f t="shared" si="245"/>
        <v>0.57327987603683495</v>
      </c>
      <c r="AH256" s="128"/>
      <c r="AI256" s="223" t="s">
        <v>78</v>
      </c>
      <c r="AJ256" s="131">
        <f t="shared" si="246"/>
        <v>0</v>
      </c>
      <c r="AK256" s="368">
        <f t="shared" si="239"/>
        <v>297148</v>
      </c>
      <c r="AL256" s="375">
        <f t="shared" si="265"/>
        <v>1183619.7931034483</v>
      </c>
      <c r="AM256" s="376">
        <f t="shared" si="252"/>
        <v>518329.72413793107</v>
      </c>
      <c r="AN256" s="394">
        <v>34005</v>
      </c>
      <c r="AO256" s="395" t="s">
        <v>274</v>
      </c>
      <c r="AP256" s="396">
        <f t="shared" si="229"/>
        <v>106705.34482758622</v>
      </c>
      <c r="AQ256" s="397"/>
      <c r="AR256" s="401">
        <v>14453</v>
      </c>
      <c r="AS256" s="396">
        <f t="shared" si="230"/>
        <v>45352.517241379312</v>
      </c>
      <c r="AT256" s="397"/>
      <c r="AU256" s="388">
        <f t="shared" si="253"/>
        <v>1335677.6551724139</v>
      </c>
      <c r="AV256" s="389">
        <f t="shared" si="254"/>
        <v>670387.5862068967</v>
      </c>
      <c r="AW256" s="353" t="s">
        <v>78</v>
      </c>
      <c r="AX256" s="403" t="s">
        <v>275</v>
      </c>
      <c r="AY256" s="404" t="s">
        <v>276</v>
      </c>
      <c r="AZ256" s="1" t="s">
        <v>451</v>
      </c>
    </row>
    <row r="257" spans="1:52" ht="15" customHeight="1">
      <c r="A257" s="1" t="str">
        <f t="shared" si="227"/>
        <v>TSX:CG_2024_Legal</v>
      </c>
      <c r="B257" s="1" t="str">
        <f t="shared" si="232"/>
        <v>TSX:CG_2024_NEO2</v>
      </c>
      <c r="C257" s="114" t="str">
        <f t="shared" si="197"/>
        <v>TSX:CG</v>
      </c>
      <c r="D257" s="133" t="str">
        <f>_xll.ciqfunctions.udf.CIQ(C257,"IQ_Company_Name")</f>
        <v>Centerra Gold Inc.</v>
      </c>
      <c r="E257" s="114">
        <f t="shared" si="257"/>
        <v>2024</v>
      </c>
      <c r="F257" s="114" t="str">
        <f t="shared" si="242"/>
        <v>2024-01-01</v>
      </c>
      <c r="G257" s="330" t="str">
        <f t="shared" si="217"/>
        <v>2024-12-31</v>
      </c>
      <c r="H257" s="114">
        <f t="shared" si="247"/>
        <v>12</v>
      </c>
      <c r="I257" s="407" t="str">
        <f t="shared" si="255"/>
        <v>CAD</v>
      </c>
      <c r="J257" s="461">
        <f t="shared" si="233"/>
        <v>1</v>
      </c>
      <c r="K257" s="468" t="s">
        <v>468</v>
      </c>
      <c r="L257" s="464" t="s">
        <v>108</v>
      </c>
      <c r="M257" s="217" t="s">
        <v>341</v>
      </c>
      <c r="N257" s="218" t="s">
        <v>342</v>
      </c>
      <c r="O257" s="219">
        <v>445000</v>
      </c>
      <c r="P257" s="125">
        <f t="shared" si="258"/>
        <v>445000</v>
      </c>
      <c r="Q257" s="311" t="s">
        <v>78</v>
      </c>
      <c r="R257" s="126" t="str">
        <f t="shared" si="260"/>
        <v>-</v>
      </c>
      <c r="S257" s="221">
        <v>279126</v>
      </c>
      <c r="T257" s="125">
        <f t="shared" si="261"/>
        <v>279126</v>
      </c>
      <c r="U257" s="127">
        <f t="shared" si="243"/>
        <v>0.62724943820224721</v>
      </c>
      <c r="V257" s="128">
        <f>IFERROR(AVERAGE(U257:U259),"N/A")</f>
        <v>0.69366217228464411</v>
      </c>
      <c r="W257" s="223">
        <v>0.65</v>
      </c>
      <c r="X257" s="129">
        <f t="shared" si="244"/>
        <v>289250</v>
      </c>
      <c r="Y257" s="124">
        <f t="shared" si="262"/>
        <v>724126</v>
      </c>
      <c r="Z257" s="130">
        <f t="shared" si="263"/>
        <v>734250</v>
      </c>
      <c r="AA257" s="426">
        <f>534000/3</f>
        <v>178000</v>
      </c>
      <c r="AB257" s="422">
        <f>534000*0.666666666666667</f>
        <v>356000.00000000017</v>
      </c>
      <c r="AC257" s="225">
        <v>178000</v>
      </c>
      <c r="AD257" s="225" t="s">
        <v>78</v>
      </c>
      <c r="AE257" s="225" t="s">
        <v>78</v>
      </c>
      <c r="AF257" s="125">
        <f t="shared" si="264"/>
        <v>712000.00000000023</v>
      </c>
      <c r="AG257" s="127">
        <f t="shared" si="245"/>
        <v>1.6000000000000005</v>
      </c>
      <c r="AH257" s="128">
        <f>IFERROR(AVERAGE(AG257:AG259),"N/A")</f>
        <v>1.6000000000000005</v>
      </c>
      <c r="AI257" s="223">
        <f>+(80+40+40)%</f>
        <v>1.6</v>
      </c>
      <c r="AJ257" s="131">
        <f t="shared" si="246"/>
        <v>712000</v>
      </c>
      <c r="AK257" s="368">
        <f t="shared" si="239"/>
        <v>712000.00000000023</v>
      </c>
      <c r="AL257" s="375">
        <f t="shared" si="265"/>
        <v>1436126.0000000002</v>
      </c>
      <c r="AM257" s="376">
        <f t="shared" si="252"/>
        <v>1446250</v>
      </c>
      <c r="AN257" s="394">
        <v>86895</v>
      </c>
      <c r="AO257" s="395" t="s">
        <v>274</v>
      </c>
      <c r="AP257" s="396">
        <f t="shared" si="229"/>
        <v>86895</v>
      </c>
      <c r="AQ257" s="397">
        <f>IFERROR(AVERAGE(AP257:AP259),"N/A")</f>
        <v>87705</v>
      </c>
      <c r="AR257" s="439">
        <v>72696</v>
      </c>
      <c r="AS257" s="396">
        <f t="shared" si="230"/>
        <v>72696</v>
      </c>
      <c r="AT257" s="397">
        <f>IFERROR(AVERAGE(AS257:AS259),"N/A")</f>
        <v>54277.666666666664</v>
      </c>
      <c r="AU257" s="388">
        <f t="shared" si="253"/>
        <v>1595717.0000000002</v>
      </c>
      <c r="AV257" s="389">
        <f t="shared" si="254"/>
        <v>1605841</v>
      </c>
      <c r="AW257" s="353" t="s">
        <v>78</v>
      </c>
      <c r="AX257" s="403" t="s">
        <v>275</v>
      </c>
      <c r="AY257" s="404" t="s">
        <v>276</v>
      </c>
      <c r="AZ257" s="1" t="s">
        <v>451</v>
      </c>
    </row>
    <row r="258" spans="1:52" ht="15" customHeight="1">
      <c r="A258" s="1" t="str">
        <f t="shared" si="227"/>
        <v>TSX:CG_2023_Legal</v>
      </c>
      <c r="B258" s="1" t="str">
        <f t="shared" si="232"/>
        <v>TSX:CG_2023_NEO2</v>
      </c>
      <c r="C258" s="114" t="str">
        <f t="shared" si="197"/>
        <v>TSX:CG</v>
      </c>
      <c r="D258" s="133" t="str">
        <f>_xll.ciqfunctions.udf.CIQ(C258,"IQ_Company_Name")</f>
        <v>Centerra Gold Inc.</v>
      </c>
      <c r="E258" s="114">
        <f t="shared" si="257"/>
        <v>2023</v>
      </c>
      <c r="F258" s="114" t="str">
        <f t="shared" si="242"/>
        <v>2023-01-01</v>
      </c>
      <c r="G258" s="330" t="str">
        <f t="shared" si="217"/>
        <v>2023-12-31</v>
      </c>
      <c r="H258" s="114">
        <f t="shared" si="247"/>
        <v>12</v>
      </c>
      <c r="I258" s="407" t="str">
        <f t="shared" si="255"/>
        <v>CAD</v>
      </c>
      <c r="J258" s="461">
        <f t="shared" si="233"/>
        <v>1</v>
      </c>
      <c r="K258" s="468" t="s">
        <v>468</v>
      </c>
      <c r="L258" s="465" t="str">
        <f t="shared" ref="L258:N259" si="267">L257</f>
        <v>NEO2</v>
      </c>
      <c r="M258" s="123" t="str">
        <f t="shared" si="267"/>
        <v>EVP, Legal &amp; Public Affairs</v>
      </c>
      <c r="N258" s="132" t="str">
        <f t="shared" si="267"/>
        <v>Yousef Rehman</v>
      </c>
      <c r="O258" s="219">
        <v>445000</v>
      </c>
      <c r="P258" s="125">
        <f t="shared" si="258"/>
        <v>445000</v>
      </c>
      <c r="Q258" s="311" t="s">
        <v>78</v>
      </c>
      <c r="R258" s="126" t="str">
        <f t="shared" si="260"/>
        <v>-</v>
      </c>
      <c r="S258" s="221">
        <v>291853</v>
      </c>
      <c r="T258" s="125">
        <f t="shared" si="261"/>
        <v>291853</v>
      </c>
      <c r="U258" s="127">
        <f t="shared" si="243"/>
        <v>0.65584943820224717</v>
      </c>
      <c r="V258" s="128"/>
      <c r="W258" s="223" t="s">
        <v>78</v>
      </c>
      <c r="X258" s="129">
        <f t="shared" si="244"/>
        <v>0</v>
      </c>
      <c r="Y258" s="124">
        <f t="shared" si="262"/>
        <v>736853</v>
      </c>
      <c r="Z258" s="130">
        <f t="shared" si="263"/>
        <v>445000</v>
      </c>
      <c r="AA258" s="426">
        <f>534000/3</f>
        <v>178000</v>
      </c>
      <c r="AB258" s="422">
        <f>534000*0.666666666666667</f>
        <v>356000.00000000017</v>
      </c>
      <c r="AC258" s="225">
        <v>178000</v>
      </c>
      <c r="AD258" s="225" t="s">
        <v>78</v>
      </c>
      <c r="AE258" s="225" t="s">
        <v>78</v>
      </c>
      <c r="AF258" s="125">
        <f t="shared" si="264"/>
        <v>712000.00000000023</v>
      </c>
      <c r="AG258" s="127">
        <f t="shared" si="245"/>
        <v>1.6000000000000005</v>
      </c>
      <c r="AH258" s="128"/>
      <c r="AI258" s="223" t="s">
        <v>78</v>
      </c>
      <c r="AJ258" s="131">
        <f t="shared" si="246"/>
        <v>0</v>
      </c>
      <c r="AK258" s="368">
        <f t="shared" si="239"/>
        <v>712000.00000000023</v>
      </c>
      <c r="AL258" s="375">
        <f t="shared" si="265"/>
        <v>1448853.0000000002</v>
      </c>
      <c r="AM258" s="376">
        <f t="shared" si="252"/>
        <v>445000</v>
      </c>
      <c r="AN258" s="394">
        <v>88110</v>
      </c>
      <c r="AO258" s="395" t="s">
        <v>274</v>
      </c>
      <c r="AP258" s="396">
        <f t="shared" si="229"/>
        <v>88110</v>
      </c>
      <c r="AQ258" s="397"/>
      <c r="AR258" s="401">
        <v>38300</v>
      </c>
      <c r="AS258" s="396">
        <f t="shared" si="230"/>
        <v>38300</v>
      </c>
      <c r="AT258" s="397"/>
      <c r="AU258" s="388">
        <f t="shared" si="253"/>
        <v>1575263.0000000002</v>
      </c>
      <c r="AV258" s="389">
        <f t="shared" si="254"/>
        <v>571410</v>
      </c>
      <c r="AW258" s="353" t="s">
        <v>78</v>
      </c>
      <c r="AX258" s="403" t="s">
        <v>275</v>
      </c>
      <c r="AY258" s="404" t="s">
        <v>276</v>
      </c>
      <c r="AZ258" s="1" t="s">
        <v>451</v>
      </c>
    </row>
    <row r="259" spans="1:52" ht="15" customHeight="1">
      <c r="A259" s="1" t="str">
        <f t="shared" si="227"/>
        <v>TSX:CG_2022_Legal</v>
      </c>
      <c r="B259" s="1" t="str">
        <f t="shared" si="232"/>
        <v>TSX:CG_2022_NEO2</v>
      </c>
      <c r="C259" s="114" t="str">
        <f t="shared" si="197"/>
        <v>TSX:CG</v>
      </c>
      <c r="D259" s="133" t="str">
        <f>_xll.ciqfunctions.udf.CIQ(C259,"IQ_Company_Name")</f>
        <v>Centerra Gold Inc.</v>
      </c>
      <c r="E259" s="114">
        <f t="shared" si="257"/>
        <v>2022</v>
      </c>
      <c r="F259" s="114" t="str">
        <f t="shared" si="242"/>
        <v>2022-01-01</v>
      </c>
      <c r="G259" s="330" t="str">
        <f t="shared" si="217"/>
        <v>2022-12-31</v>
      </c>
      <c r="H259" s="114">
        <f t="shared" si="247"/>
        <v>12</v>
      </c>
      <c r="I259" s="407" t="str">
        <f t="shared" si="255"/>
        <v>CAD</v>
      </c>
      <c r="J259" s="461">
        <f t="shared" si="233"/>
        <v>1</v>
      </c>
      <c r="K259" s="468" t="s">
        <v>468</v>
      </c>
      <c r="L259" s="465" t="str">
        <f t="shared" si="267"/>
        <v>NEO2</v>
      </c>
      <c r="M259" s="123" t="str">
        <f t="shared" si="267"/>
        <v>EVP, Legal &amp; Public Affairs</v>
      </c>
      <c r="N259" s="132" t="str">
        <f t="shared" si="267"/>
        <v>Yousef Rehman</v>
      </c>
      <c r="O259" s="219">
        <v>445000</v>
      </c>
      <c r="P259" s="125">
        <f t="shared" si="258"/>
        <v>445000</v>
      </c>
      <c r="Q259" s="311" t="s">
        <v>78</v>
      </c>
      <c r="R259" s="126" t="str">
        <f t="shared" si="260"/>
        <v>-</v>
      </c>
      <c r="S259" s="221">
        <v>355060</v>
      </c>
      <c r="T259" s="125">
        <f t="shared" si="261"/>
        <v>355060</v>
      </c>
      <c r="U259" s="127">
        <f t="shared" si="243"/>
        <v>0.79788764044943816</v>
      </c>
      <c r="V259" s="128"/>
      <c r="W259" s="223" t="s">
        <v>78</v>
      </c>
      <c r="X259" s="129">
        <f t="shared" si="244"/>
        <v>0</v>
      </c>
      <c r="Y259" s="124">
        <f t="shared" si="262"/>
        <v>800060</v>
      </c>
      <c r="Z259" s="130">
        <f t="shared" si="263"/>
        <v>445000</v>
      </c>
      <c r="AA259" s="426">
        <f>356000/3</f>
        <v>118666.66666666667</v>
      </c>
      <c r="AB259" s="422">
        <f>356000*0.666666666666667</f>
        <v>237333.33333333343</v>
      </c>
      <c r="AC259" s="225">
        <v>356000</v>
      </c>
      <c r="AD259" s="225" t="s">
        <v>78</v>
      </c>
      <c r="AE259" s="225" t="s">
        <v>78</v>
      </c>
      <c r="AF259" s="125">
        <f t="shared" si="264"/>
        <v>712000.00000000012</v>
      </c>
      <c r="AG259" s="127">
        <f t="shared" si="245"/>
        <v>1.6000000000000003</v>
      </c>
      <c r="AH259" s="128"/>
      <c r="AI259" s="223" t="s">
        <v>78</v>
      </c>
      <c r="AJ259" s="131">
        <f t="shared" si="246"/>
        <v>0</v>
      </c>
      <c r="AK259" s="368">
        <f t="shared" si="239"/>
        <v>712000.00000000012</v>
      </c>
      <c r="AL259" s="375">
        <f t="shared" si="265"/>
        <v>1512060</v>
      </c>
      <c r="AM259" s="376">
        <f t="shared" si="252"/>
        <v>445000</v>
      </c>
      <c r="AN259" s="394">
        <v>88110</v>
      </c>
      <c r="AO259" s="395" t="s">
        <v>274</v>
      </c>
      <c r="AP259" s="396">
        <f t="shared" si="229"/>
        <v>88110</v>
      </c>
      <c r="AQ259" s="397"/>
      <c r="AR259" s="439">
        <v>51837</v>
      </c>
      <c r="AS259" s="396">
        <f t="shared" si="230"/>
        <v>51837</v>
      </c>
      <c r="AT259" s="397"/>
      <c r="AU259" s="388">
        <f t="shared" si="253"/>
        <v>1652007</v>
      </c>
      <c r="AV259" s="389">
        <f t="shared" si="254"/>
        <v>584947</v>
      </c>
      <c r="AW259" s="353" t="s">
        <v>78</v>
      </c>
      <c r="AX259" s="403" t="s">
        <v>275</v>
      </c>
      <c r="AY259" s="404" t="s">
        <v>276</v>
      </c>
      <c r="AZ259" s="1" t="s">
        <v>451</v>
      </c>
    </row>
    <row r="260" spans="1:52" ht="15" customHeight="1">
      <c r="A260" s="1" t="str">
        <f t="shared" si="227"/>
        <v>TSX:CG_2024_</v>
      </c>
      <c r="B260" s="1" t="str">
        <f t="shared" si="232"/>
        <v>TSX:CG_2024_NEO3</v>
      </c>
      <c r="C260" s="114" t="str">
        <f t="shared" si="197"/>
        <v>TSX:CG</v>
      </c>
      <c r="D260" s="133" t="str">
        <f>_xll.ciqfunctions.udf.CIQ(C260,"IQ_Company_Name")</f>
        <v>Centerra Gold Inc.</v>
      </c>
      <c r="E260" s="114">
        <f t="shared" si="257"/>
        <v>2024</v>
      </c>
      <c r="F260" s="114" t="str">
        <f t="shared" si="242"/>
        <v>2024-01-01</v>
      </c>
      <c r="G260" s="330" t="str">
        <f t="shared" si="217"/>
        <v>2024-12-31</v>
      </c>
      <c r="H260" s="114">
        <f t="shared" si="247"/>
        <v>12</v>
      </c>
      <c r="I260" s="407" t="str">
        <f t="shared" si="255"/>
        <v>CAD</v>
      </c>
      <c r="J260" s="461">
        <f t="shared" si="233"/>
        <v>1</v>
      </c>
      <c r="K260" s="468"/>
      <c r="L260" s="464" t="s">
        <v>109</v>
      </c>
      <c r="M260" s="217" t="s">
        <v>343</v>
      </c>
      <c r="N260" s="218" t="s">
        <v>344</v>
      </c>
      <c r="O260" s="219">
        <v>430000</v>
      </c>
      <c r="P260" s="125">
        <f t="shared" si="258"/>
        <v>430000</v>
      </c>
      <c r="Q260" s="311" t="s">
        <v>78</v>
      </c>
      <c r="R260" s="126" t="str">
        <f t="shared" si="260"/>
        <v>-</v>
      </c>
      <c r="S260" s="221">
        <v>311643</v>
      </c>
      <c r="T260" s="125">
        <f t="shared" si="261"/>
        <v>311643</v>
      </c>
      <c r="U260" s="127">
        <f t="shared" si="243"/>
        <v>0.72475116279069762</v>
      </c>
      <c r="V260" s="128">
        <f>IFERROR(AVERAGE(U260:U262),"N/A")</f>
        <v>0.67837519379844968</v>
      </c>
      <c r="W260" s="223">
        <v>0.65</v>
      </c>
      <c r="X260" s="129">
        <f t="shared" si="244"/>
        <v>279500</v>
      </c>
      <c r="Y260" s="124">
        <f t="shared" si="262"/>
        <v>741643</v>
      </c>
      <c r="Z260" s="130">
        <f t="shared" si="263"/>
        <v>709500</v>
      </c>
      <c r="AA260" s="426">
        <f>516000/3</f>
        <v>172000</v>
      </c>
      <c r="AB260" s="422">
        <f>516000*0.666666666666667</f>
        <v>344000.00000000017</v>
      </c>
      <c r="AC260" s="225">
        <v>172000</v>
      </c>
      <c r="AD260" s="225" t="s">
        <v>78</v>
      </c>
      <c r="AE260" s="225" t="s">
        <v>78</v>
      </c>
      <c r="AF260" s="125">
        <f t="shared" si="264"/>
        <v>688000.00000000023</v>
      </c>
      <c r="AG260" s="127">
        <f t="shared" si="245"/>
        <v>1.6000000000000005</v>
      </c>
      <c r="AH260" s="128">
        <f>IFERROR(AVERAGE(AG260:AG262),"N/A")</f>
        <v>1.6000000000000005</v>
      </c>
      <c r="AI260" s="223">
        <f>+(80+40+40)%</f>
        <v>1.6</v>
      </c>
      <c r="AJ260" s="131">
        <f t="shared" si="246"/>
        <v>688000</v>
      </c>
      <c r="AK260" s="368">
        <f t="shared" si="239"/>
        <v>688000.00000000023</v>
      </c>
      <c r="AL260" s="375">
        <f t="shared" si="265"/>
        <v>1429643.0000000002</v>
      </c>
      <c r="AM260" s="376">
        <f t="shared" si="252"/>
        <v>1397500</v>
      </c>
      <c r="AN260" s="394">
        <v>85140</v>
      </c>
      <c r="AO260" s="395" t="s">
        <v>274</v>
      </c>
      <c r="AP260" s="396">
        <f t="shared" si="229"/>
        <v>85140</v>
      </c>
      <c r="AQ260" s="397">
        <f>IFERROR(AVERAGE(AP260:AP262),"N/A")</f>
        <v>84879</v>
      </c>
      <c r="AR260" s="401">
        <v>39809</v>
      </c>
      <c r="AS260" s="396">
        <f t="shared" si="230"/>
        <v>39809</v>
      </c>
      <c r="AT260" s="397">
        <f>IFERROR(AVERAGE(AS260:AS262),"N/A")</f>
        <v>122003.66666666667</v>
      </c>
      <c r="AU260" s="388">
        <f t="shared" si="253"/>
        <v>1554592.0000000002</v>
      </c>
      <c r="AV260" s="389">
        <f t="shared" si="254"/>
        <v>1522449</v>
      </c>
      <c r="AW260" s="353" t="s">
        <v>78</v>
      </c>
      <c r="AX260" s="403" t="s">
        <v>275</v>
      </c>
      <c r="AY260" s="404" t="s">
        <v>276</v>
      </c>
      <c r="AZ260" s="1" t="s">
        <v>451</v>
      </c>
    </row>
    <row r="261" spans="1:52" ht="15" customHeight="1">
      <c r="A261" s="1" t="str">
        <f t="shared" si="227"/>
        <v>TSX:CG_2023_</v>
      </c>
      <c r="B261" s="1" t="str">
        <f t="shared" si="232"/>
        <v>TSX:CG_2023_NEO3</v>
      </c>
      <c r="C261" s="114" t="str">
        <f t="shared" ref="C261:C322" si="268">C260</f>
        <v>TSX:CG</v>
      </c>
      <c r="D261" s="133" t="str">
        <f>_xll.ciqfunctions.udf.CIQ(C261,"IQ_Company_Name")</f>
        <v>Centerra Gold Inc.</v>
      </c>
      <c r="E261" s="114">
        <f t="shared" si="257"/>
        <v>2023</v>
      </c>
      <c r="F261" s="114" t="str">
        <f t="shared" si="242"/>
        <v>2023-01-01</v>
      </c>
      <c r="G261" s="330" t="str">
        <f t="shared" si="217"/>
        <v>2023-12-31</v>
      </c>
      <c r="H261" s="114">
        <f t="shared" si="247"/>
        <v>12</v>
      </c>
      <c r="I261" s="407" t="str">
        <f t="shared" si="255"/>
        <v>CAD</v>
      </c>
      <c r="J261" s="461">
        <f t="shared" si="233"/>
        <v>1</v>
      </c>
      <c r="K261" s="468"/>
      <c r="L261" s="465" t="str">
        <f t="shared" ref="L261:N262" si="269">L260</f>
        <v>NEO3</v>
      </c>
      <c r="M261" s="123" t="str">
        <f t="shared" si="269"/>
        <v>EVP, People, Technology &amp; Supply Chain</v>
      </c>
      <c r="N261" s="132" t="str">
        <f t="shared" si="269"/>
        <v>Claudio D'Orazio</v>
      </c>
      <c r="O261" s="219">
        <v>430000</v>
      </c>
      <c r="P261" s="125">
        <f t="shared" si="258"/>
        <v>430000</v>
      </c>
      <c r="Q261" s="311" t="s">
        <v>78</v>
      </c>
      <c r="R261" s="126" t="str">
        <f t="shared" si="260"/>
        <v>-</v>
      </c>
      <c r="S261" s="221">
        <v>290490</v>
      </c>
      <c r="T261" s="125">
        <f t="shared" si="261"/>
        <v>290490</v>
      </c>
      <c r="U261" s="127">
        <f t="shared" si="243"/>
        <v>0.67555813953488375</v>
      </c>
      <c r="V261" s="128"/>
      <c r="W261" s="223" t="s">
        <v>78</v>
      </c>
      <c r="X261" s="129">
        <f t="shared" si="244"/>
        <v>0</v>
      </c>
      <c r="Y261" s="124">
        <f t="shared" si="262"/>
        <v>720490</v>
      </c>
      <c r="Z261" s="130">
        <f t="shared" si="263"/>
        <v>430000</v>
      </c>
      <c r="AA261" s="426">
        <f>516000/3</f>
        <v>172000</v>
      </c>
      <c r="AB261" s="422">
        <f>516000*0.666666666666667</f>
        <v>344000.00000000017</v>
      </c>
      <c r="AC261" s="225">
        <v>172000</v>
      </c>
      <c r="AD261" s="225" t="s">
        <v>78</v>
      </c>
      <c r="AE261" s="225" t="s">
        <v>78</v>
      </c>
      <c r="AF261" s="125">
        <f t="shared" si="264"/>
        <v>688000.00000000023</v>
      </c>
      <c r="AG261" s="127">
        <f t="shared" si="245"/>
        <v>1.6000000000000005</v>
      </c>
      <c r="AH261" s="128"/>
      <c r="AI261" s="223" t="s">
        <v>78</v>
      </c>
      <c r="AJ261" s="131">
        <f t="shared" si="246"/>
        <v>0</v>
      </c>
      <c r="AK261" s="368">
        <f t="shared" si="239"/>
        <v>688000.00000000023</v>
      </c>
      <c r="AL261" s="375">
        <f t="shared" si="265"/>
        <v>1408490.0000000002</v>
      </c>
      <c r="AM261" s="376">
        <f t="shared" si="252"/>
        <v>430000</v>
      </c>
      <c r="AN261" s="394">
        <v>85140</v>
      </c>
      <c r="AO261" s="395" t="s">
        <v>274</v>
      </c>
      <c r="AP261" s="396">
        <f t="shared" si="229"/>
        <v>85140</v>
      </c>
      <c r="AQ261" s="397"/>
      <c r="AR261" s="401">
        <v>147467</v>
      </c>
      <c r="AS261" s="396">
        <f t="shared" si="230"/>
        <v>147467</v>
      </c>
      <c r="AT261" s="397"/>
      <c r="AU261" s="388">
        <f t="shared" si="253"/>
        <v>1641097.0000000002</v>
      </c>
      <c r="AV261" s="389">
        <f t="shared" si="254"/>
        <v>662607</v>
      </c>
      <c r="AW261" s="353" t="s">
        <v>78</v>
      </c>
      <c r="AX261" s="403" t="s">
        <v>275</v>
      </c>
      <c r="AY261" s="404" t="s">
        <v>276</v>
      </c>
      <c r="AZ261" s="1" t="s">
        <v>451</v>
      </c>
    </row>
    <row r="262" spans="1:52" ht="15" customHeight="1">
      <c r="A262" s="1" t="str">
        <f t="shared" si="227"/>
        <v>TSX:CG_2022_</v>
      </c>
      <c r="B262" s="1" t="str">
        <f t="shared" si="232"/>
        <v>TSX:CG_2022_NEO3</v>
      </c>
      <c r="C262" s="203" t="str">
        <f t="shared" si="268"/>
        <v>TSX:CG</v>
      </c>
      <c r="D262" s="205" t="str">
        <f>_xll.ciqfunctions.udf.CIQ(C262,"IQ_Company_Name")</f>
        <v>Centerra Gold Inc.</v>
      </c>
      <c r="E262" s="204">
        <f t="shared" si="257"/>
        <v>2022</v>
      </c>
      <c r="F262" s="204" t="str">
        <f t="shared" si="242"/>
        <v>2022-01-01</v>
      </c>
      <c r="G262" s="331" t="str">
        <f t="shared" si="217"/>
        <v>2022-12-31</v>
      </c>
      <c r="H262" s="204">
        <f t="shared" si="247"/>
        <v>12</v>
      </c>
      <c r="I262" s="408" t="str">
        <f t="shared" si="255"/>
        <v>CAD</v>
      </c>
      <c r="J262" s="463">
        <f t="shared" si="233"/>
        <v>1</v>
      </c>
      <c r="K262" s="470"/>
      <c r="L262" s="466" t="str">
        <f t="shared" si="269"/>
        <v>NEO3</v>
      </c>
      <c r="M262" s="206" t="str">
        <f t="shared" si="269"/>
        <v>EVP, People, Technology &amp; Supply Chain</v>
      </c>
      <c r="N262" s="207" t="str">
        <f t="shared" si="269"/>
        <v>Claudio D'Orazio</v>
      </c>
      <c r="O262" s="220">
        <v>430000</v>
      </c>
      <c r="P262" s="209">
        <f t="shared" si="258"/>
        <v>430000</v>
      </c>
      <c r="Q262" s="312" t="s">
        <v>78</v>
      </c>
      <c r="R262" s="329" t="str">
        <f t="shared" si="260"/>
        <v>-</v>
      </c>
      <c r="S262" s="222">
        <v>272971</v>
      </c>
      <c r="T262" s="209">
        <f t="shared" si="261"/>
        <v>272971</v>
      </c>
      <c r="U262" s="211">
        <f t="shared" si="243"/>
        <v>0.63481627906976745</v>
      </c>
      <c r="V262" s="212"/>
      <c r="W262" s="224" t="s">
        <v>78</v>
      </c>
      <c r="X262" s="213">
        <f t="shared" si="244"/>
        <v>0</v>
      </c>
      <c r="Y262" s="208">
        <f t="shared" si="262"/>
        <v>702971</v>
      </c>
      <c r="Z262" s="214">
        <f t="shared" si="263"/>
        <v>430000</v>
      </c>
      <c r="AA262" s="440">
        <f>344000/3</f>
        <v>114666.66666666667</v>
      </c>
      <c r="AB262" s="441">
        <f>344000*0.666666666666667</f>
        <v>229333.33333333343</v>
      </c>
      <c r="AC262" s="226">
        <v>344000</v>
      </c>
      <c r="AD262" s="226" t="s">
        <v>78</v>
      </c>
      <c r="AE262" s="226" t="s">
        <v>78</v>
      </c>
      <c r="AF262" s="420">
        <f t="shared" si="264"/>
        <v>688000.00000000012</v>
      </c>
      <c r="AG262" s="211">
        <f t="shared" si="245"/>
        <v>1.6000000000000003</v>
      </c>
      <c r="AH262" s="212"/>
      <c r="AI262" s="224" t="s">
        <v>78</v>
      </c>
      <c r="AJ262" s="215">
        <f t="shared" si="246"/>
        <v>0</v>
      </c>
      <c r="AK262" s="369">
        <f t="shared" si="239"/>
        <v>688000.00000000012</v>
      </c>
      <c r="AL262" s="377">
        <f t="shared" si="265"/>
        <v>1390971</v>
      </c>
      <c r="AM262" s="378">
        <f t="shared" si="252"/>
        <v>430000</v>
      </c>
      <c r="AN262" s="398">
        <v>84357</v>
      </c>
      <c r="AO262" s="399" t="s">
        <v>274</v>
      </c>
      <c r="AP262" s="396">
        <f t="shared" si="229"/>
        <v>84357</v>
      </c>
      <c r="AQ262" s="400"/>
      <c r="AR262" s="402">
        <v>178735</v>
      </c>
      <c r="AS262" s="396">
        <f t="shared" si="230"/>
        <v>178735</v>
      </c>
      <c r="AT262" s="400"/>
      <c r="AU262" s="390">
        <f t="shared" si="253"/>
        <v>1654063</v>
      </c>
      <c r="AV262" s="391">
        <f t="shared" si="254"/>
        <v>693092</v>
      </c>
      <c r="AW262" s="354" t="s">
        <v>78</v>
      </c>
      <c r="AX262" s="405" t="s">
        <v>275</v>
      </c>
      <c r="AY262" s="406" t="s">
        <v>276</v>
      </c>
      <c r="AZ262" s="1" t="s">
        <v>451</v>
      </c>
    </row>
    <row r="263" spans="1:52" ht="15" customHeight="1">
      <c r="A263" s="1" t="str">
        <f t="shared" si="227"/>
        <v>0_2024_</v>
      </c>
      <c r="B263" s="1" t="str">
        <f t="shared" si="232"/>
        <v>0_2024_CEO</v>
      </c>
      <c r="C263" s="216">
        <f>D19</f>
        <v>0</v>
      </c>
      <c r="D263" s="133" t="str">
        <f>_xll.ciqfunctions.udf.CIQ(C263,"IQ_Company_Name")</f>
        <v>(Invalid Identifier)</v>
      </c>
      <c r="E263" s="328">
        <f>$F$9</f>
        <v>2024</v>
      </c>
      <c r="F263" s="330" t="str">
        <f t="shared" si="242"/>
        <v>2024-01-01</v>
      </c>
      <c r="G263" s="330" t="str">
        <f t="shared" si="217"/>
        <v>2024-12-31</v>
      </c>
      <c r="H263" s="114">
        <f t="shared" si="247"/>
        <v>12</v>
      </c>
      <c r="I263" s="328" t="str">
        <f>$G$5</f>
        <v>CAD</v>
      </c>
      <c r="J263" s="461">
        <f t="shared" si="233"/>
        <v>1</v>
      </c>
      <c r="K263" s="468"/>
      <c r="L263" s="464" t="s">
        <v>79</v>
      </c>
      <c r="M263" s="217" t="s">
        <v>78</v>
      </c>
      <c r="N263" s="218" t="s">
        <v>78</v>
      </c>
      <c r="O263" s="219" t="s">
        <v>78</v>
      </c>
      <c r="P263" s="125" t="str">
        <f t="shared" ref="P263:P323" si="270">IFERROR(O263*(12/$H263)*$J263,"-")</f>
        <v>-</v>
      </c>
      <c r="Q263" s="311" t="s">
        <v>78</v>
      </c>
      <c r="R263" s="126" t="str">
        <f t="shared" ref="R263:R324" si="271">IFERROR(IF((Q263*$J263)=0,"-",(Q263*$J263)),"-")</f>
        <v>-</v>
      </c>
      <c r="S263" s="221" t="s">
        <v>78</v>
      </c>
      <c r="T263" s="125" t="str">
        <f t="shared" ref="T263:T324" si="272">IFERROR(S263*(12/$H263)*$J263,"-")</f>
        <v>-</v>
      </c>
      <c r="U263" s="127" t="str">
        <f t="shared" si="243"/>
        <v>-</v>
      </c>
      <c r="V263" s="128" t="str">
        <f>IFERROR(AVERAGE(U263:U265),"N/A")</f>
        <v>N/A</v>
      </c>
      <c r="W263" s="223" t="s">
        <v>78</v>
      </c>
      <c r="X263" s="129" t="str">
        <f t="shared" si="244"/>
        <v>-</v>
      </c>
      <c r="Y263" s="124" t="str">
        <f t="shared" si="249"/>
        <v>-</v>
      </c>
      <c r="Z263" s="130" t="str">
        <f t="shared" si="250"/>
        <v>-</v>
      </c>
      <c r="AA263" s="221" t="s">
        <v>78</v>
      </c>
      <c r="AB263" s="225" t="s">
        <v>78</v>
      </c>
      <c r="AC263" s="225" t="s">
        <v>78</v>
      </c>
      <c r="AD263" s="225" t="s">
        <v>78</v>
      </c>
      <c r="AE263" s="225" t="s">
        <v>78</v>
      </c>
      <c r="AF263" s="125" t="str">
        <f t="shared" si="235"/>
        <v>-</v>
      </c>
      <c r="AG263" s="127" t="str">
        <f t="shared" si="245"/>
        <v>-</v>
      </c>
      <c r="AH263" s="128" t="str">
        <f>IFERROR(AVERAGE(AG263:AG265),"N/A")</f>
        <v>N/A</v>
      </c>
      <c r="AI263" s="223" t="s">
        <v>78</v>
      </c>
      <c r="AJ263" s="131" t="str">
        <f>IFERROR(IF(ISNUMBER($AI263)=TRUE, $AI263*$P263, $AH263*$P263), "-")</f>
        <v>-</v>
      </c>
      <c r="AK263" s="368" t="str">
        <f t="shared" ref="AK263:AK294" si="273">IFERROR($AF263*$J263,"-")</f>
        <v>-</v>
      </c>
      <c r="AL263" s="375" t="str">
        <f t="shared" si="251"/>
        <v>-</v>
      </c>
      <c r="AM263" s="376" t="str">
        <f t="shared" si="252"/>
        <v>-</v>
      </c>
      <c r="AN263" s="394" t="s">
        <v>78</v>
      </c>
      <c r="AO263" s="395" t="s">
        <v>78</v>
      </c>
      <c r="AP263" s="396" t="str">
        <f t="shared" si="229"/>
        <v>-</v>
      </c>
      <c r="AQ263" s="409" t="str">
        <f>IFERROR(AVERAGE(AP263:AP265),"N/A")</f>
        <v>N/A</v>
      </c>
      <c r="AR263" s="401" t="s">
        <v>78</v>
      </c>
      <c r="AS263" s="396" t="str">
        <f t="shared" si="230"/>
        <v>-</v>
      </c>
      <c r="AT263" s="409" t="str">
        <f>IFERROR(AVERAGE(AS263:AS265),"N/A")</f>
        <v>N/A</v>
      </c>
      <c r="AU263" s="388" t="str">
        <f t="shared" si="253"/>
        <v>-</v>
      </c>
      <c r="AV263" s="389" t="str">
        <f t="shared" si="254"/>
        <v>-</v>
      </c>
      <c r="AW263" s="353" t="s">
        <v>78</v>
      </c>
      <c r="AX263" s="403"/>
      <c r="AY263" s="404"/>
    </row>
    <row r="264" spans="1:52" ht="15" customHeight="1">
      <c r="A264" s="1" t="str">
        <f t="shared" si="227"/>
        <v>0_2023_</v>
      </c>
      <c r="B264" s="1" t="str">
        <f t="shared" si="232"/>
        <v>0_2023_CEO</v>
      </c>
      <c r="C264" s="114">
        <f>C263</f>
        <v>0</v>
      </c>
      <c r="D264" s="133" t="str">
        <f>_xll.ciqfunctions.udf.CIQ(C264,"IQ_Company_Name")</f>
        <v>(Invalid Identifier)</v>
      </c>
      <c r="E264" s="328">
        <f>$F$10</f>
        <v>2023</v>
      </c>
      <c r="F264" s="330" t="str">
        <f t="shared" si="242"/>
        <v>2023-01-01</v>
      </c>
      <c r="G264" s="330" t="str">
        <f t="shared" si="217"/>
        <v>2023-12-31</v>
      </c>
      <c r="H264" s="114">
        <f t="shared" si="247"/>
        <v>12</v>
      </c>
      <c r="I264" s="407" t="str">
        <f>I263</f>
        <v>CAD</v>
      </c>
      <c r="J264" s="461">
        <f t="shared" si="233"/>
        <v>1</v>
      </c>
      <c r="K264" s="468"/>
      <c r="L264" s="465" t="str">
        <f t="shared" ref="L264:N265" si="274">L263</f>
        <v>CEO</v>
      </c>
      <c r="M264" s="123" t="str">
        <f t="shared" si="274"/>
        <v>-</v>
      </c>
      <c r="N264" s="132" t="str">
        <f t="shared" si="274"/>
        <v>-</v>
      </c>
      <c r="O264" s="219" t="s">
        <v>78</v>
      </c>
      <c r="P264" s="125" t="str">
        <f t="shared" si="270"/>
        <v>-</v>
      </c>
      <c r="Q264" s="311" t="s">
        <v>78</v>
      </c>
      <c r="R264" s="126" t="str">
        <f t="shared" si="271"/>
        <v>-</v>
      </c>
      <c r="S264" s="221" t="s">
        <v>78</v>
      </c>
      <c r="T264" s="125" t="str">
        <f t="shared" si="272"/>
        <v>-</v>
      </c>
      <c r="U264" s="127" t="str">
        <f t="shared" si="243"/>
        <v>-</v>
      </c>
      <c r="V264" s="128"/>
      <c r="W264" s="223" t="s">
        <v>78</v>
      </c>
      <c r="X264" s="129" t="str">
        <f t="shared" si="244"/>
        <v>-</v>
      </c>
      <c r="Y264" s="124" t="str">
        <f t="shared" si="249"/>
        <v>-</v>
      </c>
      <c r="Z264" s="130" t="str">
        <f t="shared" si="250"/>
        <v>-</v>
      </c>
      <c r="AA264" s="221" t="s">
        <v>78</v>
      </c>
      <c r="AB264" s="225" t="s">
        <v>78</v>
      </c>
      <c r="AC264" s="225" t="s">
        <v>78</v>
      </c>
      <c r="AD264" s="225" t="s">
        <v>78</v>
      </c>
      <c r="AE264" s="225" t="s">
        <v>78</v>
      </c>
      <c r="AF264" s="125" t="str">
        <f t="shared" si="235"/>
        <v>-</v>
      </c>
      <c r="AG264" s="127" t="str">
        <f t="shared" si="245"/>
        <v>-</v>
      </c>
      <c r="AH264" s="128"/>
      <c r="AI264" s="223" t="s">
        <v>78</v>
      </c>
      <c r="AJ264" s="131" t="str">
        <f t="shared" si="246"/>
        <v>-</v>
      </c>
      <c r="AK264" s="368" t="str">
        <f t="shared" si="273"/>
        <v>-</v>
      </c>
      <c r="AL264" s="375" t="str">
        <f t="shared" si="251"/>
        <v>-</v>
      </c>
      <c r="AM264" s="376" t="str">
        <f t="shared" si="252"/>
        <v>-</v>
      </c>
      <c r="AN264" s="394" t="s">
        <v>78</v>
      </c>
      <c r="AO264" s="395" t="s">
        <v>78</v>
      </c>
      <c r="AP264" s="396" t="str">
        <f t="shared" si="229"/>
        <v>-</v>
      </c>
      <c r="AQ264" s="397"/>
      <c r="AR264" s="401" t="s">
        <v>78</v>
      </c>
      <c r="AS264" s="396" t="str">
        <f t="shared" si="230"/>
        <v>-</v>
      </c>
      <c r="AT264" s="397"/>
      <c r="AU264" s="388" t="str">
        <f t="shared" si="253"/>
        <v>-</v>
      </c>
      <c r="AV264" s="389" t="str">
        <f t="shared" si="254"/>
        <v>-</v>
      </c>
      <c r="AW264" s="353" t="s">
        <v>78</v>
      </c>
      <c r="AX264" s="403"/>
      <c r="AY264" s="404"/>
    </row>
    <row r="265" spans="1:52" ht="15" customHeight="1">
      <c r="A265" s="1" t="str">
        <f t="shared" si="227"/>
        <v>0_2022_</v>
      </c>
      <c r="B265" s="1" t="str">
        <f t="shared" si="232"/>
        <v>0_2022_CEO</v>
      </c>
      <c r="C265" s="114">
        <f t="shared" si="268"/>
        <v>0</v>
      </c>
      <c r="D265" s="133" t="str">
        <f>_xll.ciqfunctions.udf.CIQ(C265,"IQ_Company_Name")</f>
        <v>(Invalid Identifier)</v>
      </c>
      <c r="E265" s="328">
        <f>$F$11</f>
        <v>2022</v>
      </c>
      <c r="F265" s="114" t="str">
        <f t="shared" si="242"/>
        <v>2022-01-01</v>
      </c>
      <c r="G265" s="330" t="str">
        <f t="shared" si="217"/>
        <v>2022-12-31</v>
      </c>
      <c r="H265" s="114">
        <f t="shared" si="247"/>
        <v>12</v>
      </c>
      <c r="I265" s="407" t="str">
        <f>I264</f>
        <v>CAD</v>
      </c>
      <c r="J265" s="461">
        <f t="shared" si="233"/>
        <v>1</v>
      </c>
      <c r="K265" s="468"/>
      <c r="L265" s="465" t="str">
        <f t="shared" si="274"/>
        <v>CEO</v>
      </c>
      <c r="M265" s="123" t="str">
        <f t="shared" si="274"/>
        <v>-</v>
      </c>
      <c r="N265" s="132" t="str">
        <f t="shared" si="274"/>
        <v>-</v>
      </c>
      <c r="O265" s="219" t="s">
        <v>78</v>
      </c>
      <c r="P265" s="125" t="str">
        <f t="shared" si="270"/>
        <v>-</v>
      </c>
      <c r="Q265" s="311" t="s">
        <v>78</v>
      </c>
      <c r="R265" s="126" t="str">
        <f t="shared" si="271"/>
        <v>-</v>
      </c>
      <c r="S265" s="221" t="s">
        <v>78</v>
      </c>
      <c r="T265" s="125" t="str">
        <f t="shared" si="272"/>
        <v>-</v>
      </c>
      <c r="U265" s="127" t="str">
        <f t="shared" si="243"/>
        <v>-</v>
      </c>
      <c r="V265" s="128"/>
      <c r="W265" s="223" t="s">
        <v>78</v>
      </c>
      <c r="X265" s="129" t="str">
        <f t="shared" si="244"/>
        <v>-</v>
      </c>
      <c r="Y265" s="124" t="str">
        <f t="shared" si="249"/>
        <v>-</v>
      </c>
      <c r="Z265" s="130" t="str">
        <f t="shared" si="250"/>
        <v>-</v>
      </c>
      <c r="AA265" s="221" t="s">
        <v>78</v>
      </c>
      <c r="AB265" s="225" t="s">
        <v>78</v>
      </c>
      <c r="AC265" s="225" t="s">
        <v>78</v>
      </c>
      <c r="AD265" s="225" t="s">
        <v>78</v>
      </c>
      <c r="AE265" s="225" t="s">
        <v>78</v>
      </c>
      <c r="AF265" s="125" t="str">
        <f t="shared" si="235"/>
        <v>-</v>
      </c>
      <c r="AG265" s="127" t="str">
        <f t="shared" si="245"/>
        <v>-</v>
      </c>
      <c r="AH265" s="128"/>
      <c r="AI265" s="223" t="s">
        <v>78</v>
      </c>
      <c r="AJ265" s="131" t="str">
        <f t="shared" si="246"/>
        <v>-</v>
      </c>
      <c r="AK265" s="368" t="str">
        <f t="shared" si="273"/>
        <v>-</v>
      </c>
      <c r="AL265" s="375" t="str">
        <f t="shared" si="251"/>
        <v>-</v>
      </c>
      <c r="AM265" s="376" t="str">
        <f t="shared" si="252"/>
        <v>-</v>
      </c>
      <c r="AN265" s="394" t="s">
        <v>78</v>
      </c>
      <c r="AO265" s="395" t="s">
        <v>78</v>
      </c>
      <c r="AP265" s="396" t="str">
        <f t="shared" si="229"/>
        <v>-</v>
      </c>
      <c r="AQ265" s="397"/>
      <c r="AR265" s="401" t="s">
        <v>78</v>
      </c>
      <c r="AS265" s="396" t="str">
        <f t="shared" si="230"/>
        <v>-</v>
      </c>
      <c r="AT265" s="397"/>
      <c r="AU265" s="388" t="str">
        <f t="shared" si="253"/>
        <v>-</v>
      </c>
      <c r="AV265" s="389" t="str">
        <f t="shared" si="254"/>
        <v>-</v>
      </c>
      <c r="AW265" s="353" t="s">
        <v>78</v>
      </c>
      <c r="AX265" s="403"/>
      <c r="AY265" s="404"/>
    </row>
    <row r="266" spans="1:52" ht="15" customHeight="1">
      <c r="A266" s="1" t="str">
        <f t="shared" si="227"/>
        <v>0_2024_</v>
      </c>
      <c r="B266" s="1" t="str">
        <f t="shared" si="232"/>
        <v>0_2024_CFO</v>
      </c>
      <c r="C266" s="114">
        <f t="shared" si="268"/>
        <v>0</v>
      </c>
      <c r="D266" s="133" t="str">
        <f>_xll.ciqfunctions.udf.CIQ(C266,"IQ_Company_Name")</f>
        <v>(Invalid Identifier)</v>
      </c>
      <c r="E266" s="114">
        <f t="shared" ref="E266:E314" si="275">E263</f>
        <v>2024</v>
      </c>
      <c r="F266" s="114" t="str">
        <f t="shared" si="242"/>
        <v>2024-01-01</v>
      </c>
      <c r="G266" s="330" t="str">
        <f t="shared" si="217"/>
        <v>2024-12-31</v>
      </c>
      <c r="H266" s="114">
        <f t="shared" si="247"/>
        <v>12</v>
      </c>
      <c r="I266" s="407" t="str">
        <f>I265</f>
        <v>CAD</v>
      </c>
      <c r="J266" s="461">
        <f t="shared" si="233"/>
        <v>1</v>
      </c>
      <c r="K266" s="468"/>
      <c r="L266" s="464" t="s">
        <v>106</v>
      </c>
      <c r="M266" s="217" t="s">
        <v>78</v>
      </c>
      <c r="N266" s="218" t="s">
        <v>78</v>
      </c>
      <c r="O266" s="219" t="s">
        <v>78</v>
      </c>
      <c r="P266" s="125" t="str">
        <f t="shared" si="270"/>
        <v>-</v>
      </c>
      <c r="Q266" s="311" t="s">
        <v>78</v>
      </c>
      <c r="R266" s="126" t="str">
        <f t="shared" si="271"/>
        <v>-</v>
      </c>
      <c r="S266" s="221" t="s">
        <v>78</v>
      </c>
      <c r="T266" s="125" t="str">
        <f t="shared" si="272"/>
        <v>-</v>
      </c>
      <c r="U266" s="127" t="str">
        <f t="shared" si="243"/>
        <v>-</v>
      </c>
      <c r="V266" s="128" t="str">
        <f>IFERROR(AVERAGE(U266:U268),"N/A")</f>
        <v>N/A</v>
      </c>
      <c r="W266" s="223" t="s">
        <v>78</v>
      </c>
      <c r="X266" s="129" t="str">
        <f t="shared" si="244"/>
        <v>-</v>
      </c>
      <c r="Y266" s="124" t="str">
        <f t="shared" si="249"/>
        <v>-</v>
      </c>
      <c r="Z266" s="130" t="str">
        <f t="shared" si="250"/>
        <v>-</v>
      </c>
      <c r="AA266" s="221" t="s">
        <v>78</v>
      </c>
      <c r="AB266" s="225" t="s">
        <v>78</v>
      </c>
      <c r="AC266" s="225" t="s">
        <v>78</v>
      </c>
      <c r="AD266" s="225" t="s">
        <v>78</v>
      </c>
      <c r="AE266" s="225" t="s">
        <v>78</v>
      </c>
      <c r="AF266" s="125" t="str">
        <f t="shared" si="235"/>
        <v>-</v>
      </c>
      <c r="AG266" s="127" t="str">
        <f t="shared" si="245"/>
        <v>-</v>
      </c>
      <c r="AH266" s="128" t="str">
        <f>IFERROR(AVERAGE(AG266:AG268),"N/A")</f>
        <v>N/A</v>
      </c>
      <c r="AI266" s="223" t="s">
        <v>78</v>
      </c>
      <c r="AJ266" s="131" t="str">
        <f t="shared" si="246"/>
        <v>-</v>
      </c>
      <c r="AK266" s="368" t="str">
        <f t="shared" si="273"/>
        <v>-</v>
      </c>
      <c r="AL266" s="375" t="str">
        <f t="shared" si="251"/>
        <v>-</v>
      </c>
      <c r="AM266" s="376" t="str">
        <f t="shared" si="252"/>
        <v>-</v>
      </c>
      <c r="AN266" s="394" t="s">
        <v>78</v>
      </c>
      <c r="AO266" s="395" t="s">
        <v>78</v>
      </c>
      <c r="AP266" s="396" t="str">
        <f t="shared" si="229"/>
        <v>-</v>
      </c>
      <c r="AQ266" s="397" t="str">
        <f>IFERROR(AVERAGE(AP266:AP268),"N/A")</f>
        <v>N/A</v>
      </c>
      <c r="AR266" s="401" t="s">
        <v>78</v>
      </c>
      <c r="AS266" s="396" t="str">
        <f t="shared" si="230"/>
        <v>-</v>
      </c>
      <c r="AT266" s="397" t="str">
        <f>IFERROR(AVERAGE(AS266:AS268),"N/A")</f>
        <v>N/A</v>
      </c>
      <c r="AU266" s="388" t="str">
        <f t="shared" si="253"/>
        <v>-</v>
      </c>
      <c r="AV266" s="389" t="str">
        <f t="shared" si="254"/>
        <v>-</v>
      </c>
      <c r="AW266" s="353" t="s">
        <v>78</v>
      </c>
      <c r="AX266" s="403"/>
      <c r="AY266" s="404"/>
    </row>
    <row r="267" spans="1:52" ht="15" customHeight="1">
      <c r="A267" s="1" t="str">
        <f t="shared" si="227"/>
        <v>0_2023_</v>
      </c>
      <c r="B267" s="1" t="str">
        <f t="shared" si="232"/>
        <v>0_2023_CFO</v>
      </c>
      <c r="C267" s="114">
        <f t="shared" si="268"/>
        <v>0</v>
      </c>
      <c r="D267" s="133" t="str">
        <f>_xll.ciqfunctions.udf.CIQ(C267,"IQ_Company_Name")</f>
        <v>(Invalid Identifier)</v>
      </c>
      <c r="E267" s="114">
        <f t="shared" si="275"/>
        <v>2023</v>
      </c>
      <c r="F267" s="114" t="str">
        <f t="shared" si="242"/>
        <v>2023-01-01</v>
      </c>
      <c r="G267" s="330" t="str">
        <f t="shared" si="217"/>
        <v>2023-12-31</v>
      </c>
      <c r="H267" s="114">
        <f t="shared" si="247"/>
        <v>12</v>
      </c>
      <c r="I267" s="407" t="str">
        <f>I266</f>
        <v>CAD</v>
      </c>
      <c r="J267" s="461">
        <f t="shared" si="233"/>
        <v>1</v>
      </c>
      <c r="K267" s="468"/>
      <c r="L267" s="465" t="str">
        <f t="shared" ref="L267:N268" si="276">L266</f>
        <v>CFO</v>
      </c>
      <c r="M267" s="123" t="str">
        <f t="shared" si="276"/>
        <v>-</v>
      </c>
      <c r="N267" s="132" t="str">
        <f t="shared" si="276"/>
        <v>-</v>
      </c>
      <c r="O267" s="219" t="s">
        <v>78</v>
      </c>
      <c r="P267" s="125" t="str">
        <f t="shared" si="270"/>
        <v>-</v>
      </c>
      <c r="Q267" s="311" t="s">
        <v>78</v>
      </c>
      <c r="R267" s="126" t="str">
        <f t="shared" si="271"/>
        <v>-</v>
      </c>
      <c r="S267" s="221" t="s">
        <v>78</v>
      </c>
      <c r="T267" s="125" t="str">
        <f t="shared" si="272"/>
        <v>-</v>
      </c>
      <c r="U267" s="127" t="str">
        <f t="shared" si="243"/>
        <v>-</v>
      </c>
      <c r="V267" s="128"/>
      <c r="W267" s="223" t="s">
        <v>78</v>
      </c>
      <c r="X267" s="129" t="str">
        <f t="shared" si="244"/>
        <v>-</v>
      </c>
      <c r="Y267" s="124" t="str">
        <f t="shared" si="249"/>
        <v>-</v>
      </c>
      <c r="Z267" s="130" t="str">
        <f t="shared" si="250"/>
        <v>-</v>
      </c>
      <c r="AA267" s="221" t="s">
        <v>78</v>
      </c>
      <c r="AB267" s="225" t="s">
        <v>78</v>
      </c>
      <c r="AC267" s="225" t="s">
        <v>78</v>
      </c>
      <c r="AD267" s="225" t="s">
        <v>78</v>
      </c>
      <c r="AE267" s="225" t="s">
        <v>78</v>
      </c>
      <c r="AF267" s="125" t="str">
        <f t="shared" si="235"/>
        <v>-</v>
      </c>
      <c r="AG267" s="127" t="str">
        <f t="shared" si="245"/>
        <v>-</v>
      </c>
      <c r="AH267" s="128"/>
      <c r="AI267" s="223" t="s">
        <v>78</v>
      </c>
      <c r="AJ267" s="131" t="str">
        <f t="shared" si="246"/>
        <v>-</v>
      </c>
      <c r="AK267" s="368" t="str">
        <f t="shared" si="273"/>
        <v>-</v>
      </c>
      <c r="AL267" s="375" t="str">
        <f t="shared" si="251"/>
        <v>-</v>
      </c>
      <c r="AM267" s="376" t="str">
        <f t="shared" si="252"/>
        <v>-</v>
      </c>
      <c r="AN267" s="394" t="s">
        <v>78</v>
      </c>
      <c r="AO267" s="395" t="s">
        <v>78</v>
      </c>
      <c r="AP267" s="396" t="str">
        <f t="shared" si="229"/>
        <v>-</v>
      </c>
      <c r="AQ267" s="397"/>
      <c r="AR267" s="401" t="s">
        <v>78</v>
      </c>
      <c r="AS267" s="396" t="str">
        <f t="shared" si="230"/>
        <v>-</v>
      </c>
      <c r="AT267" s="397"/>
      <c r="AU267" s="388" t="str">
        <f t="shared" si="253"/>
        <v>-</v>
      </c>
      <c r="AV267" s="389" t="str">
        <f t="shared" si="254"/>
        <v>-</v>
      </c>
      <c r="AW267" s="353" t="s">
        <v>78</v>
      </c>
      <c r="AX267" s="403"/>
      <c r="AY267" s="404"/>
    </row>
    <row r="268" spans="1:52" ht="15" customHeight="1">
      <c r="A268" s="1" t="str">
        <f t="shared" si="227"/>
        <v>0_2022_</v>
      </c>
      <c r="B268" s="1" t="str">
        <f t="shared" si="232"/>
        <v>0_2022_CFO</v>
      </c>
      <c r="C268" s="114">
        <f t="shared" si="268"/>
        <v>0</v>
      </c>
      <c r="D268" s="133" t="str">
        <f>_xll.ciqfunctions.udf.CIQ(C268,"IQ_Company_Name")</f>
        <v>(Invalid Identifier)</v>
      </c>
      <c r="E268" s="114">
        <f t="shared" si="275"/>
        <v>2022</v>
      </c>
      <c r="F268" s="114" t="str">
        <f t="shared" si="242"/>
        <v>2022-01-01</v>
      </c>
      <c r="G268" s="330" t="str">
        <f t="shared" ref="G268:G331" si="277">E268&amp;"-12-31"</f>
        <v>2022-12-31</v>
      </c>
      <c r="H268" s="114">
        <f t="shared" si="247"/>
        <v>12</v>
      </c>
      <c r="I268" s="407" t="str">
        <f t="shared" ref="I268:I307" si="278">I267</f>
        <v>CAD</v>
      </c>
      <c r="J268" s="461">
        <f t="shared" si="233"/>
        <v>1</v>
      </c>
      <c r="K268" s="468"/>
      <c r="L268" s="465" t="str">
        <f t="shared" si="276"/>
        <v>CFO</v>
      </c>
      <c r="M268" s="123" t="str">
        <f t="shared" si="276"/>
        <v>-</v>
      </c>
      <c r="N268" s="132" t="str">
        <f t="shared" si="276"/>
        <v>-</v>
      </c>
      <c r="O268" s="219" t="s">
        <v>78</v>
      </c>
      <c r="P268" s="125" t="str">
        <f t="shared" si="270"/>
        <v>-</v>
      </c>
      <c r="Q268" s="311" t="s">
        <v>78</v>
      </c>
      <c r="R268" s="126" t="str">
        <f t="shared" si="271"/>
        <v>-</v>
      </c>
      <c r="S268" s="221" t="s">
        <v>78</v>
      </c>
      <c r="T268" s="125" t="str">
        <f t="shared" si="272"/>
        <v>-</v>
      </c>
      <c r="U268" s="127" t="str">
        <f t="shared" si="243"/>
        <v>-</v>
      </c>
      <c r="V268" s="128"/>
      <c r="W268" s="223" t="s">
        <v>78</v>
      </c>
      <c r="X268" s="129" t="str">
        <f t="shared" si="244"/>
        <v>-</v>
      </c>
      <c r="Y268" s="124" t="str">
        <f t="shared" si="249"/>
        <v>-</v>
      </c>
      <c r="Z268" s="130" t="str">
        <f t="shared" si="250"/>
        <v>-</v>
      </c>
      <c r="AA268" s="221" t="s">
        <v>78</v>
      </c>
      <c r="AB268" s="225" t="s">
        <v>78</v>
      </c>
      <c r="AC268" s="225" t="s">
        <v>78</v>
      </c>
      <c r="AD268" s="225" t="s">
        <v>78</v>
      </c>
      <c r="AE268" s="225" t="s">
        <v>78</v>
      </c>
      <c r="AF268" s="125" t="str">
        <f t="shared" si="235"/>
        <v>-</v>
      </c>
      <c r="AG268" s="127" t="str">
        <f t="shared" si="245"/>
        <v>-</v>
      </c>
      <c r="AH268" s="128"/>
      <c r="AI268" s="223" t="s">
        <v>78</v>
      </c>
      <c r="AJ268" s="131" t="str">
        <f t="shared" si="246"/>
        <v>-</v>
      </c>
      <c r="AK268" s="368" t="str">
        <f t="shared" si="273"/>
        <v>-</v>
      </c>
      <c r="AL268" s="375" t="str">
        <f t="shared" si="251"/>
        <v>-</v>
      </c>
      <c r="AM268" s="376" t="str">
        <f t="shared" si="252"/>
        <v>-</v>
      </c>
      <c r="AN268" s="394" t="s">
        <v>78</v>
      </c>
      <c r="AO268" s="395" t="s">
        <v>78</v>
      </c>
      <c r="AP268" s="396" t="str">
        <f t="shared" si="229"/>
        <v>-</v>
      </c>
      <c r="AQ268" s="397"/>
      <c r="AR268" s="401" t="s">
        <v>78</v>
      </c>
      <c r="AS268" s="396" t="str">
        <f t="shared" si="230"/>
        <v>-</v>
      </c>
      <c r="AT268" s="397"/>
      <c r="AU268" s="388" t="str">
        <f t="shared" si="253"/>
        <v>-</v>
      </c>
      <c r="AV268" s="389" t="str">
        <f t="shared" si="254"/>
        <v>-</v>
      </c>
      <c r="AW268" s="353" t="s">
        <v>78</v>
      </c>
      <c r="AX268" s="403"/>
      <c r="AY268" s="404"/>
    </row>
    <row r="269" spans="1:52" ht="15" customHeight="1">
      <c r="A269" s="1" t="str">
        <f t="shared" si="227"/>
        <v>0_2024_</v>
      </c>
      <c r="B269" s="1" t="str">
        <f t="shared" si="232"/>
        <v>0_2024_NEO1</v>
      </c>
      <c r="C269" s="114">
        <f t="shared" si="268"/>
        <v>0</v>
      </c>
      <c r="D269" s="133" t="str">
        <f>_xll.ciqfunctions.udf.CIQ(C269,"IQ_Company_Name")</f>
        <v>(Invalid Identifier)</v>
      </c>
      <c r="E269" s="114">
        <f t="shared" si="275"/>
        <v>2024</v>
      </c>
      <c r="F269" s="330" t="str">
        <f t="shared" si="242"/>
        <v>2024-01-01</v>
      </c>
      <c r="G269" s="330" t="str">
        <f t="shared" si="277"/>
        <v>2024-12-31</v>
      </c>
      <c r="H269" s="114">
        <f t="shared" si="247"/>
        <v>12</v>
      </c>
      <c r="I269" s="407" t="str">
        <f t="shared" si="278"/>
        <v>CAD</v>
      </c>
      <c r="J269" s="461">
        <f t="shared" si="233"/>
        <v>1</v>
      </c>
      <c r="K269" s="468"/>
      <c r="L269" s="464" t="s">
        <v>107</v>
      </c>
      <c r="M269" s="217" t="s">
        <v>78</v>
      </c>
      <c r="N269" s="218" t="s">
        <v>78</v>
      </c>
      <c r="O269" s="219" t="s">
        <v>78</v>
      </c>
      <c r="P269" s="125" t="str">
        <f t="shared" si="270"/>
        <v>-</v>
      </c>
      <c r="Q269" s="311" t="s">
        <v>78</v>
      </c>
      <c r="R269" s="126" t="str">
        <f t="shared" si="271"/>
        <v>-</v>
      </c>
      <c r="S269" s="221" t="s">
        <v>78</v>
      </c>
      <c r="T269" s="125" t="str">
        <f t="shared" si="272"/>
        <v>-</v>
      </c>
      <c r="U269" s="127" t="str">
        <f t="shared" si="243"/>
        <v>-</v>
      </c>
      <c r="V269" s="128" t="str">
        <f>IFERROR(AVERAGE(U269:U271),"N/A")</f>
        <v>N/A</v>
      </c>
      <c r="W269" s="223" t="s">
        <v>78</v>
      </c>
      <c r="X269" s="129" t="str">
        <f t="shared" si="244"/>
        <v>-</v>
      </c>
      <c r="Y269" s="124" t="str">
        <f t="shared" si="249"/>
        <v>-</v>
      </c>
      <c r="Z269" s="130" t="str">
        <f t="shared" si="250"/>
        <v>-</v>
      </c>
      <c r="AA269" s="221" t="s">
        <v>78</v>
      </c>
      <c r="AB269" s="225" t="s">
        <v>78</v>
      </c>
      <c r="AC269" s="225" t="s">
        <v>78</v>
      </c>
      <c r="AD269" s="225" t="s">
        <v>78</v>
      </c>
      <c r="AE269" s="225" t="s">
        <v>78</v>
      </c>
      <c r="AF269" s="125" t="str">
        <f t="shared" si="235"/>
        <v>-</v>
      </c>
      <c r="AG269" s="127" t="str">
        <f t="shared" si="245"/>
        <v>-</v>
      </c>
      <c r="AH269" s="128" t="str">
        <f>IFERROR(AVERAGE(AG269:AG271),"N/A")</f>
        <v>N/A</v>
      </c>
      <c r="AI269" s="223" t="s">
        <v>78</v>
      </c>
      <c r="AJ269" s="131" t="str">
        <f t="shared" si="246"/>
        <v>-</v>
      </c>
      <c r="AK269" s="368" t="str">
        <f t="shared" si="273"/>
        <v>-</v>
      </c>
      <c r="AL269" s="375" t="str">
        <f t="shared" si="251"/>
        <v>-</v>
      </c>
      <c r="AM269" s="376" t="str">
        <f t="shared" si="252"/>
        <v>-</v>
      </c>
      <c r="AN269" s="394" t="s">
        <v>78</v>
      </c>
      <c r="AO269" s="395" t="s">
        <v>78</v>
      </c>
      <c r="AP269" s="396" t="str">
        <f t="shared" si="229"/>
        <v>-</v>
      </c>
      <c r="AQ269" s="397" t="str">
        <f>IFERROR(AVERAGE(AP269:AP271),"N/A")</f>
        <v>N/A</v>
      </c>
      <c r="AR269" s="401" t="s">
        <v>78</v>
      </c>
      <c r="AS269" s="396" t="str">
        <f t="shared" si="230"/>
        <v>-</v>
      </c>
      <c r="AT269" s="397" t="str">
        <f>IFERROR(AVERAGE(AS269:AS271),"N/A")</f>
        <v>N/A</v>
      </c>
      <c r="AU269" s="388" t="str">
        <f t="shared" si="253"/>
        <v>-</v>
      </c>
      <c r="AV269" s="389" t="str">
        <f t="shared" si="254"/>
        <v>-</v>
      </c>
      <c r="AW269" s="353" t="s">
        <v>78</v>
      </c>
      <c r="AX269" s="403"/>
      <c r="AY269" s="404"/>
    </row>
    <row r="270" spans="1:52" ht="15" customHeight="1">
      <c r="A270" s="1" t="str">
        <f t="shared" si="227"/>
        <v>0_2023_</v>
      </c>
      <c r="B270" s="1" t="str">
        <f t="shared" si="232"/>
        <v>0_2023_NEO1</v>
      </c>
      <c r="C270" s="114">
        <f t="shared" si="268"/>
        <v>0</v>
      </c>
      <c r="D270" s="133" t="str">
        <f>_xll.ciqfunctions.udf.CIQ(C270,"IQ_Company_Name")</f>
        <v>(Invalid Identifier)</v>
      </c>
      <c r="E270" s="114">
        <f t="shared" si="275"/>
        <v>2023</v>
      </c>
      <c r="F270" s="330" t="str">
        <f t="shared" si="242"/>
        <v>2023-01-01</v>
      </c>
      <c r="G270" s="330" t="str">
        <f t="shared" si="277"/>
        <v>2023-12-31</v>
      </c>
      <c r="H270" s="114">
        <f t="shared" si="247"/>
        <v>12</v>
      </c>
      <c r="I270" s="407" t="str">
        <f t="shared" si="278"/>
        <v>CAD</v>
      </c>
      <c r="J270" s="461">
        <f t="shared" si="233"/>
        <v>1</v>
      </c>
      <c r="K270" s="468"/>
      <c r="L270" s="465" t="str">
        <f t="shared" ref="L270:N271" si="279">L269</f>
        <v>NEO1</v>
      </c>
      <c r="M270" s="123" t="str">
        <f t="shared" si="279"/>
        <v>-</v>
      </c>
      <c r="N270" s="132" t="str">
        <f t="shared" si="279"/>
        <v>-</v>
      </c>
      <c r="O270" s="219" t="s">
        <v>78</v>
      </c>
      <c r="P270" s="125" t="str">
        <f t="shared" si="270"/>
        <v>-</v>
      </c>
      <c r="Q270" s="311" t="s">
        <v>78</v>
      </c>
      <c r="R270" s="126" t="str">
        <f t="shared" si="271"/>
        <v>-</v>
      </c>
      <c r="S270" s="221" t="s">
        <v>78</v>
      </c>
      <c r="T270" s="125" t="str">
        <f t="shared" si="272"/>
        <v>-</v>
      </c>
      <c r="U270" s="127" t="str">
        <f t="shared" si="243"/>
        <v>-</v>
      </c>
      <c r="V270" s="128"/>
      <c r="W270" s="223" t="s">
        <v>78</v>
      </c>
      <c r="X270" s="129" t="str">
        <f t="shared" si="244"/>
        <v>-</v>
      </c>
      <c r="Y270" s="124" t="str">
        <f t="shared" si="249"/>
        <v>-</v>
      </c>
      <c r="Z270" s="130" t="str">
        <f t="shared" si="250"/>
        <v>-</v>
      </c>
      <c r="AA270" s="221" t="s">
        <v>78</v>
      </c>
      <c r="AB270" s="225" t="s">
        <v>78</v>
      </c>
      <c r="AC270" s="225" t="s">
        <v>78</v>
      </c>
      <c r="AD270" s="225" t="s">
        <v>78</v>
      </c>
      <c r="AE270" s="225" t="s">
        <v>78</v>
      </c>
      <c r="AF270" s="125" t="str">
        <f t="shared" si="235"/>
        <v>-</v>
      </c>
      <c r="AG270" s="127" t="str">
        <f t="shared" si="245"/>
        <v>-</v>
      </c>
      <c r="AH270" s="128"/>
      <c r="AI270" s="223" t="s">
        <v>78</v>
      </c>
      <c r="AJ270" s="131" t="str">
        <f t="shared" si="246"/>
        <v>-</v>
      </c>
      <c r="AK270" s="368" t="str">
        <f t="shared" si="273"/>
        <v>-</v>
      </c>
      <c r="AL270" s="375" t="str">
        <f t="shared" si="251"/>
        <v>-</v>
      </c>
      <c r="AM270" s="376" t="str">
        <f t="shared" si="252"/>
        <v>-</v>
      </c>
      <c r="AN270" s="394" t="s">
        <v>78</v>
      </c>
      <c r="AO270" s="395" t="s">
        <v>78</v>
      </c>
      <c r="AP270" s="396" t="str">
        <f t="shared" si="229"/>
        <v>-</v>
      </c>
      <c r="AQ270" s="397"/>
      <c r="AR270" s="401" t="s">
        <v>78</v>
      </c>
      <c r="AS270" s="396" t="str">
        <f t="shared" si="230"/>
        <v>-</v>
      </c>
      <c r="AT270" s="397"/>
      <c r="AU270" s="388" t="str">
        <f t="shared" si="253"/>
        <v>-</v>
      </c>
      <c r="AV270" s="389" t="str">
        <f t="shared" si="254"/>
        <v>-</v>
      </c>
      <c r="AW270" s="353" t="s">
        <v>78</v>
      </c>
      <c r="AX270" s="403"/>
      <c r="AY270" s="404"/>
    </row>
    <row r="271" spans="1:52" ht="15" customHeight="1">
      <c r="A271" s="1" t="str">
        <f t="shared" si="227"/>
        <v>0_2022_</v>
      </c>
      <c r="B271" s="1" t="str">
        <f t="shared" si="232"/>
        <v>0_2022_NEO1</v>
      </c>
      <c r="C271" s="114">
        <f t="shared" si="268"/>
        <v>0</v>
      </c>
      <c r="D271" s="133" t="str">
        <f>_xll.ciqfunctions.udf.CIQ(C271,"IQ_Company_Name")</f>
        <v>(Invalid Identifier)</v>
      </c>
      <c r="E271" s="114">
        <f t="shared" si="275"/>
        <v>2022</v>
      </c>
      <c r="F271" s="114" t="str">
        <f t="shared" si="242"/>
        <v>2022-01-01</v>
      </c>
      <c r="G271" s="330" t="str">
        <f t="shared" si="277"/>
        <v>2022-12-31</v>
      </c>
      <c r="H271" s="114">
        <f t="shared" si="247"/>
        <v>12</v>
      </c>
      <c r="I271" s="407" t="str">
        <f t="shared" si="278"/>
        <v>CAD</v>
      </c>
      <c r="J271" s="461">
        <f t="shared" si="233"/>
        <v>1</v>
      </c>
      <c r="K271" s="468"/>
      <c r="L271" s="465" t="str">
        <f t="shared" si="279"/>
        <v>NEO1</v>
      </c>
      <c r="M271" s="123" t="str">
        <f t="shared" si="279"/>
        <v>-</v>
      </c>
      <c r="N271" s="132" t="str">
        <f t="shared" si="279"/>
        <v>-</v>
      </c>
      <c r="O271" s="219" t="s">
        <v>78</v>
      </c>
      <c r="P271" s="125" t="str">
        <f t="shared" si="270"/>
        <v>-</v>
      </c>
      <c r="Q271" s="311" t="s">
        <v>78</v>
      </c>
      <c r="R271" s="126" t="str">
        <f t="shared" si="271"/>
        <v>-</v>
      </c>
      <c r="S271" s="221" t="s">
        <v>78</v>
      </c>
      <c r="T271" s="125" t="str">
        <f t="shared" si="272"/>
        <v>-</v>
      </c>
      <c r="U271" s="127" t="str">
        <f t="shared" si="243"/>
        <v>-</v>
      </c>
      <c r="V271" s="128"/>
      <c r="W271" s="223" t="s">
        <v>78</v>
      </c>
      <c r="X271" s="129" t="str">
        <f t="shared" si="244"/>
        <v>-</v>
      </c>
      <c r="Y271" s="124" t="str">
        <f t="shared" si="249"/>
        <v>-</v>
      </c>
      <c r="Z271" s="130" t="str">
        <f t="shared" si="250"/>
        <v>-</v>
      </c>
      <c r="AA271" s="221" t="s">
        <v>78</v>
      </c>
      <c r="AB271" s="225" t="s">
        <v>78</v>
      </c>
      <c r="AC271" s="225" t="s">
        <v>78</v>
      </c>
      <c r="AD271" s="225" t="s">
        <v>78</v>
      </c>
      <c r="AE271" s="225" t="s">
        <v>78</v>
      </c>
      <c r="AF271" s="125" t="str">
        <f t="shared" si="235"/>
        <v>-</v>
      </c>
      <c r="AG271" s="127" t="str">
        <f t="shared" si="245"/>
        <v>-</v>
      </c>
      <c r="AH271" s="128"/>
      <c r="AI271" s="223" t="s">
        <v>78</v>
      </c>
      <c r="AJ271" s="131" t="str">
        <f t="shared" si="246"/>
        <v>-</v>
      </c>
      <c r="AK271" s="368" t="str">
        <f t="shared" si="273"/>
        <v>-</v>
      </c>
      <c r="AL271" s="375" t="str">
        <f t="shared" si="251"/>
        <v>-</v>
      </c>
      <c r="AM271" s="376" t="str">
        <f t="shared" si="252"/>
        <v>-</v>
      </c>
      <c r="AN271" s="394" t="s">
        <v>78</v>
      </c>
      <c r="AO271" s="395" t="s">
        <v>78</v>
      </c>
      <c r="AP271" s="396" t="str">
        <f t="shared" si="229"/>
        <v>-</v>
      </c>
      <c r="AQ271" s="397"/>
      <c r="AR271" s="401" t="s">
        <v>78</v>
      </c>
      <c r="AS271" s="396" t="str">
        <f t="shared" si="230"/>
        <v>-</v>
      </c>
      <c r="AT271" s="397"/>
      <c r="AU271" s="388" t="str">
        <f t="shared" si="253"/>
        <v>-</v>
      </c>
      <c r="AV271" s="389" t="str">
        <f t="shared" si="254"/>
        <v>-</v>
      </c>
      <c r="AW271" s="353" t="s">
        <v>78</v>
      </c>
      <c r="AX271" s="403"/>
      <c r="AY271" s="404"/>
    </row>
    <row r="272" spans="1:52" ht="15" customHeight="1">
      <c r="A272" s="1" t="str">
        <f t="shared" si="227"/>
        <v>0_2024_</v>
      </c>
      <c r="B272" s="1" t="str">
        <f t="shared" si="232"/>
        <v>0_2024_NEO2</v>
      </c>
      <c r="C272" s="114">
        <f t="shared" si="268"/>
        <v>0</v>
      </c>
      <c r="D272" s="133" t="str">
        <f>_xll.ciqfunctions.udf.CIQ(C272,"IQ_Company_Name")</f>
        <v>(Invalid Identifier)</v>
      </c>
      <c r="E272" s="114">
        <f t="shared" si="275"/>
        <v>2024</v>
      </c>
      <c r="F272" s="114" t="str">
        <f t="shared" si="242"/>
        <v>2024-01-01</v>
      </c>
      <c r="G272" s="330" t="str">
        <f t="shared" si="277"/>
        <v>2024-12-31</v>
      </c>
      <c r="H272" s="114">
        <f t="shared" si="247"/>
        <v>12</v>
      </c>
      <c r="I272" s="407" t="str">
        <f t="shared" si="278"/>
        <v>CAD</v>
      </c>
      <c r="J272" s="461">
        <f t="shared" si="233"/>
        <v>1</v>
      </c>
      <c r="K272" s="468"/>
      <c r="L272" s="464" t="s">
        <v>108</v>
      </c>
      <c r="M272" s="217" t="s">
        <v>78</v>
      </c>
      <c r="N272" s="218" t="s">
        <v>78</v>
      </c>
      <c r="O272" s="219" t="s">
        <v>78</v>
      </c>
      <c r="P272" s="125" t="str">
        <f t="shared" si="270"/>
        <v>-</v>
      </c>
      <c r="Q272" s="311" t="s">
        <v>78</v>
      </c>
      <c r="R272" s="126" t="str">
        <f t="shared" si="271"/>
        <v>-</v>
      </c>
      <c r="S272" s="221" t="s">
        <v>78</v>
      </c>
      <c r="T272" s="125" t="str">
        <f t="shared" si="272"/>
        <v>-</v>
      </c>
      <c r="U272" s="127" t="str">
        <f t="shared" si="243"/>
        <v>-</v>
      </c>
      <c r="V272" s="128" t="str">
        <f>IFERROR(AVERAGE(U272:U274),"N/A")</f>
        <v>N/A</v>
      </c>
      <c r="W272" s="223" t="s">
        <v>78</v>
      </c>
      <c r="X272" s="129" t="str">
        <f t="shared" si="244"/>
        <v>-</v>
      </c>
      <c r="Y272" s="124" t="str">
        <f t="shared" si="249"/>
        <v>-</v>
      </c>
      <c r="Z272" s="130" t="str">
        <f t="shared" si="250"/>
        <v>-</v>
      </c>
      <c r="AA272" s="221" t="s">
        <v>78</v>
      </c>
      <c r="AB272" s="225" t="s">
        <v>78</v>
      </c>
      <c r="AC272" s="225" t="s">
        <v>78</v>
      </c>
      <c r="AD272" s="225" t="s">
        <v>78</v>
      </c>
      <c r="AE272" s="225" t="s">
        <v>78</v>
      </c>
      <c r="AF272" s="125" t="str">
        <f t="shared" si="235"/>
        <v>-</v>
      </c>
      <c r="AG272" s="127" t="str">
        <f t="shared" si="245"/>
        <v>-</v>
      </c>
      <c r="AH272" s="128" t="str">
        <f>IFERROR(AVERAGE(AG272:AG274),"N/A")</f>
        <v>N/A</v>
      </c>
      <c r="AI272" s="223" t="s">
        <v>78</v>
      </c>
      <c r="AJ272" s="131" t="str">
        <f t="shared" si="246"/>
        <v>-</v>
      </c>
      <c r="AK272" s="368" t="str">
        <f t="shared" si="273"/>
        <v>-</v>
      </c>
      <c r="AL272" s="375" t="str">
        <f t="shared" si="251"/>
        <v>-</v>
      </c>
      <c r="AM272" s="376" t="str">
        <f t="shared" si="252"/>
        <v>-</v>
      </c>
      <c r="AN272" s="394" t="s">
        <v>78</v>
      </c>
      <c r="AO272" s="395" t="s">
        <v>78</v>
      </c>
      <c r="AP272" s="396" t="str">
        <f t="shared" si="229"/>
        <v>-</v>
      </c>
      <c r="AQ272" s="397" t="str">
        <f>IFERROR(AVERAGE(AP272:AP274),"N/A")</f>
        <v>N/A</v>
      </c>
      <c r="AR272" s="401" t="s">
        <v>78</v>
      </c>
      <c r="AS272" s="396" t="str">
        <f t="shared" si="230"/>
        <v>-</v>
      </c>
      <c r="AT272" s="397" t="str">
        <f>IFERROR(AVERAGE(AS272:AS274),"N/A")</f>
        <v>N/A</v>
      </c>
      <c r="AU272" s="388" t="str">
        <f t="shared" si="253"/>
        <v>-</v>
      </c>
      <c r="AV272" s="389" t="str">
        <f t="shared" si="254"/>
        <v>-</v>
      </c>
      <c r="AW272" s="353" t="s">
        <v>78</v>
      </c>
      <c r="AX272" s="403"/>
      <c r="AY272" s="404"/>
    </row>
    <row r="273" spans="1:51" ht="15" customHeight="1">
      <c r="A273" s="1" t="str">
        <f t="shared" si="227"/>
        <v>0_2023_</v>
      </c>
      <c r="B273" s="1" t="str">
        <f t="shared" si="232"/>
        <v>0_2023_NEO2</v>
      </c>
      <c r="C273" s="114">
        <f t="shared" si="268"/>
        <v>0</v>
      </c>
      <c r="D273" s="133" t="str">
        <f>_xll.ciqfunctions.udf.CIQ(C273,"IQ_Company_Name")</f>
        <v>(Invalid Identifier)</v>
      </c>
      <c r="E273" s="114">
        <f t="shared" si="275"/>
        <v>2023</v>
      </c>
      <c r="F273" s="114" t="str">
        <f t="shared" si="242"/>
        <v>2023-01-01</v>
      </c>
      <c r="G273" s="330" t="str">
        <f t="shared" si="277"/>
        <v>2023-12-31</v>
      </c>
      <c r="H273" s="114">
        <f t="shared" si="247"/>
        <v>12</v>
      </c>
      <c r="I273" s="407" t="str">
        <f t="shared" si="278"/>
        <v>CAD</v>
      </c>
      <c r="J273" s="461">
        <f t="shared" si="233"/>
        <v>1</v>
      </c>
      <c r="K273" s="468"/>
      <c r="L273" s="465" t="str">
        <f t="shared" ref="L273:N274" si="280">L272</f>
        <v>NEO2</v>
      </c>
      <c r="M273" s="123" t="str">
        <f t="shared" si="280"/>
        <v>-</v>
      </c>
      <c r="N273" s="132" t="str">
        <f t="shared" si="280"/>
        <v>-</v>
      </c>
      <c r="O273" s="219" t="s">
        <v>78</v>
      </c>
      <c r="P273" s="125" t="str">
        <f t="shared" si="270"/>
        <v>-</v>
      </c>
      <c r="Q273" s="311" t="s">
        <v>78</v>
      </c>
      <c r="R273" s="126" t="str">
        <f t="shared" si="271"/>
        <v>-</v>
      </c>
      <c r="S273" s="221" t="s">
        <v>78</v>
      </c>
      <c r="T273" s="125" t="str">
        <f t="shared" si="272"/>
        <v>-</v>
      </c>
      <c r="U273" s="127" t="str">
        <f t="shared" si="243"/>
        <v>-</v>
      </c>
      <c r="V273" s="128"/>
      <c r="W273" s="223" t="s">
        <v>78</v>
      </c>
      <c r="X273" s="129" t="str">
        <f t="shared" si="244"/>
        <v>-</v>
      </c>
      <c r="Y273" s="124" t="str">
        <f t="shared" si="249"/>
        <v>-</v>
      </c>
      <c r="Z273" s="130" t="str">
        <f t="shared" si="250"/>
        <v>-</v>
      </c>
      <c r="AA273" s="221" t="s">
        <v>78</v>
      </c>
      <c r="AB273" s="225" t="s">
        <v>78</v>
      </c>
      <c r="AC273" s="225" t="s">
        <v>78</v>
      </c>
      <c r="AD273" s="225" t="s">
        <v>78</v>
      </c>
      <c r="AE273" s="225" t="s">
        <v>78</v>
      </c>
      <c r="AF273" s="125" t="str">
        <f t="shared" si="235"/>
        <v>-</v>
      </c>
      <c r="AG273" s="127" t="str">
        <f t="shared" si="245"/>
        <v>-</v>
      </c>
      <c r="AH273" s="128"/>
      <c r="AI273" s="223" t="s">
        <v>78</v>
      </c>
      <c r="AJ273" s="131" t="str">
        <f t="shared" si="246"/>
        <v>-</v>
      </c>
      <c r="AK273" s="368" t="str">
        <f t="shared" si="273"/>
        <v>-</v>
      </c>
      <c r="AL273" s="375" t="str">
        <f t="shared" si="251"/>
        <v>-</v>
      </c>
      <c r="AM273" s="376" t="str">
        <f t="shared" si="252"/>
        <v>-</v>
      </c>
      <c r="AN273" s="394" t="s">
        <v>78</v>
      </c>
      <c r="AO273" s="395" t="s">
        <v>78</v>
      </c>
      <c r="AP273" s="396" t="str">
        <f t="shared" si="229"/>
        <v>-</v>
      </c>
      <c r="AQ273" s="397"/>
      <c r="AR273" s="401" t="s">
        <v>78</v>
      </c>
      <c r="AS273" s="396" t="str">
        <f t="shared" si="230"/>
        <v>-</v>
      </c>
      <c r="AT273" s="397"/>
      <c r="AU273" s="388" t="str">
        <f t="shared" si="253"/>
        <v>-</v>
      </c>
      <c r="AV273" s="389" t="str">
        <f t="shared" si="254"/>
        <v>-</v>
      </c>
      <c r="AW273" s="353" t="s">
        <v>78</v>
      </c>
      <c r="AX273" s="403"/>
      <c r="AY273" s="404"/>
    </row>
    <row r="274" spans="1:51" ht="15" customHeight="1">
      <c r="A274" s="1" t="str">
        <f t="shared" si="227"/>
        <v>0_2022_</v>
      </c>
      <c r="B274" s="1" t="str">
        <f t="shared" si="232"/>
        <v>0_2022_NEO2</v>
      </c>
      <c r="C274" s="114">
        <f t="shared" si="268"/>
        <v>0</v>
      </c>
      <c r="D274" s="133" t="str">
        <f>_xll.ciqfunctions.udf.CIQ(C274,"IQ_Company_Name")</f>
        <v>(Invalid Identifier)</v>
      </c>
      <c r="E274" s="114">
        <f t="shared" si="275"/>
        <v>2022</v>
      </c>
      <c r="F274" s="114" t="str">
        <f t="shared" si="242"/>
        <v>2022-01-01</v>
      </c>
      <c r="G274" s="330" t="str">
        <f t="shared" si="277"/>
        <v>2022-12-31</v>
      </c>
      <c r="H274" s="114">
        <f t="shared" si="247"/>
        <v>12</v>
      </c>
      <c r="I274" s="407" t="str">
        <f t="shared" si="278"/>
        <v>CAD</v>
      </c>
      <c r="J274" s="461">
        <f t="shared" si="233"/>
        <v>1</v>
      </c>
      <c r="K274" s="468"/>
      <c r="L274" s="465" t="str">
        <f t="shared" si="280"/>
        <v>NEO2</v>
      </c>
      <c r="M274" s="123" t="str">
        <f t="shared" si="280"/>
        <v>-</v>
      </c>
      <c r="N274" s="132" t="str">
        <f t="shared" si="280"/>
        <v>-</v>
      </c>
      <c r="O274" s="219" t="s">
        <v>78</v>
      </c>
      <c r="P274" s="125" t="str">
        <f t="shared" si="270"/>
        <v>-</v>
      </c>
      <c r="Q274" s="311" t="s">
        <v>78</v>
      </c>
      <c r="R274" s="126" t="str">
        <f t="shared" si="271"/>
        <v>-</v>
      </c>
      <c r="S274" s="221" t="s">
        <v>78</v>
      </c>
      <c r="T274" s="125" t="str">
        <f t="shared" si="272"/>
        <v>-</v>
      </c>
      <c r="U274" s="127" t="str">
        <f t="shared" si="243"/>
        <v>-</v>
      </c>
      <c r="V274" s="128"/>
      <c r="W274" s="223" t="s">
        <v>78</v>
      </c>
      <c r="X274" s="129" t="str">
        <f t="shared" si="244"/>
        <v>-</v>
      </c>
      <c r="Y274" s="124" t="str">
        <f t="shared" si="249"/>
        <v>-</v>
      </c>
      <c r="Z274" s="130" t="str">
        <f t="shared" si="250"/>
        <v>-</v>
      </c>
      <c r="AA274" s="221" t="s">
        <v>78</v>
      </c>
      <c r="AB274" s="225" t="s">
        <v>78</v>
      </c>
      <c r="AC274" s="225" t="s">
        <v>78</v>
      </c>
      <c r="AD274" s="225" t="s">
        <v>78</v>
      </c>
      <c r="AE274" s="225" t="s">
        <v>78</v>
      </c>
      <c r="AF274" s="125" t="str">
        <f t="shared" si="235"/>
        <v>-</v>
      </c>
      <c r="AG274" s="127" t="str">
        <f t="shared" si="245"/>
        <v>-</v>
      </c>
      <c r="AH274" s="128"/>
      <c r="AI274" s="223" t="s">
        <v>78</v>
      </c>
      <c r="AJ274" s="131" t="str">
        <f t="shared" si="246"/>
        <v>-</v>
      </c>
      <c r="AK274" s="368" t="str">
        <f t="shared" si="273"/>
        <v>-</v>
      </c>
      <c r="AL274" s="375" t="str">
        <f t="shared" si="251"/>
        <v>-</v>
      </c>
      <c r="AM274" s="376" t="str">
        <f t="shared" si="252"/>
        <v>-</v>
      </c>
      <c r="AN274" s="394" t="s">
        <v>78</v>
      </c>
      <c r="AO274" s="395" t="s">
        <v>78</v>
      </c>
      <c r="AP274" s="396" t="str">
        <f t="shared" si="229"/>
        <v>-</v>
      </c>
      <c r="AQ274" s="397"/>
      <c r="AR274" s="401" t="s">
        <v>78</v>
      </c>
      <c r="AS274" s="396" t="str">
        <f t="shared" si="230"/>
        <v>-</v>
      </c>
      <c r="AT274" s="397"/>
      <c r="AU274" s="388" t="str">
        <f t="shared" si="253"/>
        <v>-</v>
      </c>
      <c r="AV274" s="389" t="str">
        <f t="shared" si="254"/>
        <v>-</v>
      </c>
      <c r="AW274" s="353" t="s">
        <v>78</v>
      </c>
      <c r="AX274" s="403"/>
      <c r="AY274" s="404"/>
    </row>
    <row r="275" spans="1:51" ht="15" customHeight="1">
      <c r="A275" s="1" t="str">
        <f t="shared" si="227"/>
        <v>0_2024_</v>
      </c>
      <c r="B275" s="1" t="str">
        <f t="shared" si="232"/>
        <v>0_2024_NEO3</v>
      </c>
      <c r="C275" s="114">
        <f t="shared" si="268"/>
        <v>0</v>
      </c>
      <c r="D275" s="133" t="str">
        <f>_xll.ciqfunctions.udf.CIQ(C275,"IQ_Company_Name")</f>
        <v>(Invalid Identifier)</v>
      </c>
      <c r="E275" s="114">
        <f t="shared" si="275"/>
        <v>2024</v>
      </c>
      <c r="F275" s="114" t="str">
        <f t="shared" si="242"/>
        <v>2024-01-01</v>
      </c>
      <c r="G275" s="330" t="str">
        <f t="shared" si="277"/>
        <v>2024-12-31</v>
      </c>
      <c r="H275" s="114">
        <f t="shared" si="247"/>
        <v>12</v>
      </c>
      <c r="I275" s="407" t="str">
        <f t="shared" si="278"/>
        <v>CAD</v>
      </c>
      <c r="J275" s="461">
        <f t="shared" si="233"/>
        <v>1</v>
      </c>
      <c r="K275" s="468"/>
      <c r="L275" s="464" t="s">
        <v>109</v>
      </c>
      <c r="M275" s="217" t="s">
        <v>78</v>
      </c>
      <c r="N275" s="218" t="s">
        <v>78</v>
      </c>
      <c r="O275" s="219" t="s">
        <v>78</v>
      </c>
      <c r="P275" s="125" t="str">
        <f t="shared" si="270"/>
        <v>-</v>
      </c>
      <c r="Q275" s="311" t="s">
        <v>78</v>
      </c>
      <c r="R275" s="126" t="str">
        <f t="shared" si="271"/>
        <v>-</v>
      </c>
      <c r="S275" s="221" t="s">
        <v>78</v>
      </c>
      <c r="T275" s="125" t="str">
        <f t="shared" si="272"/>
        <v>-</v>
      </c>
      <c r="U275" s="127" t="str">
        <f t="shared" si="243"/>
        <v>-</v>
      </c>
      <c r="V275" s="128" t="str">
        <f>IFERROR(AVERAGE(U275:U277),"N/A")</f>
        <v>N/A</v>
      </c>
      <c r="W275" s="223" t="s">
        <v>78</v>
      </c>
      <c r="X275" s="129" t="str">
        <f t="shared" si="244"/>
        <v>-</v>
      </c>
      <c r="Y275" s="124" t="str">
        <f t="shared" si="249"/>
        <v>-</v>
      </c>
      <c r="Z275" s="130" t="str">
        <f t="shared" si="250"/>
        <v>-</v>
      </c>
      <c r="AA275" s="221" t="s">
        <v>78</v>
      </c>
      <c r="AB275" s="225" t="s">
        <v>78</v>
      </c>
      <c r="AC275" s="225" t="s">
        <v>78</v>
      </c>
      <c r="AD275" s="225" t="s">
        <v>78</v>
      </c>
      <c r="AE275" s="225" t="s">
        <v>78</v>
      </c>
      <c r="AF275" s="125" t="str">
        <f t="shared" si="235"/>
        <v>-</v>
      </c>
      <c r="AG275" s="127" t="str">
        <f t="shared" si="245"/>
        <v>-</v>
      </c>
      <c r="AH275" s="128" t="str">
        <f>IFERROR(AVERAGE(AG275:AG277),"N/A")</f>
        <v>N/A</v>
      </c>
      <c r="AI275" s="223" t="s">
        <v>78</v>
      </c>
      <c r="AJ275" s="131" t="str">
        <f t="shared" si="246"/>
        <v>-</v>
      </c>
      <c r="AK275" s="368" t="str">
        <f t="shared" si="273"/>
        <v>-</v>
      </c>
      <c r="AL275" s="375" t="str">
        <f t="shared" si="251"/>
        <v>-</v>
      </c>
      <c r="AM275" s="376" t="str">
        <f t="shared" si="252"/>
        <v>-</v>
      </c>
      <c r="AN275" s="394" t="s">
        <v>78</v>
      </c>
      <c r="AO275" s="395" t="s">
        <v>78</v>
      </c>
      <c r="AP275" s="396" t="str">
        <f t="shared" si="229"/>
        <v>-</v>
      </c>
      <c r="AQ275" s="397" t="str">
        <f>IFERROR(AVERAGE(AP275:AP277),"N/A")</f>
        <v>N/A</v>
      </c>
      <c r="AR275" s="401" t="s">
        <v>78</v>
      </c>
      <c r="AS275" s="396" t="str">
        <f t="shared" si="230"/>
        <v>-</v>
      </c>
      <c r="AT275" s="397" t="str">
        <f>IFERROR(AVERAGE(AS275:AS277),"N/A")</f>
        <v>N/A</v>
      </c>
      <c r="AU275" s="388" t="str">
        <f t="shared" si="253"/>
        <v>-</v>
      </c>
      <c r="AV275" s="389" t="str">
        <f t="shared" si="254"/>
        <v>-</v>
      </c>
      <c r="AW275" s="353" t="s">
        <v>78</v>
      </c>
      <c r="AX275" s="403"/>
      <c r="AY275" s="404"/>
    </row>
    <row r="276" spans="1:51" ht="15" customHeight="1">
      <c r="A276" s="1" t="str">
        <f t="shared" si="227"/>
        <v>0_2023_</v>
      </c>
      <c r="B276" s="1" t="str">
        <f t="shared" si="232"/>
        <v>0_2023_NEO3</v>
      </c>
      <c r="C276" s="114">
        <f t="shared" si="268"/>
        <v>0</v>
      </c>
      <c r="D276" s="133" t="str">
        <f>_xll.ciqfunctions.udf.CIQ(C276,"IQ_Company_Name")</f>
        <v>(Invalid Identifier)</v>
      </c>
      <c r="E276" s="114">
        <f t="shared" si="275"/>
        <v>2023</v>
      </c>
      <c r="F276" s="114" t="str">
        <f t="shared" si="242"/>
        <v>2023-01-01</v>
      </c>
      <c r="G276" s="330" t="str">
        <f t="shared" si="277"/>
        <v>2023-12-31</v>
      </c>
      <c r="H276" s="114">
        <f t="shared" si="247"/>
        <v>12</v>
      </c>
      <c r="I276" s="407" t="str">
        <f t="shared" si="278"/>
        <v>CAD</v>
      </c>
      <c r="J276" s="461">
        <f t="shared" si="233"/>
        <v>1</v>
      </c>
      <c r="K276" s="468"/>
      <c r="L276" s="465" t="str">
        <f t="shared" ref="L276:N277" si="281">L275</f>
        <v>NEO3</v>
      </c>
      <c r="M276" s="123" t="str">
        <f t="shared" si="281"/>
        <v>-</v>
      </c>
      <c r="N276" s="132" t="str">
        <f t="shared" si="281"/>
        <v>-</v>
      </c>
      <c r="O276" s="219" t="s">
        <v>78</v>
      </c>
      <c r="P276" s="125" t="str">
        <f t="shared" si="270"/>
        <v>-</v>
      </c>
      <c r="Q276" s="311" t="s">
        <v>78</v>
      </c>
      <c r="R276" s="126" t="str">
        <f t="shared" si="271"/>
        <v>-</v>
      </c>
      <c r="S276" s="221" t="s">
        <v>78</v>
      </c>
      <c r="T276" s="125" t="str">
        <f t="shared" si="272"/>
        <v>-</v>
      </c>
      <c r="U276" s="127" t="str">
        <f t="shared" si="243"/>
        <v>-</v>
      </c>
      <c r="V276" s="128"/>
      <c r="W276" s="223" t="s">
        <v>78</v>
      </c>
      <c r="X276" s="129" t="str">
        <f t="shared" si="244"/>
        <v>-</v>
      </c>
      <c r="Y276" s="124" t="str">
        <f t="shared" si="249"/>
        <v>-</v>
      </c>
      <c r="Z276" s="130" t="str">
        <f t="shared" si="250"/>
        <v>-</v>
      </c>
      <c r="AA276" s="221" t="s">
        <v>78</v>
      </c>
      <c r="AB276" s="225" t="s">
        <v>78</v>
      </c>
      <c r="AC276" s="225" t="s">
        <v>78</v>
      </c>
      <c r="AD276" s="225" t="s">
        <v>78</v>
      </c>
      <c r="AE276" s="225" t="s">
        <v>78</v>
      </c>
      <c r="AF276" s="125" t="str">
        <f t="shared" si="235"/>
        <v>-</v>
      </c>
      <c r="AG276" s="127" t="str">
        <f t="shared" si="245"/>
        <v>-</v>
      </c>
      <c r="AH276" s="128"/>
      <c r="AI276" s="223" t="s">
        <v>78</v>
      </c>
      <c r="AJ276" s="131" t="str">
        <f t="shared" si="246"/>
        <v>-</v>
      </c>
      <c r="AK276" s="368" t="str">
        <f t="shared" si="273"/>
        <v>-</v>
      </c>
      <c r="AL276" s="375" t="str">
        <f t="shared" si="251"/>
        <v>-</v>
      </c>
      <c r="AM276" s="376" t="str">
        <f t="shared" si="252"/>
        <v>-</v>
      </c>
      <c r="AN276" s="394" t="s">
        <v>78</v>
      </c>
      <c r="AO276" s="395" t="s">
        <v>78</v>
      </c>
      <c r="AP276" s="396" t="str">
        <f t="shared" si="229"/>
        <v>-</v>
      </c>
      <c r="AQ276" s="397"/>
      <c r="AR276" s="401" t="s">
        <v>78</v>
      </c>
      <c r="AS276" s="396" t="str">
        <f t="shared" si="230"/>
        <v>-</v>
      </c>
      <c r="AT276" s="397"/>
      <c r="AU276" s="388" t="str">
        <f t="shared" si="253"/>
        <v>-</v>
      </c>
      <c r="AV276" s="389" t="str">
        <f t="shared" si="254"/>
        <v>-</v>
      </c>
      <c r="AW276" s="353" t="s">
        <v>78</v>
      </c>
      <c r="AX276" s="403"/>
      <c r="AY276" s="404"/>
    </row>
    <row r="277" spans="1:51" ht="15" customHeight="1">
      <c r="A277" s="1" t="str">
        <f t="shared" si="227"/>
        <v>0_2022_</v>
      </c>
      <c r="B277" s="1" t="str">
        <f t="shared" si="232"/>
        <v>0_2022_NEO3</v>
      </c>
      <c r="C277" s="203">
        <f t="shared" si="268"/>
        <v>0</v>
      </c>
      <c r="D277" s="205" t="str">
        <f>_xll.ciqfunctions.udf.CIQ(C277,"IQ_Company_Name")</f>
        <v>(Invalid Identifier)</v>
      </c>
      <c r="E277" s="204">
        <f t="shared" si="275"/>
        <v>2022</v>
      </c>
      <c r="F277" s="204" t="str">
        <f t="shared" si="242"/>
        <v>2022-01-01</v>
      </c>
      <c r="G277" s="331" t="str">
        <f t="shared" si="277"/>
        <v>2022-12-31</v>
      </c>
      <c r="H277" s="204">
        <f t="shared" si="247"/>
        <v>12</v>
      </c>
      <c r="I277" s="408" t="str">
        <f t="shared" si="278"/>
        <v>CAD</v>
      </c>
      <c r="J277" s="463">
        <f t="shared" si="233"/>
        <v>1</v>
      </c>
      <c r="K277" s="470"/>
      <c r="L277" s="466" t="str">
        <f t="shared" si="281"/>
        <v>NEO3</v>
      </c>
      <c r="M277" s="206" t="str">
        <f t="shared" si="281"/>
        <v>-</v>
      </c>
      <c r="N277" s="207" t="str">
        <f t="shared" si="281"/>
        <v>-</v>
      </c>
      <c r="O277" s="220" t="s">
        <v>78</v>
      </c>
      <c r="P277" s="209" t="str">
        <f t="shared" si="270"/>
        <v>-</v>
      </c>
      <c r="Q277" s="312" t="s">
        <v>78</v>
      </c>
      <c r="R277" s="329" t="str">
        <f t="shared" si="271"/>
        <v>-</v>
      </c>
      <c r="S277" s="222" t="s">
        <v>78</v>
      </c>
      <c r="T277" s="209" t="str">
        <f t="shared" si="272"/>
        <v>-</v>
      </c>
      <c r="U277" s="211" t="str">
        <f t="shared" si="243"/>
        <v>-</v>
      </c>
      <c r="V277" s="212"/>
      <c r="W277" s="224" t="s">
        <v>78</v>
      </c>
      <c r="X277" s="213" t="str">
        <f t="shared" si="244"/>
        <v>-</v>
      </c>
      <c r="Y277" s="208" t="str">
        <f t="shared" si="249"/>
        <v>-</v>
      </c>
      <c r="Z277" s="214" t="str">
        <f t="shared" si="250"/>
        <v>-</v>
      </c>
      <c r="AA277" s="222" t="s">
        <v>78</v>
      </c>
      <c r="AB277" s="226" t="s">
        <v>78</v>
      </c>
      <c r="AC277" s="226" t="s">
        <v>78</v>
      </c>
      <c r="AD277" s="226" t="s">
        <v>78</v>
      </c>
      <c r="AE277" s="226" t="s">
        <v>78</v>
      </c>
      <c r="AF277" s="420" t="str">
        <f t="shared" si="235"/>
        <v>-</v>
      </c>
      <c r="AG277" s="211" t="str">
        <f t="shared" si="245"/>
        <v>-</v>
      </c>
      <c r="AH277" s="212"/>
      <c r="AI277" s="224" t="s">
        <v>78</v>
      </c>
      <c r="AJ277" s="215" t="str">
        <f t="shared" si="246"/>
        <v>-</v>
      </c>
      <c r="AK277" s="369" t="str">
        <f t="shared" si="273"/>
        <v>-</v>
      </c>
      <c r="AL277" s="377" t="str">
        <f t="shared" si="251"/>
        <v>-</v>
      </c>
      <c r="AM277" s="378" t="str">
        <f t="shared" si="252"/>
        <v>-</v>
      </c>
      <c r="AN277" s="398" t="s">
        <v>78</v>
      </c>
      <c r="AO277" s="399" t="s">
        <v>78</v>
      </c>
      <c r="AP277" s="396" t="str">
        <f t="shared" si="229"/>
        <v>-</v>
      </c>
      <c r="AQ277" s="400"/>
      <c r="AR277" s="402" t="s">
        <v>78</v>
      </c>
      <c r="AS277" s="396" t="str">
        <f t="shared" si="230"/>
        <v>-</v>
      </c>
      <c r="AT277" s="400"/>
      <c r="AU277" s="390" t="str">
        <f t="shared" si="253"/>
        <v>-</v>
      </c>
      <c r="AV277" s="391" t="str">
        <f t="shared" si="254"/>
        <v>-</v>
      </c>
      <c r="AW277" s="354" t="s">
        <v>78</v>
      </c>
      <c r="AX277" s="405"/>
      <c r="AY277" s="406"/>
    </row>
    <row r="278" spans="1:51" ht="15" customHeight="1">
      <c r="A278" s="1" t="str">
        <f t="shared" si="227"/>
        <v>0_2024_</v>
      </c>
      <c r="B278" s="1" t="str">
        <f t="shared" si="232"/>
        <v>0_2024_CEO</v>
      </c>
      <c r="C278" s="216">
        <f>D19</f>
        <v>0</v>
      </c>
      <c r="D278" s="133" t="str">
        <f>_xll.ciqfunctions.udf.CIQ(C278,"IQ_Company_Name")</f>
        <v>(Invalid Identifier)</v>
      </c>
      <c r="E278" s="328">
        <f>$F$9</f>
        <v>2024</v>
      </c>
      <c r="F278" s="330" t="str">
        <f t="shared" si="242"/>
        <v>2024-01-01</v>
      </c>
      <c r="G278" s="330" t="str">
        <f t="shared" si="277"/>
        <v>2024-12-31</v>
      </c>
      <c r="H278" s="114">
        <f t="shared" si="247"/>
        <v>12</v>
      </c>
      <c r="I278" s="328" t="str">
        <f>$G$5</f>
        <v>CAD</v>
      </c>
      <c r="J278" s="461">
        <f t="shared" si="233"/>
        <v>1</v>
      </c>
      <c r="K278" s="468"/>
      <c r="L278" s="464" t="s">
        <v>79</v>
      </c>
      <c r="M278" s="217" t="s">
        <v>78</v>
      </c>
      <c r="N278" s="218" t="s">
        <v>78</v>
      </c>
      <c r="O278" s="219" t="s">
        <v>78</v>
      </c>
      <c r="P278" s="125" t="str">
        <f t="shared" si="270"/>
        <v>-</v>
      </c>
      <c r="Q278" s="311" t="s">
        <v>78</v>
      </c>
      <c r="R278" s="126" t="str">
        <f t="shared" si="271"/>
        <v>-</v>
      </c>
      <c r="S278" s="221" t="s">
        <v>78</v>
      </c>
      <c r="T278" s="125" t="str">
        <f t="shared" si="272"/>
        <v>-</v>
      </c>
      <c r="U278" s="127" t="str">
        <f t="shared" si="243"/>
        <v>-</v>
      </c>
      <c r="V278" s="128" t="str">
        <f>IFERROR(AVERAGE(U278:U280),"N/A")</f>
        <v>N/A</v>
      </c>
      <c r="W278" s="223" t="s">
        <v>78</v>
      </c>
      <c r="X278" s="129" t="str">
        <f t="shared" si="244"/>
        <v>-</v>
      </c>
      <c r="Y278" s="124" t="str">
        <f t="shared" si="249"/>
        <v>-</v>
      </c>
      <c r="Z278" s="130" t="str">
        <f t="shared" si="250"/>
        <v>-</v>
      </c>
      <c r="AA278" s="221" t="s">
        <v>78</v>
      </c>
      <c r="AB278" s="225" t="s">
        <v>78</v>
      </c>
      <c r="AC278" s="225" t="s">
        <v>78</v>
      </c>
      <c r="AD278" s="225" t="s">
        <v>78</v>
      </c>
      <c r="AE278" s="225" t="s">
        <v>78</v>
      </c>
      <c r="AF278" s="125" t="str">
        <f t="shared" si="235"/>
        <v>-</v>
      </c>
      <c r="AG278" s="127" t="str">
        <f t="shared" si="245"/>
        <v>-</v>
      </c>
      <c r="AH278" s="128" t="str">
        <f>IFERROR(AVERAGE(AG278:AG280),"N/A")</f>
        <v>N/A</v>
      </c>
      <c r="AI278" s="223" t="s">
        <v>78</v>
      </c>
      <c r="AJ278" s="131" t="str">
        <f t="shared" si="246"/>
        <v>-</v>
      </c>
      <c r="AK278" s="368" t="str">
        <f t="shared" si="273"/>
        <v>-</v>
      </c>
      <c r="AL278" s="375" t="str">
        <f t="shared" si="251"/>
        <v>-</v>
      </c>
      <c r="AM278" s="376" t="str">
        <f t="shared" si="252"/>
        <v>-</v>
      </c>
      <c r="AN278" s="394" t="s">
        <v>78</v>
      </c>
      <c r="AO278" s="395" t="s">
        <v>78</v>
      </c>
      <c r="AP278" s="396" t="str">
        <f t="shared" si="229"/>
        <v>-</v>
      </c>
      <c r="AQ278" s="409" t="str">
        <f>IFERROR(AVERAGE(AP278:AP280),"N/A")</f>
        <v>N/A</v>
      </c>
      <c r="AR278" s="401" t="s">
        <v>78</v>
      </c>
      <c r="AS278" s="396" t="str">
        <f t="shared" si="230"/>
        <v>-</v>
      </c>
      <c r="AT278" s="409" t="str">
        <f>IFERROR(AVERAGE(AS278:AS280),"N/A")</f>
        <v>N/A</v>
      </c>
      <c r="AU278" s="388" t="str">
        <f t="shared" si="253"/>
        <v>-</v>
      </c>
      <c r="AV278" s="389" t="str">
        <f t="shared" si="254"/>
        <v>-</v>
      </c>
      <c r="AW278" s="353" t="s">
        <v>78</v>
      </c>
      <c r="AX278" s="403"/>
      <c r="AY278" s="404"/>
    </row>
    <row r="279" spans="1:51" ht="15" customHeight="1">
      <c r="A279" s="1" t="str">
        <f t="shared" si="227"/>
        <v>0_2023_</v>
      </c>
      <c r="B279" s="1" t="str">
        <f t="shared" si="232"/>
        <v>0_2023_CEO</v>
      </c>
      <c r="C279" s="114">
        <f>C278</f>
        <v>0</v>
      </c>
      <c r="D279" s="133" t="str">
        <f>_xll.ciqfunctions.udf.CIQ(C279,"IQ_Company_Name")</f>
        <v>(Invalid Identifier)</v>
      </c>
      <c r="E279" s="328">
        <f>$F$10</f>
        <v>2023</v>
      </c>
      <c r="F279" s="330" t="str">
        <f t="shared" si="242"/>
        <v>2023-01-01</v>
      </c>
      <c r="G279" s="330" t="str">
        <f t="shared" si="277"/>
        <v>2023-12-31</v>
      </c>
      <c r="H279" s="114">
        <f t="shared" si="247"/>
        <v>12</v>
      </c>
      <c r="I279" s="407" t="str">
        <f>I278</f>
        <v>CAD</v>
      </c>
      <c r="J279" s="461">
        <f t="shared" si="233"/>
        <v>1</v>
      </c>
      <c r="K279" s="468"/>
      <c r="L279" s="465" t="str">
        <f t="shared" ref="L279:N280" si="282">L278</f>
        <v>CEO</v>
      </c>
      <c r="M279" s="123" t="str">
        <f t="shared" si="282"/>
        <v>-</v>
      </c>
      <c r="N279" s="132" t="str">
        <f t="shared" si="282"/>
        <v>-</v>
      </c>
      <c r="O279" s="219" t="s">
        <v>78</v>
      </c>
      <c r="P279" s="125" t="str">
        <f t="shared" si="270"/>
        <v>-</v>
      </c>
      <c r="Q279" s="311" t="s">
        <v>78</v>
      </c>
      <c r="R279" s="126" t="str">
        <f t="shared" si="271"/>
        <v>-</v>
      </c>
      <c r="S279" s="221" t="s">
        <v>78</v>
      </c>
      <c r="T279" s="125" t="str">
        <f t="shared" si="272"/>
        <v>-</v>
      </c>
      <c r="U279" s="127" t="str">
        <f t="shared" si="243"/>
        <v>-</v>
      </c>
      <c r="V279" s="128"/>
      <c r="W279" s="223" t="s">
        <v>78</v>
      </c>
      <c r="X279" s="129" t="str">
        <f t="shared" si="244"/>
        <v>-</v>
      </c>
      <c r="Y279" s="124" t="str">
        <f t="shared" si="249"/>
        <v>-</v>
      </c>
      <c r="Z279" s="130" t="str">
        <f t="shared" si="250"/>
        <v>-</v>
      </c>
      <c r="AA279" s="221" t="s">
        <v>78</v>
      </c>
      <c r="AB279" s="225" t="s">
        <v>78</v>
      </c>
      <c r="AC279" s="225" t="s">
        <v>78</v>
      </c>
      <c r="AD279" s="225" t="s">
        <v>78</v>
      </c>
      <c r="AE279" s="225" t="s">
        <v>78</v>
      </c>
      <c r="AF279" s="125" t="str">
        <f t="shared" si="235"/>
        <v>-</v>
      </c>
      <c r="AG279" s="127" t="str">
        <f t="shared" si="245"/>
        <v>-</v>
      </c>
      <c r="AH279" s="128"/>
      <c r="AI279" s="223" t="s">
        <v>78</v>
      </c>
      <c r="AJ279" s="131" t="str">
        <f t="shared" si="246"/>
        <v>-</v>
      </c>
      <c r="AK279" s="368" t="str">
        <f t="shared" si="273"/>
        <v>-</v>
      </c>
      <c r="AL279" s="375" t="str">
        <f t="shared" si="251"/>
        <v>-</v>
      </c>
      <c r="AM279" s="376" t="str">
        <f t="shared" si="252"/>
        <v>-</v>
      </c>
      <c r="AN279" s="394" t="s">
        <v>78</v>
      </c>
      <c r="AO279" s="395" t="s">
        <v>78</v>
      </c>
      <c r="AP279" s="396" t="str">
        <f t="shared" si="229"/>
        <v>-</v>
      </c>
      <c r="AQ279" s="397"/>
      <c r="AR279" s="401" t="s">
        <v>78</v>
      </c>
      <c r="AS279" s="396" t="str">
        <f t="shared" si="230"/>
        <v>-</v>
      </c>
      <c r="AT279" s="397"/>
      <c r="AU279" s="388" t="str">
        <f t="shared" si="253"/>
        <v>-</v>
      </c>
      <c r="AV279" s="389" t="str">
        <f t="shared" si="254"/>
        <v>-</v>
      </c>
      <c r="AW279" s="353" t="s">
        <v>78</v>
      </c>
      <c r="AX279" s="403"/>
      <c r="AY279" s="404"/>
    </row>
    <row r="280" spans="1:51" ht="15" customHeight="1">
      <c r="A280" s="1" t="str">
        <f t="shared" si="227"/>
        <v>0_2022_</v>
      </c>
      <c r="B280" s="1" t="str">
        <f t="shared" si="232"/>
        <v>0_2022_CEO</v>
      </c>
      <c r="C280" s="114">
        <f t="shared" si="268"/>
        <v>0</v>
      </c>
      <c r="D280" s="133" t="str">
        <f>_xll.ciqfunctions.udf.CIQ(C280,"IQ_Company_Name")</f>
        <v>(Invalid Identifier)</v>
      </c>
      <c r="E280" s="328">
        <f>$F$11</f>
        <v>2022</v>
      </c>
      <c r="F280" s="114" t="str">
        <f t="shared" si="242"/>
        <v>2022-01-01</v>
      </c>
      <c r="G280" s="330" t="str">
        <f t="shared" si="277"/>
        <v>2022-12-31</v>
      </c>
      <c r="H280" s="114">
        <f t="shared" si="247"/>
        <v>12</v>
      </c>
      <c r="I280" s="407" t="str">
        <f>I279</f>
        <v>CAD</v>
      </c>
      <c r="J280" s="461">
        <f t="shared" si="233"/>
        <v>1</v>
      </c>
      <c r="K280" s="468"/>
      <c r="L280" s="465" t="str">
        <f t="shared" si="282"/>
        <v>CEO</v>
      </c>
      <c r="M280" s="123" t="str">
        <f t="shared" si="282"/>
        <v>-</v>
      </c>
      <c r="N280" s="132" t="str">
        <f t="shared" si="282"/>
        <v>-</v>
      </c>
      <c r="O280" s="219" t="s">
        <v>78</v>
      </c>
      <c r="P280" s="125" t="str">
        <f t="shared" si="270"/>
        <v>-</v>
      </c>
      <c r="Q280" s="311" t="s">
        <v>78</v>
      </c>
      <c r="R280" s="126" t="str">
        <f t="shared" si="271"/>
        <v>-</v>
      </c>
      <c r="S280" s="221" t="s">
        <v>78</v>
      </c>
      <c r="T280" s="125" t="str">
        <f t="shared" si="272"/>
        <v>-</v>
      </c>
      <c r="U280" s="127" t="str">
        <f t="shared" si="243"/>
        <v>-</v>
      </c>
      <c r="V280" s="128"/>
      <c r="W280" s="223" t="s">
        <v>78</v>
      </c>
      <c r="X280" s="129" t="str">
        <f t="shared" si="244"/>
        <v>-</v>
      </c>
      <c r="Y280" s="124" t="str">
        <f t="shared" si="249"/>
        <v>-</v>
      </c>
      <c r="Z280" s="130" t="str">
        <f t="shared" si="250"/>
        <v>-</v>
      </c>
      <c r="AA280" s="221" t="s">
        <v>78</v>
      </c>
      <c r="AB280" s="225" t="s">
        <v>78</v>
      </c>
      <c r="AC280" s="225" t="s">
        <v>78</v>
      </c>
      <c r="AD280" s="225" t="s">
        <v>78</v>
      </c>
      <c r="AE280" s="225" t="s">
        <v>78</v>
      </c>
      <c r="AF280" s="125" t="str">
        <f t="shared" si="235"/>
        <v>-</v>
      </c>
      <c r="AG280" s="127" t="str">
        <f t="shared" si="245"/>
        <v>-</v>
      </c>
      <c r="AH280" s="128"/>
      <c r="AI280" s="223" t="s">
        <v>78</v>
      </c>
      <c r="AJ280" s="131" t="str">
        <f t="shared" si="246"/>
        <v>-</v>
      </c>
      <c r="AK280" s="368" t="str">
        <f t="shared" si="273"/>
        <v>-</v>
      </c>
      <c r="AL280" s="375" t="str">
        <f t="shared" si="251"/>
        <v>-</v>
      </c>
      <c r="AM280" s="376" t="str">
        <f t="shared" si="252"/>
        <v>-</v>
      </c>
      <c r="AN280" s="394" t="s">
        <v>78</v>
      </c>
      <c r="AO280" s="395" t="s">
        <v>78</v>
      </c>
      <c r="AP280" s="396" t="str">
        <f t="shared" si="229"/>
        <v>-</v>
      </c>
      <c r="AQ280" s="397"/>
      <c r="AR280" s="401" t="s">
        <v>78</v>
      </c>
      <c r="AS280" s="396" t="str">
        <f t="shared" si="230"/>
        <v>-</v>
      </c>
      <c r="AT280" s="397"/>
      <c r="AU280" s="388" t="str">
        <f t="shared" si="253"/>
        <v>-</v>
      </c>
      <c r="AV280" s="389" t="str">
        <f t="shared" si="254"/>
        <v>-</v>
      </c>
      <c r="AW280" s="353" t="s">
        <v>78</v>
      </c>
      <c r="AX280" s="403"/>
      <c r="AY280" s="404"/>
    </row>
    <row r="281" spans="1:51" ht="15" customHeight="1">
      <c r="A281" s="1" t="str">
        <f t="shared" si="227"/>
        <v>0_2024_</v>
      </c>
      <c r="B281" s="1" t="str">
        <f t="shared" si="232"/>
        <v>0_2024_CFO</v>
      </c>
      <c r="C281" s="114">
        <f t="shared" si="268"/>
        <v>0</v>
      </c>
      <c r="D281" s="133" t="str">
        <f>_xll.ciqfunctions.udf.CIQ(C281,"IQ_Company_Name")</f>
        <v>(Invalid Identifier)</v>
      </c>
      <c r="E281" s="114">
        <f t="shared" si="275"/>
        <v>2024</v>
      </c>
      <c r="F281" s="114" t="str">
        <f t="shared" si="242"/>
        <v>2024-01-01</v>
      </c>
      <c r="G281" s="330" t="str">
        <f t="shared" si="277"/>
        <v>2024-12-31</v>
      </c>
      <c r="H281" s="114">
        <f t="shared" si="247"/>
        <v>12</v>
      </c>
      <c r="I281" s="407" t="str">
        <f>I280</f>
        <v>CAD</v>
      </c>
      <c r="J281" s="461">
        <f t="shared" si="233"/>
        <v>1</v>
      </c>
      <c r="K281" s="468"/>
      <c r="L281" s="464" t="s">
        <v>106</v>
      </c>
      <c r="M281" s="217" t="s">
        <v>78</v>
      </c>
      <c r="N281" s="218" t="s">
        <v>78</v>
      </c>
      <c r="O281" s="219" t="s">
        <v>78</v>
      </c>
      <c r="P281" s="125" t="str">
        <f t="shared" si="270"/>
        <v>-</v>
      </c>
      <c r="Q281" s="311" t="s">
        <v>78</v>
      </c>
      <c r="R281" s="126" t="str">
        <f t="shared" si="271"/>
        <v>-</v>
      </c>
      <c r="S281" s="221" t="s">
        <v>78</v>
      </c>
      <c r="T281" s="125" t="str">
        <f t="shared" si="272"/>
        <v>-</v>
      </c>
      <c r="U281" s="127" t="str">
        <f t="shared" si="243"/>
        <v>-</v>
      </c>
      <c r="V281" s="128" t="str">
        <f>IFERROR(AVERAGE(U281:U283),"N/A")</f>
        <v>N/A</v>
      </c>
      <c r="W281" s="223" t="s">
        <v>78</v>
      </c>
      <c r="X281" s="129" t="str">
        <f t="shared" si="244"/>
        <v>-</v>
      </c>
      <c r="Y281" s="124" t="str">
        <f t="shared" si="249"/>
        <v>-</v>
      </c>
      <c r="Z281" s="130" t="str">
        <f t="shared" si="250"/>
        <v>-</v>
      </c>
      <c r="AA281" s="221" t="s">
        <v>78</v>
      </c>
      <c r="AB281" s="225" t="s">
        <v>78</v>
      </c>
      <c r="AC281" s="225" t="s">
        <v>78</v>
      </c>
      <c r="AD281" s="225" t="s">
        <v>78</v>
      </c>
      <c r="AE281" s="225" t="s">
        <v>78</v>
      </c>
      <c r="AF281" s="125" t="str">
        <f t="shared" si="235"/>
        <v>-</v>
      </c>
      <c r="AG281" s="127" t="str">
        <f t="shared" si="245"/>
        <v>-</v>
      </c>
      <c r="AH281" s="128" t="str">
        <f>IFERROR(AVERAGE(AG281:AG283),"N/A")</f>
        <v>N/A</v>
      </c>
      <c r="AI281" s="223" t="s">
        <v>78</v>
      </c>
      <c r="AJ281" s="131" t="str">
        <f t="shared" si="246"/>
        <v>-</v>
      </c>
      <c r="AK281" s="368" t="str">
        <f t="shared" si="273"/>
        <v>-</v>
      </c>
      <c r="AL281" s="375" t="str">
        <f t="shared" si="251"/>
        <v>-</v>
      </c>
      <c r="AM281" s="376" t="str">
        <f t="shared" si="252"/>
        <v>-</v>
      </c>
      <c r="AN281" s="394" t="s">
        <v>78</v>
      </c>
      <c r="AO281" s="395" t="s">
        <v>78</v>
      </c>
      <c r="AP281" s="396" t="str">
        <f t="shared" si="229"/>
        <v>-</v>
      </c>
      <c r="AQ281" s="397" t="str">
        <f>IFERROR(AVERAGE(AP281:AP283),"N/A")</f>
        <v>N/A</v>
      </c>
      <c r="AR281" s="401" t="s">
        <v>78</v>
      </c>
      <c r="AS281" s="396" t="str">
        <f t="shared" si="230"/>
        <v>-</v>
      </c>
      <c r="AT281" s="397" t="str">
        <f>IFERROR(AVERAGE(AS281:AS283),"N/A")</f>
        <v>N/A</v>
      </c>
      <c r="AU281" s="388" t="str">
        <f t="shared" si="253"/>
        <v>-</v>
      </c>
      <c r="AV281" s="389" t="str">
        <f t="shared" si="254"/>
        <v>-</v>
      </c>
      <c r="AW281" s="353" t="s">
        <v>78</v>
      </c>
      <c r="AX281" s="403"/>
      <c r="AY281" s="404"/>
    </row>
    <row r="282" spans="1:51" ht="15" customHeight="1">
      <c r="A282" s="1" t="str">
        <f t="shared" si="227"/>
        <v>0_2023_</v>
      </c>
      <c r="B282" s="1" t="str">
        <f t="shared" si="232"/>
        <v>0_2023_CFO</v>
      </c>
      <c r="C282" s="114">
        <f t="shared" si="268"/>
        <v>0</v>
      </c>
      <c r="D282" s="133" t="str">
        <f>_xll.ciqfunctions.udf.CIQ(C282,"IQ_Company_Name")</f>
        <v>(Invalid Identifier)</v>
      </c>
      <c r="E282" s="114">
        <f t="shared" si="275"/>
        <v>2023</v>
      </c>
      <c r="F282" s="114" t="str">
        <f t="shared" si="242"/>
        <v>2023-01-01</v>
      </c>
      <c r="G282" s="330" t="str">
        <f t="shared" si="277"/>
        <v>2023-12-31</v>
      </c>
      <c r="H282" s="114">
        <f t="shared" si="247"/>
        <v>12</v>
      </c>
      <c r="I282" s="407" t="str">
        <f>I281</f>
        <v>CAD</v>
      </c>
      <c r="J282" s="461">
        <f t="shared" si="233"/>
        <v>1</v>
      </c>
      <c r="K282" s="468"/>
      <c r="L282" s="465" t="str">
        <f t="shared" ref="L282:N283" si="283">L281</f>
        <v>CFO</v>
      </c>
      <c r="M282" s="123" t="str">
        <f t="shared" si="283"/>
        <v>-</v>
      </c>
      <c r="N282" s="132" t="str">
        <f t="shared" si="283"/>
        <v>-</v>
      </c>
      <c r="O282" s="219" t="s">
        <v>78</v>
      </c>
      <c r="P282" s="125" t="str">
        <f t="shared" si="270"/>
        <v>-</v>
      </c>
      <c r="Q282" s="311" t="s">
        <v>78</v>
      </c>
      <c r="R282" s="126" t="str">
        <f t="shared" si="271"/>
        <v>-</v>
      </c>
      <c r="S282" s="221" t="s">
        <v>78</v>
      </c>
      <c r="T282" s="125" t="str">
        <f t="shared" si="272"/>
        <v>-</v>
      </c>
      <c r="U282" s="127" t="str">
        <f t="shared" si="243"/>
        <v>-</v>
      </c>
      <c r="V282" s="128"/>
      <c r="W282" s="223" t="s">
        <v>78</v>
      </c>
      <c r="X282" s="129" t="str">
        <f t="shared" si="244"/>
        <v>-</v>
      </c>
      <c r="Y282" s="124" t="str">
        <f t="shared" si="249"/>
        <v>-</v>
      </c>
      <c r="Z282" s="130" t="str">
        <f t="shared" si="250"/>
        <v>-</v>
      </c>
      <c r="AA282" s="221" t="s">
        <v>78</v>
      </c>
      <c r="AB282" s="225" t="s">
        <v>78</v>
      </c>
      <c r="AC282" s="225" t="s">
        <v>78</v>
      </c>
      <c r="AD282" s="225" t="s">
        <v>78</v>
      </c>
      <c r="AE282" s="225" t="s">
        <v>78</v>
      </c>
      <c r="AF282" s="125" t="str">
        <f t="shared" si="235"/>
        <v>-</v>
      </c>
      <c r="AG282" s="127" t="str">
        <f t="shared" si="245"/>
        <v>-</v>
      </c>
      <c r="AH282" s="128"/>
      <c r="AI282" s="223" t="s">
        <v>78</v>
      </c>
      <c r="AJ282" s="131" t="str">
        <f t="shared" si="246"/>
        <v>-</v>
      </c>
      <c r="AK282" s="368" t="str">
        <f t="shared" si="273"/>
        <v>-</v>
      </c>
      <c r="AL282" s="375" t="str">
        <f t="shared" si="251"/>
        <v>-</v>
      </c>
      <c r="AM282" s="376" t="str">
        <f t="shared" si="252"/>
        <v>-</v>
      </c>
      <c r="AN282" s="394" t="s">
        <v>78</v>
      </c>
      <c r="AO282" s="395" t="s">
        <v>78</v>
      </c>
      <c r="AP282" s="396" t="str">
        <f t="shared" si="229"/>
        <v>-</v>
      </c>
      <c r="AQ282" s="397"/>
      <c r="AR282" s="401" t="s">
        <v>78</v>
      </c>
      <c r="AS282" s="396" t="str">
        <f t="shared" si="230"/>
        <v>-</v>
      </c>
      <c r="AT282" s="397"/>
      <c r="AU282" s="388" t="str">
        <f t="shared" si="253"/>
        <v>-</v>
      </c>
      <c r="AV282" s="389" t="str">
        <f t="shared" si="254"/>
        <v>-</v>
      </c>
      <c r="AW282" s="353" t="s">
        <v>78</v>
      </c>
      <c r="AX282" s="403"/>
      <c r="AY282" s="404"/>
    </row>
    <row r="283" spans="1:51" ht="15" customHeight="1">
      <c r="A283" s="1" t="str">
        <f t="shared" si="227"/>
        <v>0_2022_</v>
      </c>
      <c r="B283" s="1" t="str">
        <f t="shared" si="232"/>
        <v>0_2022_CFO</v>
      </c>
      <c r="C283" s="114">
        <f t="shared" si="268"/>
        <v>0</v>
      </c>
      <c r="D283" s="133" t="str">
        <f>_xll.ciqfunctions.udf.CIQ(C283,"IQ_Company_Name")</f>
        <v>(Invalid Identifier)</v>
      </c>
      <c r="E283" s="114">
        <f t="shared" si="275"/>
        <v>2022</v>
      </c>
      <c r="F283" s="114" t="str">
        <f t="shared" si="242"/>
        <v>2022-01-01</v>
      </c>
      <c r="G283" s="330" t="str">
        <f t="shared" si="277"/>
        <v>2022-12-31</v>
      </c>
      <c r="H283" s="114">
        <f t="shared" si="247"/>
        <v>12</v>
      </c>
      <c r="I283" s="407" t="str">
        <f t="shared" si="278"/>
        <v>CAD</v>
      </c>
      <c r="J283" s="461">
        <f t="shared" si="233"/>
        <v>1</v>
      </c>
      <c r="K283" s="468"/>
      <c r="L283" s="465" t="str">
        <f t="shared" si="283"/>
        <v>CFO</v>
      </c>
      <c r="M283" s="123" t="str">
        <f t="shared" si="283"/>
        <v>-</v>
      </c>
      <c r="N283" s="132" t="str">
        <f t="shared" si="283"/>
        <v>-</v>
      </c>
      <c r="O283" s="219" t="s">
        <v>78</v>
      </c>
      <c r="P283" s="125" t="str">
        <f t="shared" si="270"/>
        <v>-</v>
      </c>
      <c r="Q283" s="311" t="s">
        <v>78</v>
      </c>
      <c r="R283" s="126" t="str">
        <f t="shared" si="271"/>
        <v>-</v>
      </c>
      <c r="S283" s="221" t="s">
        <v>78</v>
      </c>
      <c r="T283" s="125" t="str">
        <f t="shared" si="272"/>
        <v>-</v>
      </c>
      <c r="U283" s="127" t="str">
        <f t="shared" si="243"/>
        <v>-</v>
      </c>
      <c r="V283" s="128"/>
      <c r="W283" s="223" t="s">
        <v>78</v>
      </c>
      <c r="X283" s="129" t="str">
        <f t="shared" si="244"/>
        <v>-</v>
      </c>
      <c r="Y283" s="124" t="str">
        <f t="shared" si="249"/>
        <v>-</v>
      </c>
      <c r="Z283" s="130" t="str">
        <f t="shared" si="250"/>
        <v>-</v>
      </c>
      <c r="AA283" s="221" t="s">
        <v>78</v>
      </c>
      <c r="AB283" s="225" t="s">
        <v>78</v>
      </c>
      <c r="AC283" s="225" t="s">
        <v>78</v>
      </c>
      <c r="AD283" s="225" t="s">
        <v>78</v>
      </c>
      <c r="AE283" s="225" t="s">
        <v>78</v>
      </c>
      <c r="AF283" s="125" t="str">
        <f t="shared" si="235"/>
        <v>-</v>
      </c>
      <c r="AG283" s="127" t="str">
        <f t="shared" si="245"/>
        <v>-</v>
      </c>
      <c r="AH283" s="128"/>
      <c r="AI283" s="223" t="s">
        <v>78</v>
      </c>
      <c r="AJ283" s="131" t="str">
        <f t="shared" si="246"/>
        <v>-</v>
      </c>
      <c r="AK283" s="368" t="str">
        <f t="shared" si="273"/>
        <v>-</v>
      </c>
      <c r="AL283" s="375" t="str">
        <f t="shared" si="251"/>
        <v>-</v>
      </c>
      <c r="AM283" s="376" t="str">
        <f t="shared" si="252"/>
        <v>-</v>
      </c>
      <c r="AN283" s="394" t="s">
        <v>78</v>
      </c>
      <c r="AO283" s="395" t="s">
        <v>78</v>
      </c>
      <c r="AP283" s="396" t="str">
        <f t="shared" si="229"/>
        <v>-</v>
      </c>
      <c r="AQ283" s="397"/>
      <c r="AR283" s="401" t="s">
        <v>78</v>
      </c>
      <c r="AS283" s="396" t="str">
        <f t="shared" si="230"/>
        <v>-</v>
      </c>
      <c r="AT283" s="397"/>
      <c r="AU283" s="388" t="str">
        <f t="shared" si="253"/>
        <v>-</v>
      </c>
      <c r="AV283" s="389" t="str">
        <f t="shared" si="254"/>
        <v>-</v>
      </c>
      <c r="AW283" s="353" t="s">
        <v>78</v>
      </c>
      <c r="AX283" s="403"/>
      <c r="AY283" s="404"/>
    </row>
    <row r="284" spans="1:51" ht="15" customHeight="1">
      <c r="A284" s="1" t="str">
        <f t="shared" si="227"/>
        <v>0_2024_</v>
      </c>
      <c r="B284" s="1" t="str">
        <f t="shared" si="232"/>
        <v>0_2024_NEO1</v>
      </c>
      <c r="C284" s="114">
        <f t="shared" si="268"/>
        <v>0</v>
      </c>
      <c r="D284" s="133" t="str">
        <f>_xll.ciqfunctions.udf.CIQ(C284,"IQ_Company_Name")</f>
        <v>(Invalid Identifier)</v>
      </c>
      <c r="E284" s="114">
        <f t="shared" si="275"/>
        <v>2024</v>
      </c>
      <c r="F284" s="330" t="str">
        <f t="shared" si="242"/>
        <v>2024-01-01</v>
      </c>
      <c r="G284" s="330" t="str">
        <f t="shared" si="277"/>
        <v>2024-12-31</v>
      </c>
      <c r="H284" s="114">
        <f t="shared" si="247"/>
        <v>12</v>
      </c>
      <c r="I284" s="407" t="str">
        <f t="shared" si="278"/>
        <v>CAD</v>
      </c>
      <c r="J284" s="461">
        <f t="shared" si="233"/>
        <v>1</v>
      </c>
      <c r="K284" s="468"/>
      <c r="L284" s="464" t="s">
        <v>107</v>
      </c>
      <c r="M284" s="217" t="s">
        <v>78</v>
      </c>
      <c r="N284" s="218" t="s">
        <v>78</v>
      </c>
      <c r="O284" s="219" t="s">
        <v>78</v>
      </c>
      <c r="P284" s="125" t="str">
        <f t="shared" si="270"/>
        <v>-</v>
      </c>
      <c r="Q284" s="311" t="s">
        <v>78</v>
      </c>
      <c r="R284" s="126" t="str">
        <f t="shared" si="271"/>
        <v>-</v>
      </c>
      <c r="S284" s="221" t="s">
        <v>78</v>
      </c>
      <c r="T284" s="125" t="str">
        <f t="shared" si="272"/>
        <v>-</v>
      </c>
      <c r="U284" s="127" t="str">
        <f t="shared" si="243"/>
        <v>-</v>
      </c>
      <c r="V284" s="128" t="str">
        <f>IFERROR(AVERAGE(U284:U286),"N/A")</f>
        <v>N/A</v>
      </c>
      <c r="W284" s="223" t="s">
        <v>78</v>
      </c>
      <c r="X284" s="129" t="str">
        <f t="shared" si="244"/>
        <v>-</v>
      </c>
      <c r="Y284" s="124" t="str">
        <f t="shared" si="249"/>
        <v>-</v>
      </c>
      <c r="Z284" s="130" t="str">
        <f t="shared" si="250"/>
        <v>-</v>
      </c>
      <c r="AA284" s="221" t="s">
        <v>78</v>
      </c>
      <c r="AB284" s="225" t="s">
        <v>78</v>
      </c>
      <c r="AC284" s="225" t="s">
        <v>78</v>
      </c>
      <c r="AD284" s="225" t="s">
        <v>78</v>
      </c>
      <c r="AE284" s="225" t="s">
        <v>78</v>
      </c>
      <c r="AF284" s="125" t="str">
        <f t="shared" si="235"/>
        <v>-</v>
      </c>
      <c r="AG284" s="127" t="str">
        <f t="shared" si="245"/>
        <v>-</v>
      </c>
      <c r="AH284" s="128" t="str">
        <f>IFERROR(AVERAGE(AG284:AG286),"N/A")</f>
        <v>N/A</v>
      </c>
      <c r="AI284" s="223" t="s">
        <v>78</v>
      </c>
      <c r="AJ284" s="131" t="str">
        <f t="shared" si="246"/>
        <v>-</v>
      </c>
      <c r="AK284" s="368" t="str">
        <f t="shared" si="273"/>
        <v>-</v>
      </c>
      <c r="AL284" s="375" t="str">
        <f t="shared" si="251"/>
        <v>-</v>
      </c>
      <c r="AM284" s="376" t="str">
        <f t="shared" si="252"/>
        <v>-</v>
      </c>
      <c r="AN284" s="394" t="s">
        <v>78</v>
      </c>
      <c r="AO284" s="395" t="s">
        <v>78</v>
      </c>
      <c r="AP284" s="396" t="str">
        <f t="shared" si="229"/>
        <v>-</v>
      </c>
      <c r="AQ284" s="397" t="str">
        <f>IFERROR(AVERAGE(AP284:AP286),"N/A")</f>
        <v>N/A</v>
      </c>
      <c r="AR284" s="401" t="s">
        <v>78</v>
      </c>
      <c r="AS284" s="396" t="str">
        <f t="shared" si="230"/>
        <v>-</v>
      </c>
      <c r="AT284" s="397" t="str">
        <f>IFERROR(AVERAGE(AS284:AS286),"N/A")</f>
        <v>N/A</v>
      </c>
      <c r="AU284" s="388" t="str">
        <f t="shared" si="253"/>
        <v>-</v>
      </c>
      <c r="AV284" s="389" t="str">
        <f t="shared" si="254"/>
        <v>-</v>
      </c>
      <c r="AW284" s="353" t="s">
        <v>78</v>
      </c>
      <c r="AX284" s="403"/>
      <c r="AY284" s="404"/>
    </row>
    <row r="285" spans="1:51" ht="15" customHeight="1">
      <c r="A285" s="1" t="str">
        <f t="shared" si="227"/>
        <v>0_2023_</v>
      </c>
      <c r="B285" s="1" t="str">
        <f t="shared" si="232"/>
        <v>0_2023_NEO1</v>
      </c>
      <c r="C285" s="114">
        <f t="shared" si="268"/>
        <v>0</v>
      </c>
      <c r="D285" s="133" t="str">
        <f>_xll.ciqfunctions.udf.CIQ(C285,"IQ_Company_Name")</f>
        <v>(Invalid Identifier)</v>
      </c>
      <c r="E285" s="114">
        <f t="shared" si="275"/>
        <v>2023</v>
      </c>
      <c r="F285" s="330" t="str">
        <f t="shared" si="242"/>
        <v>2023-01-01</v>
      </c>
      <c r="G285" s="330" t="str">
        <f t="shared" si="277"/>
        <v>2023-12-31</v>
      </c>
      <c r="H285" s="114">
        <f t="shared" si="247"/>
        <v>12</v>
      </c>
      <c r="I285" s="407" t="str">
        <f t="shared" si="278"/>
        <v>CAD</v>
      </c>
      <c r="J285" s="461">
        <f t="shared" si="233"/>
        <v>1</v>
      </c>
      <c r="K285" s="468"/>
      <c r="L285" s="465" t="str">
        <f t="shared" ref="L285:N286" si="284">L284</f>
        <v>NEO1</v>
      </c>
      <c r="M285" s="123" t="str">
        <f t="shared" si="284"/>
        <v>-</v>
      </c>
      <c r="N285" s="132" t="str">
        <f t="shared" si="284"/>
        <v>-</v>
      </c>
      <c r="O285" s="219" t="s">
        <v>78</v>
      </c>
      <c r="P285" s="125" t="str">
        <f t="shared" si="270"/>
        <v>-</v>
      </c>
      <c r="Q285" s="311" t="s">
        <v>78</v>
      </c>
      <c r="R285" s="126" t="str">
        <f t="shared" si="271"/>
        <v>-</v>
      </c>
      <c r="S285" s="221" t="s">
        <v>78</v>
      </c>
      <c r="T285" s="125" t="str">
        <f t="shared" si="272"/>
        <v>-</v>
      </c>
      <c r="U285" s="127" t="str">
        <f t="shared" si="243"/>
        <v>-</v>
      </c>
      <c r="V285" s="128"/>
      <c r="W285" s="223" t="s">
        <v>78</v>
      </c>
      <c r="X285" s="129" t="str">
        <f t="shared" si="244"/>
        <v>-</v>
      </c>
      <c r="Y285" s="124" t="str">
        <f t="shared" si="249"/>
        <v>-</v>
      </c>
      <c r="Z285" s="130" t="str">
        <f t="shared" si="250"/>
        <v>-</v>
      </c>
      <c r="AA285" s="221" t="s">
        <v>78</v>
      </c>
      <c r="AB285" s="225" t="s">
        <v>78</v>
      </c>
      <c r="AC285" s="225" t="s">
        <v>78</v>
      </c>
      <c r="AD285" s="225" t="s">
        <v>78</v>
      </c>
      <c r="AE285" s="225" t="s">
        <v>78</v>
      </c>
      <c r="AF285" s="125" t="str">
        <f t="shared" si="235"/>
        <v>-</v>
      </c>
      <c r="AG285" s="127" t="str">
        <f t="shared" si="245"/>
        <v>-</v>
      </c>
      <c r="AH285" s="128"/>
      <c r="AI285" s="223" t="s">
        <v>78</v>
      </c>
      <c r="AJ285" s="131" t="str">
        <f t="shared" si="246"/>
        <v>-</v>
      </c>
      <c r="AK285" s="368" t="str">
        <f t="shared" si="273"/>
        <v>-</v>
      </c>
      <c r="AL285" s="375" t="str">
        <f t="shared" si="251"/>
        <v>-</v>
      </c>
      <c r="AM285" s="376" t="str">
        <f t="shared" si="252"/>
        <v>-</v>
      </c>
      <c r="AN285" s="394" t="s">
        <v>78</v>
      </c>
      <c r="AO285" s="395" t="s">
        <v>78</v>
      </c>
      <c r="AP285" s="396" t="str">
        <f t="shared" si="229"/>
        <v>-</v>
      </c>
      <c r="AQ285" s="397"/>
      <c r="AR285" s="401" t="s">
        <v>78</v>
      </c>
      <c r="AS285" s="396" t="str">
        <f t="shared" si="230"/>
        <v>-</v>
      </c>
      <c r="AT285" s="397"/>
      <c r="AU285" s="388" t="str">
        <f t="shared" si="253"/>
        <v>-</v>
      </c>
      <c r="AV285" s="389" t="str">
        <f t="shared" si="254"/>
        <v>-</v>
      </c>
      <c r="AW285" s="353" t="s">
        <v>78</v>
      </c>
      <c r="AX285" s="403"/>
      <c r="AY285" s="404"/>
    </row>
    <row r="286" spans="1:51" ht="15" customHeight="1">
      <c r="A286" s="1" t="str">
        <f t="shared" si="227"/>
        <v>0_2022_</v>
      </c>
      <c r="B286" s="1" t="str">
        <f t="shared" si="232"/>
        <v>0_2022_NEO1</v>
      </c>
      <c r="C286" s="114">
        <f t="shared" si="268"/>
        <v>0</v>
      </c>
      <c r="D286" s="133" t="str">
        <f>_xll.ciqfunctions.udf.CIQ(C286,"IQ_Company_Name")</f>
        <v>(Invalid Identifier)</v>
      </c>
      <c r="E286" s="114">
        <f t="shared" si="275"/>
        <v>2022</v>
      </c>
      <c r="F286" s="114" t="str">
        <f t="shared" si="242"/>
        <v>2022-01-01</v>
      </c>
      <c r="G286" s="330" t="str">
        <f t="shared" si="277"/>
        <v>2022-12-31</v>
      </c>
      <c r="H286" s="114">
        <f t="shared" si="247"/>
        <v>12</v>
      </c>
      <c r="I286" s="407" t="str">
        <f t="shared" si="278"/>
        <v>CAD</v>
      </c>
      <c r="J286" s="461">
        <f t="shared" si="233"/>
        <v>1</v>
      </c>
      <c r="K286" s="468"/>
      <c r="L286" s="465" t="str">
        <f t="shared" si="284"/>
        <v>NEO1</v>
      </c>
      <c r="M286" s="123" t="str">
        <f t="shared" si="284"/>
        <v>-</v>
      </c>
      <c r="N286" s="132" t="str">
        <f t="shared" si="284"/>
        <v>-</v>
      </c>
      <c r="O286" s="219" t="s">
        <v>78</v>
      </c>
      <c r="P286" s="125" t="str">
        <f t="shared" si="270"/>
        <v>-</v>
      </c>
      <c r="Q286" s="311" t="s">
        <v>78</v>
      </c>
      <c r="R286" s="126" t="str">
        <f t="shared" si="271"/>
        <v>-</v>
      </c>
      <c r="S286" s="221" t="s">
        <v>78</v>
      </c>
      <c r="T286" s="125" t="str">
        <f t="shared" si="272"/>
        <v>-</v>
      </c>
      <c r="U286" s="127" t="str">
        <f t="shared" si="243"/>
        <v>-</v>
      </c>
      <c r="V286" s="128"/>
      <c r="W286" s="223" t="s">
        <v>78</v>
      </c>
      <c r="X286" s="129" t="str">
        <f t="shared" si="244"/>
        <v>-</v>
      </c>
      <c r="Y286" s="124" t="str">
        <f t="shared" si="249"/>
        <v>-</v>
      </c>
      <c r="Z286" s="130" t="str">
        <f t="shared" si="250"/>
        <v>-</v>
      </c>
      <c r="AA286" s="221" t="s">
        <v>78</v>
      </c>
      <c r="AB286" s="225" t="s">
        <v>78</v>
      </c>
      <c r="AC286" s="225" t="s">
        <v>78</v>
      </c>
      <c r="AD286" s="225" t="s">
        <v>78</v>
      </c>
      <c r="AE286" s="225" t="s">
        <v>78</v>
      </c>
      <c r="AF286" s="125" t="str">
        <f t="shared" si="235"/>
        <v>-</v>
      </c>
      <c r="AG286" s="127" t="str">
        <f t="shared" si="245"/>
        <v>-</v>
      </c>
      <c r="AH286" s="128"/>
      <c r="AI286" s="223" t="s">
        <v>78</v>
      </c>
      <c r="AJ286" s="131" t="str">
        <f t="shared" si="246"/>
        <v>-</v>
      </c>
      <c r="AK286" s="368" t="str">
        <f t="shared" si="273"/>
        <v>-</v>
      </c>
      <c r="AL286" s="375" t="str">
        <f t="shared" si="251"/>
        <v>-</v>
      </c>
      <c r="AM286" s="376" t="str">
        <f t="shared" si="252"/>
        <v>-</v>
      </c>
      <c r="AN286" s="394" t="s">
        <v>78</v>
      </c>
      <c r="AO286" s="395" t="s">
        <v>78</v>
      </c>
      <c r="AP286" s="396" t="str">
        <f t="shared" si="229"/>
        <v>-</v>
      </c>
      <c r="AQ286" s="397"/>
      <c r="AR286" s="401" t="s">
        <v>78</v>
      </c>
      <c r="AS286" s="396" t="str">
        <f t="shared" si="230"/>
        <v>-</v>
      </c>
      <c r="AT286" s="397"/>
      <c r="AU286" s="388" t="str">
        <f t="shared" si="253"/>
        <v>-</v>
      </c>
      <c r="AV286" s="389" t="str">
        <f t="shared" si="254"/>
        <v>-</v>
      </c>
      <c r="AW286" s="353" t="s">
        <v>78</v>
      </c>
      <c r="AX286" s="403"/>
      <c r="AY286" s="404"/>
    </row>
    <row r="287" spans="1:51" ht="15" customHeight="1">
      <c r="A287" s="1" t="str">
        <f t="shared" si="227"/>
        <v>0_2024_</v>
      </c>
      <c r="B287" s="1" t="str">
        <f t="shared" si="232"/>
        <v>0_2024_NEO2</v>
      </c>
      <c r="C287" s="114">
        <f t="shared" si="268"/>
        <v>0</v>
      </c>
      <c r="D287" s="133" t="str">
        <f>_xll.ciqfunctions.udf.CIQ(C287,"IQ_Company_Name")</f>
        <v>(Invalid Identifier)</v>
      </c>
      <c r="E287" s="114">
        <f t="shared" si="275"/>
        <v>2024</v>
      </c>
      <c r="F287" s="114" t="str">
        <f t="shared" si="242"/>
        <v>2024-01-01</v>
      </c>
      <c r="G287" s="330" t="str">
        <f t="shared" si="277"/>
        <v>2024-12-31</v>
      </c>
      <c r="H287" s="114">
        <f t="shared" si="247"/>
        <v>12</v>
      </c>
      <c r="I287" s="407" t="str">
        <f t="shared" si="278"/>
        <v>CAD</v>
      </c>
      <c r="J287" s="461">
        <f t="shared" si="233"/>
        <v>1</v>
      </c>
      <c r="K287" s="468"/>
      <c r="L287" s="464" t="s">
        <v>108</v>
      </c>
      <c r="M287" s="217" t="s">
        <v>78</v>
      </c>
      <c r="N287" s="218" t="s">
        <v>78</v>
      </c>
      <c r="O287" s="219" t="s">
        <v>78</v>
      </c>
      <c r="P287" s="125" t="str">
        <f t="shared" si="270"/>
        <v>-</v>
      </c>
      <c r="Q287" s="311" t="s">
        <v>78</v>
      </c>
      <c r="R287" s="126" t="str">
        <f t="shared" si="271"/>
        <v>-</v>
      </c>
      <c r="S287" s="221" t="s">
        <v>78</v>
      </c>
      <c r="T287" s="125" t="str">
        <f t="shared" si="272"/>
        <v>-</v>
      </c>
      <c r="U287" s="127" t="str">
        <f t="shared" si="243"/>
        <v>-</v>
      </c>
      <c r="V287" s="128" t="str">
        <f>IFERROR(AVERAGE(U287:U289),"N/A")</f>
        <v>N/A</v>
      </c>
      <c r="W287" s="223" t="s">
        <v>78</v>
      </c>
      <c r="X287" s="129" t="str">
        <f t="shared" si="244"/>
        <v>-</v>
      </c>
      <c r="Y287" s="124" t="str">
        <f t="shared" si="249"/>
        <v>-</v>
      </c>
      <c r="Z287" s="130" t="str">
        <f t="shared" si="250"/>
        <v>-</v>
      </c>
      <c r="AA287" s="221" t="s">
        <v>78</v>
      </c>
      <c r="AB287" s="225" t="s">
        <v>78</v>
      </c>
      <c r="AC287" s="225" t="s">
        <v>78</v>
      </c>
      <c r="AD287" s="225" t="s">
        <v>78</v>
      </c>
      <c r="AE287" s="225" t="s">
        <v>78</v>
      </c>
      <c r="AF287" s="125" t="str">
        <f t="shared" si="235"/>
        <v>-</v>
      </c>
      <c r="AG287" s="127" t="str">
        <f t="shared" si="245"/>
        <v>-</v>
      </c>
      <c r="AH287" s="128" t="str">
        <f>IFERROR(AVERAGE(AG287:AG289),"N/A")</f>
        <v>N/A</v>
      </c>
      <c r="AI287" s="223" t="s">
        <v>78</v>
      </c>
      <c r="AJ287" s="131" t="str">
        <f t="shared" si="246"/>
        <v>-</v>
      </c>
      <c r="AK287" s="368" t="str">
        <f t="shared" si="273"/>
        <v>-</v>
      </c>
      <c r="AL287" s="375" t="str">
        <f t="shared" si="251"/>
        <v>-</v>
      </c>
      <c r="AM287" s="376" t="str">
        <f t="shared" si="252"/>
        <v>-</v>
      </c>
      <c r="AN287" s="394" t="s">
        <v>78</v>
      </c>
      <c r="AO287" s="395" t="s">
        <v>78</v>
      </c>
      <c r="AP287" s="396" t="str">
        <f t="shared" si="229"/>
        <v>-</v>
      </c>
      <c r="AQ287" s="397" t="str">
        <f>IFERROR(AVERAGE(AP287:AP289),"N/A")</f>
        <v>N/A</v>
      </c>
      <c r="AR287" s="401" t="s">
        <v>78</v>
      </c>
      <c r="AS287" s="396" t="str">
        <f t="shared" si="230"/>
        <v>-</v>
      </c>
      <c r="AT287" s="397" t="str">
        <f>IFERROR(AVERAGE(AS287:AS289),"N/A")</f>
        <v>N/A</v>
      </c>
      <c r="AU287" s="388" t="str">
        <f t="shared" si="253"/>
        <v>-</v>
      </c>
      <c r="AV287" s="389" t="str">
        <f t="shared" si="254"/>
        <v>-</v>
      </c>
      <c r="AW287" s="353" t="s">
        <v>78</v>
      </c>
      <c r="AX287" s="403"/>
      <c r="AY287" s="404"/>
    </row>
    <row r="288" spans="1:51" ht="15" customHeight="1">
      <c r="A288" s="1" t="str">
        <f t="shared" si="227"/>
        <v>0_2023_</v>
      </c>
      <c r="B288" s="1" t="str">
        <f t="shared" si="232"/>
        <v>0_2023_NEO2</v>
      </c>
      <c r="C288" s="114">
        <f t="shared" si="268"/>
        <v>0</v>
      </c>
      <c r="D288" s="133" t="str">
        <f>_xll.ciqfunctions.udf.CIQ(C288,"IQ_Company_Name")</f>
        <v>(Invalid Identifier)</v>
      </c>
      <c r="E288" s="114">
        <f t="shared" si="275"/>
        <v>2023</v>
      </c>
      <c r="F288" s="114" t="str">
        <f t="shared" si="242"/>
        <v>2023-01-01</v>
      </c>
      <c r="G288" s="330" t="str">
        <f t="shared" si="277"/>
        <v>2023-12-31</v>
      </c>
      <c r="H288" s="114">
        <f t="shared" si="247"/>
        <v>12</v>
      </c>
      <c r="I288" s="407" t="str">
        <f t="shared" si="278"/>
        <v>CAD</v>
      </c>
      <c r="J288" s="461">
        <f t="shared" si="233"/>
        <v>1</v>
      </c>
      <c r="K288" s="468"/>
      <c r="L288" s="465" t="str">
        <f t="shared" ref="L288:N289" si="285">L287</f>
        <v>NEO2</v>
      </c>
      <c r="M288" s="123" t="str">
        <f t="shared" si="285"/>
        <v>-</v>
      </c>
      <c r="N288" s="132" t="str">
        <f t="shared" si="285"/>
        <v>-</v>
      </c>
      <c r="O288" s="219" t="s">
        <v>78</v>
      </c>
      <c r="P288" s="125" t="str">
        <f t="shared" si="270"/>
        <v>-</v>
      </c>
      <c r="Q288" s="311" t="s">
        <v>78</v>
      </c>
      <c r="R288" s="126" t="str">
        <f t="shared" si="271"/>
        <v>-</v>
      </c>
      <c r="S288" s="221" t="s">
        <v>78</v>
      </c>
      <c r="T288" s="125" t="str">
        <f t="shared" si="272"/>
        <v>-</v>
      </c>
      <c r="U288" s="127" t="str">
        <f t="shared" si="243"/>
        <v>-</v>
      </c>
      <c r="V288" s="128"/>
      <c r="W288" s="223" t="s">
        <v>78</v>
      </c>
      <c r="X288" s="129" t="str">
        <f t="shared" si="244"/>
        <v>-</v>
      </c>
      <c r="Y288" s="124" t="str">
        <f t="shared" si="249"/>
        <v>-</v>
      </c>
      <c r="Z288" s="130" t="str">
        <f t="shared" si="250"/>
        <v>-</v>
      </c>
      <c r="AA288" s="221" t="s">
        <v>78</v>
      </c>
      <c r="AB288" s="225" t="s">
        <v>78</v>
      </c>
      <c r="AC288" s="225" t="s">
        <v>78</v>
      </c>
      <c r="AD288" s="225" t="s">
        <v>78</v>
      </c>
      <c r="AE288" s="225" t="s">
        <v>78</v>
      </c>
      <c r="AF288" s="125" t="str">
        <f t="shared" si="235"/>
        <v>-</v>
      </c>
      <c r="AG288" s="127" t="str">
        <f t="shared" si="245"/>
        <v>-</v>
      </c>
      <c r="AH288" s="128"/>
      <c r="AI288" s="223" t="s">
        <v>78</v>
      </c>
      <c r="AJ288" s="131" t="str">
        <f t="shared" si="246"/>
        <v>-</v>
      </c>
      <c r="AK288" s="368" t="str">
        <f t="shared" si="273"/>
        <v>-</v>
      </c>
      <c r="AL288" s="375" t="str">
        <f t="shared" si="251"/>
        <v>-</v>
      </c>
      <c r="AM288" s="376" t="str">
        <f t="shared" si="252"/>
        <v>-</v>
      </c>
      <c r="AN288" s="394" t="s">
        <v>78</v>
      </c>
      <c r="AO288" s="395" t="s">
        <v>78</v>
      </c>
      <c r="AP288" s="396" t="str">
        <f t="shared" si="229"/>
        <v>-</v>
      </c>
      <c r="AQ288" s="397"/>
      <c r="AR288" s="401" t="s">
        <v>78</v>
      </c>
      <c r="AS288" s="396" t="str">
        <f t="shared" si="230"/>
        <v>-</v>
      </c>
      <c r="AT288" s="397"/>
      <c r="AU288" s="388" t="str">
        <f t="shared" si="253"/>
        <v>-</v>
      </c>
      <c r="AV288" s="389" t="str">
        <f t="shared" si="254"/>
        <v>-</v>
      </c>
      <c r="AW288" s="353" t="s">
        <v>78</v>
      </c>
      <c r="AX288" s="403"/>
      <c r="AY288" s="404"/>
    </row>
    <row r="289" spans="1:51" ht="15" customHeight="1">
      <c r="A289" s="1" t="str">
        <f t="shared" ref="A289:A352" si="286">$C289&amp;"_"&amp;$E289&amp;"_"&amp;$K289</f>
        <v>0_2022_</v>
      </c>
      <c r="B289" s="1" t="str">
        <f t="shared" si="232"/>
        <v>0_2022_NEO2</v>
      </c>
      <c r="C289" s="114">
        <f t="shared" si="268"/>
        <v>0</v>
      </c>
      <c r="D289" s="133" t="str">
        <f>_xll.ciqfunctions.udf.CIQ(C289,"IQ_Company_Name")</f>
        <v>(Invalid Identifier)</v>
      </c>
      <c r="E289" s="114">
        <f t="shared" si="275"/>
        <v>2022</v>
      </c>
      <c r="F289" s="114" t="str">
        <f t="shared" si="242"/>
        <v>2022-01-01</v>
      </c>
      <c r="G289" s="330" t="str">
        <f t="shared" si="277"/>
        <v>2022-12-31</v>
      </c>
      <c r="H289" s="114">
        <f t="shared" si="247"/>
        <v>12</v>
      </c>
      <c r="I289" s="407" t="str">
        <f t="shared" si="278"/>
        <v>CAD</v>
      </c>
      <c r="J289" s="461">
        <f t="shared" si="233"/>
        <v>1</v>
      </c>
      <c r="K289" s="468"/>
      <c r="L289" s="465" t="str">
        <f t="shared" si="285"/>
        <v>NEO2</v>
      </c>
      <c r="M289" s="123" t="str">
        <f t="shared" si="285"/>
        <v>-</v>
      </c>
      <c r="N289" s="132" t="str">
        <f t="shared" si="285"/>
        <v>-</v>
      </c>
      <c r="O289" s="219" t="s">
        <v>78</v>
      </c>
      <c r="P289" s="125" t="str">
        <f t="shared" si="270"/>
        <v>-</v>
      </c>
      <c r="Q289" s="311" t="s">
        <v>78</v>
      </c>
      <c r="R289" s="126" t="str">
        <f t="shared" si="271"/>
        <v>-</v>
      </c>
      <c r="S289" s="221" t="s">
        <v>78</v>
      </c>
      <c r="T289" s="125" t="str">
        <f t="shared" si="272"/>
        <v>-</v>
      </c>
      <c r="U289" s="127" t="str">
        <f t="shared" si="243"/>
        <v>-</v>
      </c>
      <c r="V289" s="128"/>
      <c r="W289" s="223" t="s">
        <v>78</v>
      </c>
      <c r="X289" s="129" t="str">
        <f t="shared" si="244"/>
        <v>-</v>
      </c>
      <c r="Y289" s="124" t="str">
        <f t="shared" si="249"/>
        <v>-</v>
      </c>
      <c r="Z289" s="130" t="str">
        <f t="shared" si="250"/>
        <v>-</v>
      </c>
      <c r="AA289" s="221" t="s">
        <v>78</v>
      </c>
      <c r="AB289" s="225" t="s">
        <v>78</v>
      </c>
      <c r="AC289" s="225" t="s">
        <v>78</v>
      </c>
      <c r="AD289" s="225" t="s">
        <v>78</v>
      </c>
      <c r="AE289" s="225" t="s">
        <v>78</v>
      </c>
      <c r="AF289" s="125" t="str">
        <f t="shared" si="235"/>
        <v>-</v>
      </c>
      <c r="AG289" s="127" t="str">
        <f t="shared" si="245"/>
        <v>-</v>
      </c>
      <c r="AH289" s="128"/>
      <c r="AI289" s="223" t="s">
        <v>78</v>
      </c>
      <c r="AJ289" s="131" t="str">
        <f t="shared" si="246"/>
        <v>-</v>
      </c>
      <c r="AK289" s="368" t="str">
        <f t="shared" si="273"/>
        <v>-</v>
      </c>
      <c r="AL289" s="375" t="str">
        <f t="shared" si="251"/>
        <v>-</v>
      </c>
      <c r="AM289" s="376" t="str">
        <f t="shared" si="252"/>
        <v>-</v>
      </c>
      <c r="AN289" s="394" t="s">
        <v>78</v>
      </c>
      <c r="AO289" s="395" t="s">
        <v>78</v>
      </c>
      <c r="AP289" s="396" t="str">
        <f t="shared" ref="AP289:AP352" si="287">IFERROR(AN289*(12/$H289)*$J289,"-")</f>
        <v>-</v>
      </c>
      <c r="AQ289" s="397"/>
      <c r="AR289" s="401" t="s">
        <v>78</v>
      </c>
      <c r="AS289" s="396" t="str">
        <f t="shared" ref="AS289:AS352" si="288">IFERROR(AR289*(12/$H289)*$J289,"-")</f>
        <v>-</v>
      </c>
      <c r="AT289" s="397"/>
      <c r="AU289" s="388" t="str">
        <f t="shared" si="253"/>
        <v>-</v>
      </c>
      <c r="AV289" s="389" t="str">
        <f t="shared" si="254"/>
        <v>-</v>
      </c>
      <c r="AW289" s="353" t="s">
        <v>78</v>
      </c>
      <c r="AX289" s="403"/>
      <c r="AY289" s="404"/>
    </row>
    <row r="290" spans="1:51" ht="15" customHeight="1">
      <c r="A290" s="1" t="str">
        <f t="shared" si="286"/>
        <v>0_2024_</v>
      </c>
      <c r="B290" s="1" t="str">
        <f t="shared" si="232"/>
        <v>0_2024_NEO3</v>
      </c>
      <c r="C290" s="114">
        <f t="shared" si="268"/>
        <v>0</v>
      </c>
      <c r="D290" s="133" t="str">
        <f>_xll.ciqfunctions.udf.CIQ(C290,"IQ_Company_Name")</f>
        <v>(Invalid Identifier)</v>
      </c>
      <c r="E290" s="114">
        <f t="shared" si="275"/>
        <v>2024</v>
      </c>
      <c r="F290" s="114" t="str">
        <f t="shared" si="242"/>
        <v>2024-01-01</v>
      </c>
      <c r="G290" s="330" t="str">
        <f t="shared" si="277"/>
        <v>2024-12-31</v>
      </c>
      <c r="H290" s="114">
        <f t="shared" si="247"/>
        <v>12</v>
      </c>
      <c r="I290" s="407" t="str">
        <f t="shared" si="278"/>
        <v>CAD</v>
      </c>
      <c r="J290" s="461">
        <f t="shared" si="233"/>
        <v>1</v>
      </c>
      <c r="K290" s="468"/>
      <c r="L290" s="464" t="s">
        <v>109</v>
      </c>
      <c r="M290" s="217" t="s">
        <v>78</v>
      </c>
      <c r="N290" s="218" t="s">
        <v>78</v>
      </c>
      <c r="O290" s="219" t="s">
        <v>78</v>
      </c>
      <c r="P290" s="125" t="str">
        <f t="shared" si="270"/>
        <v>-</v>
      </c>
      <c r="Q290" s="311" t="s">
        <v>78</v>
      </c>
      <c r="R290" s="126" t="str">
        <f t="shared" si="271"/>
        <v>-</v>
      </c>
      <c r="S290" s="221" t="s">
        <v>78</v>
      </c>
      <c r="T290" s="125" t="str">
        <f t="shared" si="272"/>
        <v>-</v>
      </c>
      <c r="U290" s="127" t="str">
        <f t="shared" si="243"/>
        <v>-</v>
      </c>
      <c r="V290" s="128" t="str">
        <f>IFERROR(AVERAGE(U290:U292),"N/A")</f>
        <v>N/A</v>
      </c>
      <c r="W290" s="223" t="s">
        <v>78</v>
      </c>
      <c r="X290" s="129" t="str">
        <f t="shared" si="244"/>
        <v>-</v>
      </c>
      <c r="Y290" s="124" t="str">
        <f t="shared" si="249"/>
        <v>-</v>
      </c>
      <c r="Z290" s="130" t="str">
        <f t="shared" si="250"/>
        <v>-</v>
      </c>
      <c r="AA290" s="221" t="s">
        <v>78</v>
      </c>
      <c r="AB290" s="225" t="s">
        <v>78</v>
      </c>
      <c r="AC290" s="225" t="s">
        <v>78</v>
      </c>
      <c r="AD290" s="225" t="s">
        <v>78</v>
      </c>
      <c r="AE290" s="225" t="s">
        <v>78</v>
      </c>
      <c r="AF290" s="125" t="str">
        <f t="shared" si="235"/>
        <v>-</v>
      </c>
      <c r="AG290" s="127" t="str">
        <f t="shared" si="245"/>
        <v>-</v>
      </c>
      <c r="AH290" s="128" t="str">
        <f>IFERROR(AVERAGE(AG290:AG292),"N/A")</f>
        <v>N/A</v>
      </c>
      <c r="AI290" s="223" t="s">
        <v>78</v>
      </c>
      <c r="AJ290" s="131" t="str">
        <f t="shared" si="246"/>
        <v>-</v>
      </c>
      <c r="AK290" s="368" t="str">
        <f t="shared" si="273"/>
        <v>-</v>
      </c>
      <c r="AL290" s="375" t="str">
        <f t="shared" si="251"/>
        <v>-</v>
      </c>
      <c r="AM290" s="376" t="str">
        <f t="shared" si="252"/>
        <v>-</v>
      </c>
      <c r="AN290" s="394" t="s">
        <v>78</v>
      </c>
      <c r="AO290" s="395" t="s">
        <v>78</v>
      </c>
      <c r="AP290" s="396" t="str">
        <f t="shared" si="287"/>
        <v>-</v>
      </c>
      <c r="AQ290" s="397" t="str">
        <f>IFERROR(AVERAGE(AP290:AP292),"N/A")</f>
        <v>N/A</v>
      </c>
      <c r="AR290" s="401" t="s">
        <v>78</v>
      </c>
      <c r="AS290" s="396" t="str">
        <f t="shared" si="288"/>
        <v>-</v>
      </c>
      <c r="AT290" s="397" t="str">
        <f>IFERROR(AVERAGE(AS290:AS292),"N/A")</f>
        <v>N/A</v>
      </c>
      <c r="AU290" s="388" t="str">
        <f t="shared" si="253"/>
        <v>-</v>
      </c>
      <c r="AV290" s="389" t="str">
        <f t="shared" si="254"/>
        <v>-</v>
      </c>
      <c r="AW290" s="353" t="s">
        <v>78</v>
      </c>
      <c r="AX290" s="403"/>
      <c r="AY290" s="404"/>
    </row>
    <row r="291" spans="1:51" ht="15" customHeight="1">
      <c r="A291" s="1" t="str">
        <f t="shared" si="286"/>
        <v>0_2023_</v>
      </c>
      <c r="B291" s="1" t="str">
        <f t="shared" si="232"/>
        <v>0_2023_NEO3</v>
      </c>
      <c r="C291" s="114">
        <f t="shared" si="268"/>
        <v>0</v>
      </c>
      <c r="D291" s="133" t="str">
        <f>_xll.ciqfunctions.udf.CIQ(C291,"IQ_Company_Name")</f>
        <v>(Invalid Identifier)</v>
      </c>
      <c r="E291" s="114">
        <f t="shared" si="275"/>
        <v>2023</v>
      </c>
      <c r="F291" s="114" t="str">
        <f t="shared" si="242"/>
        <v>2023-01-01</v>
      </c>
      <c r="G291" s="330" t="str">
        <f t="shared" si="277"/>
        <v>2023-12-31</v>
      </c>
      <c r="H291" s="114">
        <f t="shared" si="247"/>
        <v>12</v>
      </c>
      <c r="I291" s="407" t="str">
        <f t="shared" si="278"/>
        <v>CAD</v>
      </c>
      <c r="J291" s="461">
        <f t="shared" si="233"/>
        <v>1</v>
      </c>
      <c r="K291" s="468"/>
      <c r="L291" s="465" t="str">
        <f t="shared" ref="L291:N292" si="289">L290</f>
        <v>NEO3</v>
      </c>
      <c r="M291" s="123" t="str">
        <f t="shared" si="289"/>
        <v>-</v>
      </c>
      <c r="N291" s="132" t="str">
        <f t="shared" si="289"/>
        <v>-</v>
      </c>
      <c r="O291" s="219" t="s">
        <v>78</v>
      </c>
      <c r="P291" s="125" t="str">
        <f t="shared" si="270"/>
        <v>-</v>
      </c>
      <c r="Q291" s="311" t="s">
        <v>78</v>
      </c>
      <c r="R291" s="126" t="str">
        <f t="shared" si="271"/>
        <v>-</v>
      </c>
      <c r="S291" s="221" t="s">
        <v>78</v>
      </c>
      <c r="T291" s="125" t="str">
        <f t="shared" si="272"/>
        <v>-</v>
      </c>
      <c r="U291" s="127" t="str">
        <f t="shared" si="243"/>
        <v>-</v>
      </c>
      <c r="V291" s="128"/>
      <c r="W291" s="223" t="s">
        <v>78</v>
      </c>
      <c r="X291" s="129" t="str">
        <f t="shared" si="244"/>
        <v>-</v>
      </c>
      <c r="Y291" s="124" t="str">
        <f t="shared" si="249"/>
        <v>-</v>
      </c>
      <c r="Z291" s="130" t="str">
        <f t="shared" si="250"/>
        <v>-</v>
      </c>
      <c r="AA291" s="221" t="s">
        <v>78</v>
      </c>
      <c r="AB291" s="225" t="s">
        <v>78</v>
      </c>
      <c r="AC291" s="225" t="s">
        <v>78</v>
      </c>
      <c r="AD291" s="225" t="s">
        <v>78</v>
      </c>
      <c r="AE291" s="225" t="s">
        <v>78</v>
      </c>
      <c r="AF291" s="125" t="str">
        <f t="shared" si="235"/>
        <v>-</v>
      </c>
      <c r="AG291" s="127" t="str">
        <f t="shared" si="245"/>
        <v>-</v>
      </c>
      <c r="AH291" s="128"/>
      <c r="AI291" s="223" t="s">
        <v>78</v>
      </c>
      <c r="AJ291" s="131" t="str">
        <f t="shared" si="246"/>
        <v>-</v>
      </c>
      <c r="AK291" s="368" t="str">
        <f t="shared" si="273"/>
        <v>-</v>
      </c>
      <c r="AL291" s="375" t="str">
        <f t="shared" si="251"/>
        <v>-</v>
      </c>
      <c r="AM291" s="376" t="str">
        <f t="shared" si="252"/>
        <v>-</v>
      </c>
      <c r="AN291" s="394" t="s">
        <v>78</v>
      </c>
      <c r="AO291" s="395" t="s">
        <v>78</v>
      </c>
      <c r="AP291" s="396" t="str">
        <f t="shared" si="287"/>
        <v>-</v>
      </c>
      <c r="AQ291" s="397"/>
      <c r="AR291" s="401" t="s">
        <v>78</v>
      </c>
      <c r="AS291" s="396" t="str">
        <f t="shared" si="288"/>
        <v>-</v>
      </c>
      <c r="AT291" s="397"/>
      <c r="AU291" s="388" t="str">
        <f t="shared" si="253"/>
        <v>-</v>
      </c>
      <c r="AV291" s="389" t="str">
        <f t="shared" si="254"/>
        <v>-</v>
      </c>
      <c r="AW291" s="353" t="s">
        <v>78</v>
      </c>
      <c r="AX291" s="403"/>
      <c r="AY291" s="404"/>
    </row>
    <row r="292" spans="1:51" ht="15" customHeight="1">
      <c r="A292" s="1" t="str">
        <f t="shared" si="286"/>
        <v>0_2022_</v>
      </c>
      <c r="B292" s="1" t="str">
        <f t="shared" si="232"/>
        <v>0_2022_NEO3</v>
      </c>
      <c r="C292" s="203">
        <f t="shared" si="268"/>
        <v>0</v>
      </c>
      <c r="D292" s="205" t="str">
        <f>_xll.ciqfunctions.udf.CIQ(C292,"IQ_Company_Name")</f>
        <v>(Invalid Identifier)</v>
      </c>
      <c r="E292" s="204">
        <f t="shared" si="275"/>
        <v>2022</v>
      </c>
      <c r="F292" s="204" t="str">
        <f t="shared" si="242"/>
        <v>2022-01-01</v>
      </c>
      <c r="G292" s="331" t="str">
        <f t="shared" si="277"/>
        <v>2022-12-31</v>
      </c>
      <c r="H292" s="204">
        <f t="shared" si="247"/>
        <v>12</v>
      </c>
      <c r="I292" s="408" t="str">
        <f t="shared" si="278"/>
        <v>CAD</v>
      </c>
      <c r="J292" s="463">
        <f t="shared" si="233"/>
        <v>1</v>
      </c>
      <c r="K292" s="470"/>
      <c r="L292" s="466" t="str">
        <f t="shared" si="289"/>
        <v>NEO3</v>
      </c>
      <c r="M292" s="206" t="str">
        <f t="shared" si="289"/>
        <v>-</v>
      </c>
      <c r="N292" s="207" t="str">
        <f t="shared" si="289"/>
        <v>-</v>
      </c>
      <c r="O292" s="220" t="s">
        <v>78</v>
      </c>
      <c r="P292" s="209" t="str">
        <f t="shared" si="270"/>
        <v>-</v>
      </c>
      <c r="Q292" s="312" t="s">
        <v>78</v>
      </c>
      <c r="R292" s="329" t="str">
        <f t="shared" si="271"/>
        <v>-</v>
      </c>
      <c r="S292" s="222" t="s">
        <v>78</v>
      </c>
      <c r="T292" s="209" t="str">
        <f t="shared" si="272"/>
        <v>-</v>
      </c>
      <c r="U292" s="211" t="str">
        <f t="shared" si="243"/>
        <v>-</v>
      </c>
      <c r="V292" s="212"/>
      <c r="W292" s="224" t="s">
        <v>78</v>
      </c>
      <c r="X292" s="213" t="str">
        <f t="shared" si="244"/>
        <v>-</v>
      </c>
      <c r="Y292" s="208" t="str">
        <f t="shared" si="249"/>
        <v>-</v>
      </c>
      <c r="Z292" s="214" t="str">
        <f t="shared" si="250"/>
        <v>-</v>
      </c>
      <c r="AA292" s="222" t="s">
        <v>78</v>
      </c>
      <c r="AB292" s="226" t="s">
        <v>78</v>
      </c>
      <c r="AC292" s="226" t="s">
        <v>78</v>
      </c>
      <c r="AD292" s="226" t="s">
        <v>78</v>
      </c>
      <c r="AE292" s="226" t="s">
        <v>78</v>
      </c>
      <c r="AF292" s="420" t="str">
        <f t="shared" si="235"/>
        <v>-</v>
      </c>
      <c r="AG292" s="211" t="str">
        <f t="shared" si="245"/>
        <v>-</v>
      </c>
      <c r="AH292" s="212"/>
      <c r="AI292" s="224" t="s">
        <v>78</v>
      </c>
      <c r="AJ292" s="215" t="str">
        <f t="shared" si="246"/>
        <v>-</v>
      </c>
      <c r="AK292" s="369" t="str">
        <f t="shared" si="273"/>
        <v>-</v>
      </c>
      <c r="AL292" s="377" t="str">
        <f t="shared" si="251"/>
        <v>-</v>
      </c>
      <c r="AM292" s="378" t="str">
        <f t="shared" si="252"/>
        <v>-</v>
      </c>
      <c r="AN292" s="398" t="s">
        <v>78</v>
      </c>
      <c r="AO292" s="399" t="s">
        <v>78</v>
      </c>
      <c r="AP292" s="396" t="str">
        <f t="shared" si="287"/>
        <v>-</v>
      </c>
      <c r="AQ292" s="400"/>
      <c r="AR292" s="402" t="s">
        <v>78</v>
      </c>
      <c r="AS292" s="396" t="str">
        <f t="shared" si="288"/>
        <v>-</v>
      </c>
      <c r="AT292" s="400"/>
      <c r="AU292" s="390" t="str">
        <f t="shared" si="253"/>
        <v>-</v>
      </c>
      <c r="AV292" s="391" t="str">
        <f t="shared" si="254"/>
        <v>-</v>
      </c>
      <c r="AW292" s="354" t="s">
        <v>78</v>
      </c>
      <c r="AX292" s="405"/>
      <c r="AY292" s="406"/>
    </row>
    <row r="293" spans="1:51" ht="15" customHeight="1">
      <c r="A293" s="1" t="str">
        <f t="shared" si="286"/>
        <v>0_2024_</v>
      </c>
      <c r="B293" s="1" t="str">
        <f t="shared" si="232"/>
        <v>0_2024_CEO</v>
      </c>
      <c r="C293" s="216">
        <f>D20</f>
        <v>0</v>
      </c>
      <c r="D293" s="133" t="str">
        <f>_xll.ciqfunctions.udf.CIQ(C293,"IQ_Company_Name")</f>
        <v>(Invalid Identifier)</v>
      </c>
      <c r="E293" s="328">
        <f>$F$9</f>
        <v>2024</v>
      </c>
      <c r="F293" s="330" t="str">
        <f t="shared" si="242"/>
        <v>2024-01-01</v>
      </c>
      <c r="G293" s="330" t="str">
        <f t="shared" si="277"/>
        <v>2024-12-31</v>
      </c>
      <c r="H293" s="114">
        <f t="shared" si="247"/>
        <v>12</v>
      </c>
      <c r="I293" s="328" t="str">
        <f>$G$5</f>
        <v>CAD</v>
      </c>
      <c r="J293" s="461">
        <f t="shared" si="233"/>
        <v>1</v>
      </c>
      <c r="K293" s="468"/>
      <c r="L293" s="464" t="s">
        <v>79</v>
      </c>
      <c r="M293" s="217" t="s">
        <v>78</v>
      </c>
      <c r="N293" s="218" t="s">
        <v>78</v>
      </c>
      <c r="O293" s="219" t="s">
        <v>78</v>
      </c>
      <c r="P293" s="125" t="str">
        <f t="shared" si="270"/>
        <v>-</v>
      </c>
      <c r="Q293" s="311" t="s">
        <v>78</v>
      </c>
      <c r="R293" s="126" t="str">
        <f t="shared" si="271"/>
        <v>-</v>
      </c>
      <c r="S293" s="221" t="s">
        <v>78</v>
      </c>
      <c r="T293" s="125" t="str">
        <f t="shared" si="272"/>
        <v>-</v>
      </c>
      <c r="U293" s="127" t="str">
        <f t="shared" si="243"/>
        <v>-</v>
      </c>
      <c r="V293" s="128" t="str">
        <f>IFERROR(AVERAGE(U293:U295),"N/A")</f>
        <v>N/A</v>
      </c>
      <c r="W293" s="223" t="s">
        <v>78</v>
      </c>
      <c r="X293" s="129" t="str">
        <f t="shared" si="244"/>
        <v>-</v>
      </c>
      <c r="Y293" s="124" t="str">
        <f t="shared" si="249"/>
        <v>-</v>
      </c>
      <c r="Z293" s="130" t="str">
        <f t="shared" si="250"/>
        <v>-</v>
      </c>
      <c r="AA293" s="221" t="s">
        <v>78</v>
      </c>
      <c r="AB293" s="225" t="s">
        <v>78</v>
      </c>
      <c r="AC293" s="225" t="s">
        <v>78</v>
      </c>
      <c r="AD293" s="225" t="s">
        <v>78</v>
      </c>
      <c r="AE293" s="225" t="s">
        <v>78</v>
      </c>
      <c r="AF293" s="125" t="str">
        <f t="shared" si="235"/>
        <v>-</v>
      </c>
      <c r="AG293" s="127" t="str">
        <f t="shared" si="245"/>
        <v>-</v>
      </c>
      <c r="AH293" s="128" t="str">
        <f>IFERROR(AVERAGE(AG293:AG295),"N/A")</f>
        <v>N/A</v>
      </c>
      <c r="AI293" s="223" t="s">
        <v>78</v>
      </c>
      <c r="AJ293" s="131" t="str">
        <f t="shared" si="246"/>
        <v>-</v>
      </c>
      <c r="AK293" s="368" t="str">
        <f t="shared" si="273"/>
        <v>-</v>
      </c>
      <c r="AL293" s="375" t="str">
        <f t="shared" si="251"/>
        <v>-</v>
      </c>
      <c r="AM293" s="376" t="str">
        <f t="shared" si="252"/>
        <v>-</v>
      </c>
      <c r="AN293" s="394" t="s">
        <v>78</v>
      </c>
      <c r="AO293" s="395" t="s">
        <v>78</v>
      </c>
      <c r="AP293" s="396" t="str">
        <f t="shared" si="287"/>
        <v>-</v>
      </c>
      <c r="AQ293" s="409" t="str">
        <f>IFERROR(AVERAGE(AP293:AP295),"N/A")</f>
        <v>N/A</v>
      </c>
      <c r="AR293" s="401" t="s">
        <v>78</v>
      </c>
      <c r="AS293" s="396" t="str">
        <f t="shared" si="288"/>
        <v>-</v>
      </c>
      <c r="AT293" s="409" t="str">
        <f>IFERROR(AVERAGE(AS293:AS295),"N/A")</f>
        <v>N/A</v>
      </c>
      <c r="AU293" s="388" t="str">
        <f t="shared" si="253"/>
        <v>-</v>
      </c>
      <c r="AV293" s="389" t="str">
        <f t="shared" si="254"/>
        <v>-</v>
      </c>
      <c r="AW293" s="353" t="s">
        <v>78</v>
      </c>
      <c r="AX293" s="403"/>
      <c r="AY293" s="404"/>
    </row>
    <row r="294" spans="1:51" ht="15" customHeight="1">
      <c r="A294" s="1" t="str">
        <f t="shared" si="286"/>
        <v>0_2023_</v>
      </c>
      <c r="B294" s="1" t="str">
        <f t="shared" ref="B294:B357" si="290">$C294&amp;"_"&amp;$E294&amp;"_"&amp;$L294</f>
        <v>0_2023_CEO</v>
      </c>
      <c r="C294" s="114">
        <f>C293</f>
        <v>0</v>
      </c>
      <c r="D294" s="133" t="str">
        <f>_xll.ciqfunctions.udf.CIQ(C294,"IQ_Company_Name")</f>
        <v>(Invalid Identifier)</v>
      </c>
      <c r="E294" s="328">
        <f>$F$10</f>
        <v>2023</v>
      </c>
      <c r="F294" s="330" t="str">
        <f t="shared" si="242"/>
        <v>2023-01-01</v>
      </c>
      <c r="G294" s="330" t="str">
        <f t="shared" si="277"/>
        <v>2023-12-31</v>
      </c>
      <c r="H294" s="114">
        <f t="shared" si="247"/>
        <v>12</v>
      </c>
      <c r="I294" s="407" t="str">
        <f>I293</f>
        <v>CAD</v>
      </c>
      <c r="J294" s="461">
        <f t="shared" si="233"/>
        <v>1</v>
      </c>
      <c r="K294" s="468"/>
      <c r="L294" s="465" t="str">
        <f t="shared" ref="L294:N295" si="291">L293</f>
        <v>CEO</v>
      </c>
      <c r="M294" s="123" t="str">
        <f t="shared" si="291"/>
        <v>-</v>
      </c>
      <c r="N294" s="132" t="str">
        <f t="shared" si="291"/>
        <v>-</v>
      </c>
      <c r="O294" s="219" t="s">
        <v>78</v>
      </c>
      <c r="P294" s="125" t="str">
        <f t="shared" si="270"/>
        <v>-</v>
      </c>
      <c r="Q294" s="311" t="s">
        <v>78</v>
      </c>
      <c r="R294" s="126" t="str">
        <f t="shared" si="271"/>
        <v>-</v>
      </c>
      <c r="S294" s="221" t="s">
        <v>78</v>
      </c>
      <c r="T294" s="125" t="str">
        <f t="shared" si="272"/>
        <v>-</v>
      </c>
      <c r="U294" s="127" t="str">
        <f t="shared" si="243"/>
        <v>-</v>
      </c>
      <c r="V294" s="128"/>
      <c r="W294" s="223" t="s">
        <v>78</v>
      </c>
      <c r="X294" s="129" t="str">
        <f t="shared" si="244"/>
        <v>-</v>
      </c>
      <c r="Y294" s="124" t="str">
        <f t="shared" si="249"/>
        <v>-</v>
      </c>
      <c r="Z294" s="130" t="str">
        <f t="shared" si="250"/>
        <v>-</v>
      </c>
      <c r="AA294" s="221" t="s">
        <v>78</v>
      </c>
      <c r="AB294" s="225" t="s">
        <v>78</v>
      </c>
      <c r="AC294" s="225" t="s">
        <v>78</v>
      </c>
      <c r="AD294" s="225" t="s">
        <v>78</v>
      </c>
      <c r="AE294" s="225" t="s">
        <v>78</v>
      </c>
      <c r="AF294" s="125" t="str">
        <f t="shared" si="235"/>
        <v>-</v>
      </c>
      <c r="AG294" s="127" t="str">
        <f t="shared" si="245"/>
        <v>-</v>
      </c>
      <c r="AH294" s="128"/>
      <c r="AI294" s="223" t="s">
        <v>78</v>
      </c>
      <c r="AJ294" s="131" t="str">
        <f t="shared" si="246"/>
        <v>-</v>
      </c>
      <c r="AK294" s="368" t="str">
        <f t="shared" si="273"/>
        <v>-</v>
      </c>
      <c r="AL294" s="375" t="str">
        <f t="shared" si="251"/>
        <v>-</v>
      </c>
      <c r="AM294" s="376" t="str">
        <f t="shared" si="252"/>
        <v>-</v>
      </c>
      <c r="AN294" s="394" t="s">
        <v>78</v>
      </c>
      <c r="AO294" s="395" t="s">
        <v>78</v>
      </c>
      <c r="AP294" s="396" t="str">
        <f t="shared" si="287"/>
        <v>-</v>
      </c>
      <c r="AQ294" s="397"/>
      <c r="AR294" s="401" t="s">
        <v>78</v>
      </c>
      <c r="AS294" s="396" t="str">
        <f t="shared" si="288"/>
        <v>-</v>
      </c>
      <c r="AT294" s="397"/>
      <c r="AU294" s="388" t="str">
        <f t="shared" si="253"/>
        <v>-</v>
      </c>
      <c r="AV294" s="389" t="str">
        <f t="shared" si="254"/>
        <v>-</v>
      </c>
      <c r="AW294" s="353" t="s">
        <v>78</v>
      </c>
      <c r="AX294" s="403"/>
      <c r="AY294" s="404"/>
    </row>
    <row r="295" spans="1:51" ht="15" customHeight="1">
      <c r="A295" s="1" t="str">
        <f t="shared" si="286"/>
        <v>0_2022_</v>
      </c>
      <c r="B295" s="1" t="str">
        <f t="shared" si="290"/>
        <v>0_2022_CEO</v>
      </c>
      <c r="C295" s="114">
        <f t="shared" si="268"/>
        <v>0</v>
      </c>
      <c r="D295" s="133" t="str">
        <f>_xll.ciqfunctions.udf.CIQ(C295,"IQ_Company_Name")</f>
        <v>(Invalid Identifier)</v>
      </c>
      <c r="E295" s="328">
        <f>$F$11</f>
        <v>2022</v>
      </c>
      <c r="F295" s="114" t="str">
        <f t="shared" si="242"/>
        <v>2022-01-01</v>
      </c>
      <c r="G295" s="330" t="str">
        <f t="shared" si="277"/>
        <v>2022-12-31</v>
      </c>
      <c r="H295" s="114">
        <f t="shared" si="247"/>
        <v>12</v>
      </c>
      <c r="I295" s="407" t="str">
        <f>I294</f>
        <v>CAD</v>
      </c>
      <c r="J295" s="461">
        <f t="shared" ref="J295:J358" si="292">IF($I295="CAD",1,IF($I295="USD",VLOOKUP($E295,$F$9:$G$11,2,FALSE),"N/A"))</f>
        <v>1</v>
      </c>
      <c r="K295" s="468"/>
      <c r="L295" s="465" t="str">
        <f t="shared" si="291"/>
        <v>CEO</v>
      </c>
      <c r="M295" s="123" t="str">
        <f t="shared" si="291"/>
        <v>-</v>
      </c>
      <c r="N295" s="132" t="str">
        <f t="shared" si="291"/>
        <v>-</v>
      </c>
      <c r="O295" s="219" t="s">
        <v>78</v>
      </c>
      <c r="P295" s="125" t="str">
        <f t="shared" si="270"/>
        <v>-</v>
      </c>
      <c r="Q295" s="311" t="s">
        <v>78</v>
      </c>
      <c r="R295" s="126" t="str">
        <f t="shared" si="271"/>
        <v>-</v>
      </c>
      <c r="S295" s="221" t="s">
        <v>78</v>
      </c>
      <c r="T295" s="125" t="str">
        <f t="shared" si="272"/>
        <v>-</v>
      </c>
      <c r="U295" s="127" t="str">
        <f t="shared" si="243"/>
        <v>-</v>
      </c>
      <c r="V295" s="128"/>
      <c r="W295" s="223" t="s">
        <v>78</v>
      </c>
      <c r="X295" s="129" t="str">
        <f t="shared" si="244"/>
        <v>-</v>
      </c>
      <c r="Y295" s="124" t="str">
        <f t="shared" si="249"/>
        <v>-</v>
      </c>
      <c r="Z295" s="130" t="str">
        <f t="shared" si="250"/>
        <v>-</v>
      </c>
      <c r="AA295" s="221" t="s">
        <v>78</v>
      </c>
      <c r="AB295" s="225" t="s">
        <v>78</v>
      </c>
      <c r="AC295" s="225" t="s">
        <v>78</v>
      </c>
      <c r="AD295" s="225" t="s">
        <v>78</v>
      </c>
      <c r="AE295" s="225" t="s">
        <v>78</v>
      </c>
      <c r="AF295" s="125" t="str">
        <f t="shared" ref="AF295:AF358" si="293">IFERROR(IF(SUM(AA295:AE295)=0,IF(COUNTIF($AA295:$AE295,"=0")&gt;0,"$0","-"),SUM(AA295:AE295)),"-")</f>
        <v>-</v>
      </c>
      <c r="AG295" s="127" t="str">
        <f t="shared" si="245"/>
        <v>-</v>
      </c>
      <c r="AH295" s="128"/>
      <c r="AI295" s="223" t="s">
        <v>78</v>
      </c>
      <c r="AJ295" s="131" t="str">
        <f t="shared" si="246"/>
        <v>-</v>
      </c>
      <c r="AK295" s="368" t="str">
        <f t="shared" ref="AK295:AK326" si="294">IFERROR($AF295*$J295,"-")</f>
        <v>-</v>
      </c>
      <c r="AL295" s="375" t="str">
        <f t="shared" si="251"/>
        <v>-</v>
      </c>
      <c r="AM295" s="376" t="str">
        <f t="shared" si="252"/>
        <v>-</v>
      </c>
      <c r="AN295" s="394" t="s">
        <v>78</v>
      </c>
      <c r="AO295" s="395" t="s">
        <v>78</v>
      </c>
      <c r="AP295" s="396" t="str">
        <f t="shared" si="287"/>
        <v>-</v>
      </c>
      <c r="AQ295" s="397"/>
      <c r="AR295" s="401" t="s">
        <v>78</v>
      </c>
      <c r="AS295" s="396" t="str">
        <f t="shared" si="288"/>
        <v>-</v>
      </c>
      <c r="AT295" s="397"/>
      <c r="AU295" s="388" t="str">
        <f t="shared" si="253"/>
        <v>-</v>
      </c>
      <c r="AV295" s="389" t="str">
        <f t="shared" si="254"/>
        <v>-</v>
      </c>
      <c r="AW295" s="353" t="s">
        <v>78</v>
      </c>
      <c r="AX295" s="403"/>
      <c r="AY295" s="404"/>
    </row>
    <row r="296" spans="1:51" ht="15" customHeight="1">
      <c r="A296" s="1" t="str">
        <f t="shared" si="286"/>
        <v>0_2024_</v>
      </c>
      <c r="B296" s="1" t="str">
        <f t="shared" si="290"/>
        <v>0_2024_CFO</v>
      </c>
      <c r="C296" s="114">
        <f t="shared" si="268"/>
        <v>0</v>
      </c>
      <c r="D296" s="133" t="str">
        <f>_xll.ciqfunctions.udf.CIQ(C296,"IQ_Company_Name")</f>
        <v>(Invalid Identifier)</v>
      </c>
      <c r="E296" s="114">
        <f t="shared" si="275"/>
        <v>2024</v>
      </c>
      <c r="F296" s="114" t="str">
        <f t="shared" si="242"/>
        <v>2024-01-01</v>
      </c>
      <c r="G296" s="330" t="str">
        <f t="shared" si="277"/>
        <v>2024-12-31</v>
      </c>
      <c r="H296" s="114">
        <f t="shared" si="247"/>
        <v>12</v>
      </c>
      <c r="I296" s="407" t="str">
        <f>I295</f>
        <v>CAD</v>
      </c>
      <c r="J296" s="461">
        <f t="shared" si="292"/>
        <v>1</v>
      </c>
      <c r="K296" s="468"/>
      <c r="L296" s="464" t="s">
        <v>106</v>
      </c>
      <c r="M296" s="217" t="s">
        <v>78</v>
      </c>
      <c r="N296" s="218" t="s">
        <v>78</v>
      </c>
      <c r="O296" s="219" t="s">
        <v>78</v>
      </c>
      <c r="P296" s="125" t="str">
        <f t="shared" si="270"/>
        <v>-</v>
      </c>
      <c r="Q296" s="311" t="s">
        <v>78</v>
      </c>
      <c r="R296" s="126" t="str">
        <f t="shared" si="271"/>
        <v>-</v>
      </c>
      <c r="S296" s="221" t="s">
        <v>78</v>
      </c>
      <c r="T296" s="125" t="str">
        <f t="shared" si="272"/>
        <v>-</v>
      </c>
      <c r="U296" s="127" t="str">
        <f t="shared" si="243"/>
        <v>-</v>
      </c>
      <c r="V296" s="128" t="str">
        <f>IFERROR(AVERAGE(U296:U298),"N/A")</f>
        <v>N/A</v>
      </c>
      <c r="W296" s="223" t="s">
        <v>78</v>
      </c>
      <c r="X296" s="129" t="str">
        <f t="shared" si="244"/>
        <v>-</v>
      </c>
      <c r="Y296" s="124" t="str">
        <f t="shared" si="249"/>
        <v>-</v>
      </c>
      <c r="Z296" s="130" t="str">
        <f t="shared" si="250"/>
        <v>-</v>
      </c>
      <c r="AA296" s="221" t="s">
        <v>78</v>
      </c>
      <c r="AB296" s="225" t="s">
        <v>78</v>
      </c>
      <c r="AC296" s="225" t="s">
        <v>78</v>
      </c>
      <c r="AD296" s="225" t="s">
        <v>78</v>
      </c>
      <c r="AE296" s="225" t="s">
        <v>78</v>
      </c>
      <c r="AF296" s="125" t="str">
        <f t="shared" si="293"/>
        <v>-</v>
      </c>
      <c r="AG296" s="127" t="str">
        <f t="shared" si="245"/>
        <v>-</v>
      </c>
      <c r="AH296" s="128" t="str">
        <f>IFERROR(AVERAGE(AG296:AG298),"N/A")</f>
        <v>N/A</v>
      </c>
      <c r="AI296" s="223" t="s">
        <v>78</v>
      </c>
      <c r="AJ296" s="131" t="str">
        <f t="shared" si="246"/>
        <v>-</v>
      </c>
      <c r="AK296" s="368" t="str">
        <f t="shared" si="294"/>
        <v>-</v>
      </c>
      <c r="AL296" s="375" t="str">
        <f t="shared" si="251"/>
        <v>-</v>
      </c>
      <c r="AM296" s="376" t="str">
        <f t="shared" si="252"/>
        <v>-</v>
      </c>
      <c r="AN296" s="394" t="s">
        <v>78</v>
      </c>
      <c r="AO296" s="395" t="s">
        <v>78</v>
      </c>
      <c r="AP296" s="396" t="str">
        <f t="shared" si="287"/>
        <v>-</v>
      </c>
      <c r="AQ296" s="397" t="str">
        <f>IFERROR(AVERAGE(AP296:AP298),"N/A")</f>
        <v>N/A</v>
      </c>
      <c r="AR296" s="401" t="s">
        <v>78</v>
      </c>
      <c r="AS296" s="396" t="str">
        <f t="shared" si="288"/>
        <v>-</v>
      </c>
      <c r="AT296" s="397" t="str">
        <f>IFERROR(AVERAGE(AS296:AS298),"N/A")</f>
        <v>N/A</v>
      </c>
      <c r="AU296" s="388" t="str">
        <f t="shared" si="253"/>
        <v>-</v>
      </c>
      <c r="AV296" s="389" t="str">
        <f t="shared" si="254"/>
        <v>-</v>
      </c>
      <c r="AW296" s="353" t="s">
        <v>78</v>
      </c>
      <c r="AX296" s="403"/>
      <c r="AY296" s="404"/>
    </row>
    <row r="297" spans="1:51" ht="15" customHeight="1">
      <c r="A297" s="1" t="str">
        <f t="shared" si="286"/>
        <v>0_2023_</v>
      </c>
      <c r="B297" s="1" t="str">
        <f t="shared" si="290"/>
        <v>0_2023_CFO</v>
      </c>
      <c r="C297" s="114">
        <f t="shared" si="268"/>
        <v>0</v>
      </c>
      <c r="D297" s="133" t="str">
        <f>_xll.ciqfunctions.udf.CIQ(C297,"IQ_Company_Name")</f>
        <v>(Invalid Identifier)</v>
      </c>
      <c r="E297" s="114">
        <f t="shared" si="275"/>
        <v>2023</v>
      </c>
      <c r="F297" s="114" t="str">
        <f t="shared" si="242"/>
        <v>2023-01-01</v>
      </c>
      <c r="G297" s="330" t="str">
        <f t="shared" si="277"/>
        <v>2023-12-31</v>
      </c>
      <c r="H297" s="114">
        <f t="shared" si="247"/>
        <v>12</v>
      </c>
      <c r="I297" s="407" t="str">
        <f>I296</f>
        <v>CAD</v>
      </c>
      <c r="J297" s="461">
        <f t="shared" si="292"/>
        <v>1</v>
      </c>
      <c r="K297" s="468"/>
      <c r="L297" s="465" t="str">
        <f t="shared" ref="L297:N298" si="295">L296</f>
        <v>CFO</v>
      </c>
      <c r="M297" s="123" t="str">
        <f t="shared" si="295"/>
        <v>-</v>
      </c>
      <c r="N297" s="132" t="str">
        <f t="shared" si="295"/>
        <v>-</v>
      </c>
      <c r="O297" s="219" t="s">
        <v>78</v>
      </c>
      <c r="P297" s="125" t="str">
        <f t="shared" si="270"/>
        <v>-</v>
      </c>
      <c r="Q297" s="311" t="s">
        <v>78</v>
      </c>
      <c r="R297" s="126" t="str">
        <f t="shared" si="271"/>
        <v>-</v>
      </c>
      <c r="S297" s="221" t="s">
        <v>78</v>
      </c>
      <c r="T297" s="125" t="str">
        <f t="shared" si="272"/>
        <v>-</v>
      </c>
      <c r="U297" s="127" t="str">
        <f t="shared" si="243"/>
        <v>-</v>
      </c>
      <c r="V297" s="128"/>
      <c r="W297" s="223" t="s">
        <v>78</v>
      </c>
      <c r="X297" s="129" t="str">
        <f t="shared" si="244"/>
        <v>-</v>
      </c>
      <c r="Y297" s="124" t="str">
        <f t="shared" si="249"/>
        <v>-</v>
      </c>
      <c r="Z297" s="130" t="str">
        <f t="shared" si="250"/>
        <v>-</v>
      </c>
      <c r="AA297" s="221" t="s">
        <v>78</v>
      </c>
      <c r="AB297" s="225" t="s">
        <v>78</v>
      </c>
      <c r="AC297" s="225" t="s">
        <v>78</v>
      </c>
      <c r="AD297" s="225" t="s">
        <v>78</v>
      </c>
      <c r="AE297" s="225" t="s">
        <v>78</v>
      </c>
      <c r="AF297" s="125" t="str">
        <f t="shared" si="293"/>
        <v>-</v>
      </c>
      <c r="AG297" s="127" t="str">
        <f t="shared" si="245"/>
        <v>-</v>
      </c>
      <c r="AH297" s="128"/>
      <c r="AI297" s="223" t="s">
        <v>78</v>
      </c>
      <c r="AJ297" s="131" t="str">
        <f t="shared" si="246"/>
        <v>-</v>
      </c>
      <c r="AK297" s="368" t="str">
        <f t="shared" si="294"/>
        <v>-</v>
      </c>
      <c r="AL297" s="375" t="str">
        <f t="shared" si="251"/>
        <v>-</v>
      </c>
      <c r="AM297" s="376" t="str">
        <f t="shared" si="252"/>
        <v>-</v>
      </c>
      <c r="AN297" s="394" t="s">
        <v>78</v>
      </c>
      <c r="AO297" s="395" t="s">
        <v>78</v>
      </c>
      <c r="AP297" s="396" t="str">
        <f t="shared" si="287"/>
        <v>-</v>
      </c>
      <c r="AQ297" s="397"/>
      <c r="AR297" s="401" t="s">
        <v>78</v>
      </c>
      <c r="AS297" s="396" t="str">
        <f t="shared" si="288"/>
        <v>-</v>
      </c>
      <c r="AT297" s="397"/>
      <c r="AU297" s="388" t="str">
        <f t="shared" si="253"/>
        <v>-</v>
      </c>
      <c r="AV297" s="389" t="str">
        <f t="shared" si="254"/>
        <v>-</v>
      </c>
      <c r="AW297" s="353" t="s">
        <v>78</v>
      </c>
      <c r="AX297" s="403"/>
      <c r="AY297" s="404"/>
    </row>
    <row r="298" spans="1:51" ht="15" customHeight="1">
      <c r="A298" s="1" t="str">
        <f t="shared" si="286"/>
        <v>0_2022_</v>
      </c>
      <c r="B298" s="1" t="str">
        <f t="shared" si="290"/>
        <v>0_2022_CFO</v>
      </c>
      <c r="C298" s="114">
        <f t="shared" si="268"/>
        <v>0</v>
      </c>
      <c r="D298" s="133" t="str">
        <f>_xll.ciqfunctions.udf.CIQ(C298,"IQ_Company_Name")</f>
        <v>(Invalid Identifier)</v>
      </c>
      <c r="E298" s="114">
        <f t="shared" si="275"/>
        <v>2022</v>
      </c>
      <c r="F298" s="114" t="str">
        <f t="shared" si="242"/>
        <v>2022-01-01</v>
      </c>
      <c r="G298" s="330" t="str">
        <f t="shared" si="277"/>
        <v>2022-12-31</v>
      </c>
      <c r="H298" s="114">
        <f t="shared" si="247"/>
        <v>12</v>
      </c>
      <c r="I298" s="407" t="str">
        <f t="shared" si="278"/>
        <v>CAD</v>
      </c>
      <c r="J298" s="461">
        <f t="shared" si="292"/>
        <v>1</v>
      </c>
      <c r="K298" s="468"/>
      <c r="L298" s="465" t="str">
        <f t="shared" si="295"/>
        <v>CFO</v>
      </c>
      <c r="M298" s="123" t="str">
        <f t="shared" si="295"/>
        <v>-</v>
      </c>
      <c r="N298" s="132" t="str">
        <f t="shared" si="295"/>
        <v>-</v>
      </c>
      <c r="O298" s="219" t="s">
        <v>78</v>
      </c>
      <c r="P298" s="125" t="str">
        <f t="shared" si="270"/>
        <v>-</v>
      </c>
      <c r="Q298" s="311" t="s">
        <v>78</v>
      </c>
      <c r="R298" s="126" t="str">
        <f t="shared" si="271"/>
        <v>-</v>
      </c>
      <c r="S298" s="221" t="s">
        <v>78</v>
      </c>
      <c r="T298" s="125" t="str">
        <f t="shared" si="272"/>
        <v>-</v>
      </c>
      <c r="U298" s="127" t="str">
        <f t="shared" si="243"/>
        <v>-</v>
      </c>
      <c r="V298" s="128"/>
      <c r="W298" s="223" t="s">
        <v>78</v>
      </c>
      <c r="X298" s="129" t="str">
        <f t="shared" si="244"/>
        <v>-</v>
      </c>
      <c r="Y298" s="124" t="str">
        <f t="shared" si="249"/>
        <v>-</v>
      </c>
      <c r="Z298" s="130" t="str">
        <f t="shared" si="250"/>
        <v>-</v>
      </c>
      <c r="AA298" s="221" t="s">
        <v>78</v>
      </c>
      <c r="AB298" s="225" t="s">
        <v>78</v>
      </c>
      <c r="AC298" s="225" t="s">
        <v>78</v>
      </c>
      <c r="AD298" s="225" t="s">
        <v>78</v>
      </c>
      <c r="AE298" s="225" t="s">
        <v>78</v>
      </c>
      <c r="AF298" s="125" t="str">
        <f t="shared" si="293"/>
        <v>-</v>
      </c>
      <c r="AG298" s="127" t="str">
        <f t="shared" si="245"/>
        <v>-</v>
      </c>
      <c r="AH298" s="128"/>
      <c r="AI298" s="223" t="s">
        <v>78</v>
      </c>
      <c r="AJ298" s="131" t="str">
        <f t="shared" si="246"/>
        <v>-</v>
      </c>
      <c r="AK298" s="368" t="str">
        <f t="shared" si="294"/>
        <v>-</v>
      </c>
      <c r="AL298" s="375" t="str">
        <f t="shared" si="251"/>
        <v>-</v>
      </c>
      <c r="AM298" s="376" t="str">
        <f t="shared" si="252"/>
        <v>-</v>
      </c>
      <c r="AN298" s="394" t="s">
        <v>78</v>
      </c>
      <c r="AO298" s="395" t="s">
        <v>78</v>
      </c>
      <c r="AP298" s="396" t="str">
        <f t="shared" si="287"/>
        <v>-</v>
      </c>
      <c r="AQ298" s="397"/>
      <c r="AR298" s="401" t="s">
        <v>78</v>
      </c>
      <c r="AS298" s="396" t="str">
        <f t="shared" si="288"/>
        <v>-</v>
      </c>
      <c r="AT298" s="397"/>
      <c r="AU298" s="388" t="str">
        <f t="shared" si="253"/>
        <v>-</v>
      </c>
      <c r="AV298" s="389" t="str">
        <f t="shared" si="254"/>
        <v>-</v>
      </c>
      <c r="AW298" s="353" t="s">
        <v>78</v>
      </c>
      <c r="AX298" s="403"/>
      <c r="AY298" s="404"/>
    </row>
    <row r="299" spans="1:51" ht="15" customHeight="1">
      <c r="A299" s="1" t="str">
        <f t="shared" si="286"/>
        <v>0_2024_</v>
      </c>
      <c r="B299" s="1" t="str">
        <f t="shared" si="290"/>
        <v>0_2024_NEO1</v>
      </c>
      <c r="C299" s="114">
        <f t="shared" si="268"/>
        <v>0</v>
      </c>
      <c r="D299" s="133" t="str">
        <f>_xll.ciqfunctions.udf.CIQ(C299,"IQ_Company_Name")</f>
        <v>(Invalid Identifier)</v>
      </c>
      <c r="E299" s="114">
        <f t="shared" si="275"/>
        <v>2024</v>
      </c>
      <c r="F299" s="330" t="str">
        <f t="shared" si="242"/>
        <v>2024-01-01</v>
      </c>
      <c r="G299" s="330" t="str">
        <f t="shared" si="277"/>
        <v>2024-12-31</v>
      </c>
      <c r="H299" s="114">
        <f t="shared" si="247"/>
        <v>12</v>
      </c>
      <c r="I299" s="407" t="str">
        <f t="shared" si="278"/>
        <v>CAD</v>
      </c>
      <c r="J299" s="461">
        <f t="shared" si="292"/>
        <v>1</v>
      </c>
      <c r="K299" s="468"/>
      <c r="L299" s="464" t="s">
        <v>107</v>
      </c>
      <c r="M299" s="217" t="s">
        <v>78</v>
      </c>
      <c r="N299" s="218" t="s">
        <v>78</v>
      </c>
      <c r="O299" s="219" t="s">
        <v>78</v>
      </c>
      <c r="P299" s="125" t="str">
        <f t="shared" si="270"/>
        <v>-</v>
      </c>
      <c r="Q299" s="311" t="s">
        <v>78</v>
      </c>
      <c r="R299" s="126" t="str">
        <f t="shared" si="271"/>
        <v>-</v>
      </c>
      <c r="S299" s="221" t="s">
        <v>78</v>
      </c>
      <c r="T299" s="125" t="str">
        <f t="shared" si="272"/>
        <v>-</v>
      </c>
      <c r="U299" s="127" t="str">
        <f t="shared" si="243"/>
        <v>-</v>
      </c>
      <c r="V299" s="128" t="str">
        <f>IFERROR(AVERAGE(U299:U301),"N/A")</f>
        <v>N/A</v>
      </c>
      <c r="W299" s="223" t="s">
        <v>78</v>
      </c>
      <c r="X299" s="129" t="str">
        <f t="shared" si="244"/>
        <v>-</v>
      </c>
      <c r="Y299" s="124" t="str">
        <f t="shared" si="249"/>
        <v>-</v>
      </c>
      <c r="Z299" s="130" t="str">
        <f t="shared" si="250"/>
        <v>-</v>
      </c>
      <c r="AA299" s="221" t="s">
        <v>78</v>
      </c>
      <c r="AB299" s="225" t="s">
        <v>78</v>
      </c>
      <c r="AC299" s="225" t="s">
        <v>78</v>
      </c>
      <c r="AD299" s="225" t="s">
        <v>78</v>
      </c>
      <c r="AE299" s="225" t="s">
        <v>78</v>
      </c>
      <c r="AF299" s="125" t="str">
        <f t="shared" si="293"/>
        <v>-</v>
      </c>
      <c r="AG299" s="127" t="str">
        <f t="shared" si="245"/>
        <v>-</v>
      </c>
      <c r="AH299" s="128" t="str">
        <f>IFERROR(AVERAGE(AG299:AG301),"N/A")</f>
        <v>N/A</v>
      </c>
      <c r="AI299" s="223" t="s">
        <v>78</v>
      </c>
      <c r="AJ299" s="131" t="str">
        <f t="shared" si="246"/>
        <v>-</v>
      </c>
      <c r="AK299" s="368" t="str">
        <f t="shared" si="294"/>
        <v>-</v>
      </c>
      <c r="AL299" s="375" t="str">
        <f t="shared" si="251"/>
        <v>-</v>
      </c>
      <c r="AM299" s="376" t="str">
        <f t="shared" si="252"/>
        <v>-</v>
      </c>
      <c r="AN299" s="394" t="s">
        <v>78</v>
      </c>
      <c r="AO299" s="395" t="s">
        <v>78</v>
      </c>
      <c r="AP299" s="396" t="str">
        <f t="shared" si="287"/>
        <v>-</v>
      </c>
      <c r="AQ299" s="397" t="str">
        <f>IFERROR(AVERAGE(AP299:AP301),"N/A")</f>
        <v>N/A</v>
      </c>
      <c r="AR299" s="401" t="s">
        <v>78</v>
      </c>
      <c r="AS299" s="396" t="str">
        <f t="shared" si="288"/>
        <v>-</v>
      </c>
      <c r="AT299" s="397" t="str">
        <f>IFERROR(AVERAGE(AS299:AS301),"N/A")</f>
        <v>N/A</v>
      </c>
      <c r="AU299" s="388" t="str">
        <f t="shared" si="253"/>
        <v>-</v>
      </c>
      <c r="AV299" s="389" t="str">
        <f t="shared" si="254"/>
        <v>-</v>
      </c>
      <c r="AW299" s="353" t="s">
        <v>78</v>
      </c>
      <c r="AX299" s="403"/>
      <c r="AY299" s="404"/>
    </row>
    <row r="300" spans="1:51" ht="15" customHeight="1">
      <c r="A300" s="1" t="str">
        <f t="shared" si="286"/>
        <v>0_2023_</v>
      </c>
      <c r="B300" s="1" t="str">
        <f t="shared" si="290"/>
        <v>0_2023_NEO1</v>
      </c>
      <c r="C300" s="114">
        <f t="shared" si="268"/>
        <v>0</v>
      </c>
      <c r="D300" s="133" t="str">
        <f>_xll.ciqfunctions.udf.CIQ(C300,"IQ_Company_Name")</f>
        <v>(Invalid Identifier)</v>
      </c>
      <c r="E300" s="114">
        <f t="shared" si="275"/>
        <v>2023</v>
      </c>
      <c r="F300" s="330" t="str">
        <f t="shared" si="242"/>
        <v>2023-01-01</v>
      </c>
      <c r="G300" s="330" t="str">
        <f t="shared" si="277"/>
        <v>2023-12-31</v>
      </c>
      <c r="H300" s="114">
        <f t="shared" si="247"/>
        <v>12</v>
      </c>
      <c r="I300" s="407" t="str">
        <f t="shared" si="278"/>
        <v>CAD</v>
      </c>
      <c r="J300" s="461">
        <f t="shared" si="292"/>
        <v>1</v>
      </c>
      <c r="K300" s="468"/>
      <c r="L300" s="465" t="str">
        <f t="shared" ref="L300:N301" si="296">L299</f>
        <v>NEO1</v>
      </c>
      <c r="M300" s="123" t="str">
        <f t="shared" si="296"/>
        <v>-</v>
      </c>
      <c r="N300" s="132" t="str">
        <f t="shared" si="296"/>
        <v>-</v>
      </c>
      <c r="O300" s="219" t="s">
        <v>78</v>
      </c>
      <c r="P300" s="125" t="str">
        <f t="shared" si="270"/>
        <v>-</v>
      </c>
      <c r="Q300" s="311" t="s">
        <v>78</v>
      </c>
      <c r="R300" s="126" t="str">
        <f t="shared" si="271"/>
        <v>-</v>
      </c>
      <c r="S300" s="221" t="s">
        <v>78</v>
      </c>
      <c r="T300" s="125" t="str">
        <f t="shared" si="272"/>
        <v>-</v>
      </c>
      <c r="U300" s="127" t="str">
        <f t="shared" si="243"/>
        <v>-</v>
      </c>
      <c r="V300" s="128"/>
      <c r="W300" s="223" t="s">
        <v>78</v>
      </c>
      <c r="X300" s="129" t="str">
        <f t="shared" si="244"/>
        <v>-</v>
      </c>
      <c r="Y300" s="124" t="str">
        <f t="shared" si="249"/>
        <v>-</v>
      </c>
      <c r="Z300" s="130" t="str">
        <f t="shared" si="250"/>
        <v>-</v>
      </c>
      <c r="AA300" s="221" t="s">
        <v>78</v>
      </c>
      <c r="AB300" s="225" t="s">
        <v>78</v>
      </c>
      <c r="AC300" s="225" t="s">
        <v>78</v>
      </c>
      <c r="AD300" s="225" t="s">
        <v>78</v>
      </c>
      <c r="AE300" s="225" t="s">
        <v>78</v>
      </c>
      <c r="AF300" s="125" t="str">
        <f t="shared" si="293"/>
        <v>-</v>
      </c>
      <c r="AG300" s="127" t="str">
        <f t="shared" si="245"/>
        <v>-</v>
      </c>
      <c r="AH300" s="128"/>
      <c r="AI300" s="223" t="s">
        <v>78</v>
      </c>
      <c r="AJ300" s="131" t="str">
        <f t="shared" si="246"/>
        <v>-</v>
      </c>
      <c r="AK300" s="368" t="str">
        <f t="shared" si="294"/>
        <v>-</v>
      </c>
      <c r="AL300" s="375" t="str">
        <f t="shared" si="251"/>
        <v>-</v>
      </c>
      <c r="AM300" s="376" t="str">
        <f t="shared" si="252"/>
        <v>-</v>
      </c>
      <c r="AN300" s="394" t="s">
        <v>78</v>
      </c>
      <c r="AO300" s="395" t="s">
        <v>78</v>
      </c>
      <c r="AP300" s="396" t="str">
        <f t="shared" si="287"/>
        <v>-</v>
      </c>
      <c r="AQ300" s="397"/>
      <c r="AR300" s="401" t="s">
        <v>78</v>
      </c>
      <c r="AS300" s="396" t="str">
        <f t="shared" si="288"/>
        <v>-</v>
      </c>
      <c r="AT300" s="397"/>
      <c r="AU300" s="388" t="str">
        <f t="shared" si="253"/>
        <v>-</v>
      </c>
      <c r="AV300" s="389" t="str">
        <f t="shared" si="254"/>
        <v>-</v>
      </c>
      <c r="AW300" s="353" t="s">
        <v>78</v>
      </c>
      <c r="AX300" s="403"/>
      <c r="AY300" s="404"/>
    </row>
    <row r="301" spans="1:51" ht="15" customHeight="1">
      <c r="A301" s="1" t="str">
        <f t="shared" si="286"/>
        <v>0_2022_</v>
      </c>
      <c r="B301" s="1" t="str">
        <f t="shared" si="290"/>
        <v>0_2022_NEO1</v>
      </c>
      <c r="C301" s="114">
        <f t="shared" si="268"/>
        <v>0</v>
      </c>
      <c r="D301" s="133" t="str">
        <f>_xll.ciqfunctions.udf.CIQ(C301,"IQ_Company_Name")</f>
        <v>(Invalid Identifier)</v>
      </c>
      <c r="E301" s="114">
        <f t="shared" si="275"/>
        <v>2022</v>
      </c>
      <c r="F301" s="114" t="str">
        <f t="shared" si="242"/>
        <v>2022-01-01</v>
      </c>
      <c r="G301" s="330" t="str">
        <f t="shared" si="277"/>
        <v>2022-12-31</v>
      </c>
      <c r="H301" s="114">
        <f t="shared" si="247"/>
        <v>12</v>
      </c>
      <c r="I301" s="407" t="str">
        <f t="shared" si="278"/>
        <v>CAD</v>
      </c>
      <c r="J301" s="461">
        <f t="shared" si="292"/>
        <v>1</v>
      </c>
      <c r="K301" s="468"/>
      <c r="L301" s="465" t="str">
        <f t="shared" si="296"/>
        <v>NEO1</v>
      </c>
      <c r="M301" s="123" t="str">
        <f t="shared" si="296"/>
        <v>-</v>
      </c>
      <c r="N301" s="132" t="str">
        <f t="shared" si="296"/>
        <v>-</v>
      </c>
      <c r="O301" s="219" t="s">
        <v>78</v>
      </c>
      <c r="P301" s="125" t="str">
        <f t="shared" si="270"/>
        <v>-</v>
      </c>
      <c r="Q301" s="311" t="s">
        <v>78</v>
      </c>
      <c r="R301" s="126" t="str">
        <f t="shared" si="271"/>
        <v>-</v>
      </c>
      <c r="S301" s="221" t="s">
        <v>78</v>
      </c>
      <c r="T301" s="125" t="str">
        <f t="shared" si="272"/>
        <v>-</v>
      </c>
      <c r="U301" s="127" t="str">
        <f t="shared" si="243"/>
        <v>-</v>
      </c>
      <c r="V301" s="128"/>
      <c r="W301" s="223" t="s">
        <v>78</v>
      </c>
      <c r="X301" s="129" t="str">
        <f t="shared" si="244"/>
        <v>-</v>
      </c>
      <c r="Y301" s="124" t="str">
        <f t="shared" si="249"/>
        <v>-</v>
      </c>
      <c r="Z301" s="130" t="str">
        <f t="shared" si="250"/>
        <v>-</v>
      </c>
      <c r="AA301" s="221" t="s">
        <v>78</v>
      </c>
      <c r="AB301" s="225" t="s">
        <v>78</v>
      </c>
      <c r="AC301" s="225" t="s">
        <v>78</v>
      </c>
      <c r="AD301" s="225" t="s">
        <v>78</v>
      </c>
      <c r="AE301" s="225" t="s">
        <v>78</v>
      </c>
      <c r="AF301" s="125" t="str">
        <f t="shared" si="293"/>
        <v>-</v>
      </c>
      <c r="AG301" s="127" t="str">
        <f t="shared" si="245"/>
        <v>-</v>
      </c>
      <c r="AH301" s="128"/>
      <c r="AI301" s="223" t="s">
        <v>78</v>
      </c>
      <c r="AJ301" s="131" t="str">
        <f t="shared" si="246"/>
        <v>-</v>
      </c>
      <c r="AK301" s="368" t="str">
        <f t="shared" si="294"/>
        <v>-</v>
      </c>
      <c r="AL301" s="375" t="str">
        <f t="shared" si="251"/>
        <v>-</v>
      </c>
      <c r="AM301" s="376" t="str">
        <f t="shared" si="252"/>
        <v>-</v>
      </c>
      <c r="AN301" s="394" t="s">
        <v>78</v>
      </c>
      <c r="AO301" s="395" t="s">
        <v>78</v>
      </c>
      <c r="AP301" s="396" t="str">
        <f t="shared" si="287"/>
        <v>-</v>
      </c>
      <c r="AQ301" s="397"/>
      <c r="AR301" s="401" t="s">
        <v>78</v>
      </c>
      <c r="AS301" s="396" t="str">
        <f t="shared" si="288"/>
        <v>-</v>
      </c>
      <c r="AT301" s="397"/>
      <c r="AU301" s="388" t="str">
        <f t="shared" si="253"/>
        <v>-</v>
      </c>
      <c r="AV301" s="389" t="str">
        <f t="shared" si="254"/>
        <v>-</v>
      </c>
      <c r="AW301" s="353" t="s">
        <v>78</v>
      </c>
      <c r="AX301" s="403"/>
      <c r="AY301" s="404"/>
    </row>
    <row r="302" spans="1:51" ht="15" customHeight="1">
      <c r="A302" s="1" t="str">
        <f t="shared" si="286"/>
        <v>0_2024_</v>
      </c>
      <c r="B302" s="1" t="str">
        <f t="shared" si="290"/>
        <v>0_2024_NEO2</v>
      </c>
      <c r="C302" s="114">
        <f t="shared" si="268"/>
        <v>0</v>
      </c>
      <c r="D302" s="133" t="str">
        <f>_xll.ciqfunctions.udf.CIQ(C302,"IQ_Company_Name")</f>
        <v>(Invalid Identifier)</v>
      </c>
      <c r="E302" s="114">
        <f t="shared" si="275"/>
        <v>2024</v>
      </c>
      <c r="F302" s="114" t="str">
        <f t="shared" si="242"/>
        <v>2024-01-01</v>
      </c>
      <c r="G302" s="330" t="str">
        <f t="shared" si="277"/>
        <v>2024-12-31</v>
      </c>
      <c r="H302" s="114">
        <f t="shared" si="247"/>
        <v>12</v>
      </c>
      <c r="I302" s="407" t="str">
        <f t="shared" si="278"/>
        <v>CAD</v>
      </c>
      <c r="J302" s="461">
        <f t="shared" si="292"/>
        <v>1</v>
      </c>
      <c r="K302" s="468"/>
      <c r="L302" s="464" t="s">
        <v>108</v>
      </c>
      <c r="M302" s="217" t="s">
        <v>78</v>
      </c>
      <c r="N302" s="218" t="s">
        <v>78</v>
      </c>
      <c r="O302" s="219" t="s">
        <v>78</v>
      </c>
      <c r="P302" s="125" t="str">
        <f t="shared" si="270"/>
        <v>-</v>
      </c>
      <c r="Q302" s="311" t="s">
        <v>78</v>
      </c>
      <c r="R302" s="126" t="str">
        <f t="shared" si="271"/>
        <v>-</v>
      </c>
      <c r="S302" s="221" t="s">
        <v>78</v>
      </c>
      <c r="T302" s="125" t="str">
        <f t="shared" si="272"/>
        <v>-</v>
      </c>
      <c r="U302" s="127" t="str">
        <f t="shared" si="243"/>
        <v>-</v>
      </c>
      <c r="V302" s="128" t="str">
        <f>IFERROR(AVERAGE(U302:U304),"N/A")</f>
        <v>N/A</v>
      </c>
      <c r="W302" s="223" t="s">
        <v>78</v>
      </c>
      <c r="X302" s="129" t="str">
        <f t="shared" si="244"/>
        <v>-</v>
      </c>
      <c r="Y302" s="124" t="str">
        <f t="shared" si="249"/>
        <v>-</v>
      </c>
      <c r="Z302" s="130" t="str">
        <f t="shared" si="250"/>
        <v>-</v>
      </c>
      <c r="AA302" s="221" t="s">
        <v>78</v>
      </c>
      <c r="AB302" s="225" t="s">
        <v>78</v>
      </c>
      <c r="AC302" s="225" t="s">
        <v>78</v>
      </c>
      <c r="AD302" s="225" t="s">
        <v>78</v>
      </c>
      <c r="AE302" s="225" t="s">
        <v>78</v>
      </c>
      <c r="AF302" s="125" t="str">
        <f t="shared" si="293"/>
        <v>-</v>
      </c>
      <c r="AG302" s="127" t="str">
        <f t="shared" si="245"/>
        <v>-</v>
      </c>
      <c r="AH302" s="128" t="str">
        <f>IFERROR(AVERAGE(AG302:AG304),"N/A")</f>
        <v>N/A</v>
      </c>
      <c r="AI302" s="223" t="s">
        <v>78</v>
      </c>
      <c r="AJ302" s="131" t="str">
        <f t="shared" si="246"/>
        <v>-</v>
      </c>
      <c r="AK302" s="368" t="str">
        <f t="shared" si="294"/>
        <v>-</v>
      </c>
      <c r="AL302" s="375" t="str">
        <f t="shared" si="251"/>
        <v>-</v>
      </c>
      <c r="AM302" s="376" t="str">
        <f t="shared" si="252"/>
        <v>-</v>
      </c>
      <c r="AN302" s="394" t="s">
        <v>78</v>
      </c>
      <c r="AO302" s="395" t="s">
        <v>78</v>
      </c>
      <c r="AP302" s="396" t="str">
        <f t="shared" si="287"/>
        <v>-</v>
      </c>
      <c r="AQ302" s="397" t="str">
        <f>IFERROR(AVERAGE(AP302:AP304),"N/A")</f>
        <v>N/A</v>
      </c>
      <c r="AR302" s="401" t="s">
        <v>78</v>
      </c>
      <c r="AS302" s="396" t="str">
        <f t="shared" si="288"/>
        <v>-</v>
      </c>
      <c r="AT302" s="397" t="str">
        <f>IFERROR(AVERAGE(AS302:AS304),"N/A")</f>
        <v>N/A</v>
      </c>
      <c r="AU302" s="388" t="str">
        <f t="shared" si="253"/>
        <v>-</v>
      </c>
      <c r="AV302" s="389" t="str">
        <f t="shared" si="254"/>
        <v>-</v>
      </c>
      <c r="AW302" s="353" t="s">
        <v>78</v>
      </c>
      <c r="AX302" s="403"/>
      <c r="AY302" s="404"/>
    </row>
    <row r="303" spans="1:51" ht="15" customHeight="1">
      <c r="A303" s="1" t="str">
        <f t="shared" si="286"/>
        <v>0_2023_</v>
      </c>
      <c r="B303" s="1" t="str">
        <f t="shared" si="290"/>
        <v>0_2023_NEO2</v>
      </c>
      <c r="C303" s="114">
        <f t="shared" si="268"/>
        <v>0</v>
      </c>
      <c r="D303" s="133" t="str">
        <f>_xll.ciqfunctions.udf.CIQ(C303,"IQ_Company_Name")</f>
        <v>(Invalid Identifier)</v>
      </c>
      <c r="E303" s="114">
        <f t="shared" si="275"/>
        <v>2023</v>
      </c>
      <c r="F303" s="114" t="str">
        <f t="shared" si="242"/>
        <v>2023-01-01</v>
      </c>
      <c r="G303" s="330" t="str">
        <f t="shared" si="277"/>
        <v>2023-12-31</v>
      </c>
      <c r="H303" s="114">
        <f t="shared" si="247"/>
        <v>12</v>
      </c>
      <c r="I303" s="407" t="str">
        <f t="shared" si="278"/>
        <v>CAD</v>
      </c>
      <c r="J303" s="461">
        <f t="shared" si="292"/>
        <v>1</v>
      </c>
      <c r="K303" s="468"/>
      <c r="L303" s="465" t="str">
        <f t="shared" ref="L303:N304" si="297">L302</f>
        <v>NEO2</v>
      </c>
      <c r="M303" s="123" t="str">
        <f t="shared" si="297"/>
        <v>-</v>
      </c>
      <c r="N303" s="132" t="str">
        <f t="shared" si="297"/>
        <v>-</v>
      </c>
      <c r="O303" s="219" t="s">
        <v>78</v>
      </c>
      <c r="P303" s="125" t="str">
        <f t="shared" si="270"/>
        <v>-</v>
      </c>
      <c r="Q303" s="311" t="s">
        <v>78</v>
      </c>
      <c r="R303" s="126" t="str">
        <f t="shared" si="271"/>
        <v>-</v>
      </c>
      <c r="S303" s="221" t="s">
        <v>78</v>
      </c>
      <c r="T303" s="125" t="str">
        <f t="shared" si="272"/>
        <v>-</v>
      </c>
      <c r="U303" s="127" t="str">
        <f t="shared" si="243"/>
        <v>-</v>
      </c>
      <c r="V303" s="128"/>
      <c r="W303" s="223" t="s">
        <v>78</v>
      </c>
      <c r="X303" s="129" t="str">
        <f t="shared" si="244"/>
        <v>-</v>
      </c>
      <c r="Y303" s="124" t="str">
        <f t="shared" si="249"/>
        <v>-</v>
      </c>
      <c r="Z303" s="130" t="str">
        <f t="shared" si="250"/>
        <v>-</v>
      </c>
      <c r="AA303" s="221" t="s">
        <v>78</v>
      </c>
      <c r="AB303" s="225" t="s">
        <v>78</v>
      </c>
      <c r="AC303" s="225" t="s">
        <v>78</v>
      </c>
      <c r="AD303" s="225" t="s">
        <v>78</v>
      </c>
      <c r="AE303" s="225" t="s">
        <v>78</v>
      </c>
      <c r="AF303" s="125" t="str">
        <f t="shared" si="293"/>
        <v>-</v>
      </c>
      <c r="AG303" s="127" t="str">
        <f t="shared" si="245"/>
        <v>-</v>
      </c>
      <c r="AH303" s="128"/>
      <c r="AI303" s="223" t="s">
        <v>78</v>
      </c>
      <c r="AJ303" s="131" t="str">
        <f t="shared" si="246"/>
        <v>-</v>
      </c>
      <c r="AK303" s="368" t="str">
        <f t="shared" si="294"/>
        <v>-</v>
      </c>
      <c r="AL303" s="375" t="str">
        <f t="shared" si="251"/>
        <v>-</v>
      </c>
      <c r="AM303" s="376" t="str">
        <f t="shared" si="252"/>
        <v>-</v>
      </c>
      <c r="AN303" s="394" t="s">
        <v>78</v>
      </c>
      <c r="AO303" s="395" t="s">
        <v>78</v>
      </c>
      <c r="AP303" s="396" t="str">
        <f t="shared" si="287"/>
        <v>-</v>
      </c>
      <c r="AQ303" s="397"/>
      <c r="AR303" s="401" t="s">
        <v>78</v>
      </c>
      <c r="AS303" s="396" t="str">
        <f t="shared" si="288"/>
        <v>-</v>
      </c>
      <c r="AT303" s="397"/>
      <c r="AU303" s="388" t="str">
        <f t="shared" si="253"/>
        <v>-</v>
      </c>
      <c r="AV303" s="389" t="str">
        <f t="shared" si="254"/>
        <v>-</v>
      </c>
      <c r="AW303" s="353" t="s">
        <v>78</v>
      </c>
      <c r="AX303" s="403"/>
      <c r="AY303" s="404"/>
    </row>
    <row r="304" spans="1:51" ht="15" customHeight="1">
      <c r="A304" s="1" t="str">
        <f t="shared" si="286"/>
        <v>0_2022_</v>
      </c>
      <c r="B304" s="1" t="str">
        <f t="shared" si="290"/>
        <v>0_2022_NEO2</v>
      </c>
      <c r="C304" s="114">
        <f t="shared" si="268"/>
        <v>0</v>
      </c>
      <c r="D304" s="133" t="str">
        <f>_xll.ciqfunctions.udf.CIQ(C304,"IQ_Company_Name")</f>
        <v>(Invalid Identifier)</v>
      </c>
      <c r="E304" s="114">
        <f t="shared" si="275"/>
        <v>2022</v>
      </c>
      <c r="F304" s="114" t="str">
        <f t="shared" si="242"/>
        <v>2022-01-01</v>
      </c>
      <c r="G304" s="330" t="str">
        <f t="shared" si="277"/>
        <v>2022-12-31</v>
      </c>
      <c r="H304" s="114">
        <f t="shared" si="247"/>
        <v>12</v>
      </c>
      <c r="I304" s="407" t="str">
        <f t="shared" si="278"/>
        <v>CAD</v>
      </c>
      <c r="J304" s="461">
        <f t="shared" si="292"/>
        <v>1</v>
      </c>
      <c r="K304" s="468"/>
      <c r="L304" s="465" t="str">
        <f t="shared" si="297"/>
        <v>NEO2</v>
      </c>
      <c r="M304" s="123" t="str">
        <f t="shared" si="297"/>
        <v>-</v>
      </c>
      <c r="N304" s="132" t="str">
        <f t="shared" si="297"/>
        <v>-</v>
      </c>
      <c r="O304" s="219" t="s">
        <v>78</v>
      </c>
      <c r="P304" s="125" t="str">
        <f t="shared" si="270"/>
        <v>-</v>
      </c>
      <c r="Q304" s="311" t="s">
        <v>78</v>
      </c>
      <c r="R304" s="126" t="str">
        <f t="shared" si="271"/>
        <v>-</v>
      </c>
      <c r="S304" s="221" t="s">
        <v>78</v>
      </c>
      <c r="T304" s="125" t="str">
        <f t="shared" si="272"/>
        <v>-</v>
      </c>
      <c r="U304" s="127" t="str">
        <f t="shared" si="243"/>
        <v>-</v>
      </c>
      <c r="V304" s="128"/>
      <c r="W304" s="223" t="s">
        <v>78</v>
      </c>
      <c r="X304" s="129" t="str">
        <f t="shared" si="244"/>
        <v>-</v>
      </c>
      <c r="Y304" s="124" t="str">
        <f t="shared" si="249"/>
        <v>-</v>
      </c>
      <c r="Z304" s="130" t="str">
        <f t="shared" si="250"/>
        <v>-</v>
      </c>
      <c r="AA304" s="221" t="s">
        <v>78</v>
      </c>
      <c r="AB304" s="225" t="s">
        <v>78</v>
      </c>
      <c r="AC304" s="225" t="s">
        <v>78</v>
      </c>
      <c r="AD304" s="225" t="s">
        <v>78</v>
      </c>
      <c r="AE304" s="225" t="s">
        <v>78</v>
      </c>
      <c r="AF304" s="125" t="str">
        <f t="shared" si="293"/>
        <v>-</v>
      </c>
      <c r="AG304" s="127" t="str">
        <f t="shared" si="245"/>
        <v>-</v>
      </c>
      <c r="AH304" s="128"/>
      <c r="AI304" s="223" t="s">
        <v>78</v>
      </c>
      <c r="AJ304" s="131" t="str">
        <f t="shared" si="246"/>
        <v>-</v>
      </c>
      <c r="AK304" s="368" t="str">
        <f t="shared" si="294"/>
        <v>-</v>
      </c>
      <c r="AL304" s="375" t="str">
        <f t="shared" si="251"/>
        <v>-</v>
      </c>
      <c r="AM304" s="376" t="str">
        <f t="shared" si="252"/>
        <v>-</v>
      </c>
      <c r="AN304" s="394" t="s">
        <v>78</v>
      </c>
      <c r="AO304" s="395" t="s">
        <v>78</v>
      </c>
      <c r="AP304" s="396" t="str">
        <f t="shared" si="287"/>
        <v>-</v>
      </c>
      <c r="AQ304" s="397"/>
      <c r="AR304" s="401" t="s">
        <v>78</v>
      </c>
      <c r="AS304" s="396" t="str">
        <f t="shared" si="288"/>
        <v>-</v>
      </c>
      <c r="AT304" s="397"/>
      <c r="AU304" s="388" t="str">
        <f t="shared" si="253"/>
        <v>-</v>
      </c>
      <c r="AV304" s="389" t="str">
        <f t="shared" si="254"/>
        <v>-</v>
      </c>
      <c r="AW304" s="353" t="s">
        <v>78</v>
      </c>
      <c r="AX304" s="403"/>
      <c r="AY304" s="404"/>
    </row>
    <row r="305" spans="1:51" ht="15" customHeight="1">
      <c r="A305" s="1" t="str">
        <f t="shared" si="286"/>
        <v>0_2024_</v>
      </c>
      <c r="B305" s="1" t="str">
        <f t="shared" si="290"/>
        <v>0_2024_NEO3</v>
      </c>
      <c r="C305" s="114">
        <f t="shared" si="268"/>
        <v>0</v>
      </c>
      <c r="D305" s="133" t="str">
        <f>_xll.ciqfunctions.udf.CIQ(C305,"IQ_Company_Name")</f>
        <v>(Invalid Identifier)</v>
      </c>
      <c r="E305" s="114">
        <f t="shared" si="275"/>
        <v>2024</v>
      </c>
      <c r="F305" s="114" t="str">
        <f t="shared" si="242"/>
        <v>2024-01-01</v>
      </c>
      <c r="G305" s="330" t="str">
        <f t="shared" si="277"/>
        <v>2024-12-31</v>
      </c>
      <c r="H305" s="114">
        <f t="shared" si="247"/>
        <v>12</v>
      </c>
      <c r="I305" s="407" t="str">
        <f t="shared" si="278"/>
        <v>CAD</v>
      </c>
      <c r="J305" s="461">
        <f t="shared" si="292"/>
        <v>1</v>
      </c>
      <c r="K305" s="468"/>
      <c r="L305" s="464" t="s">
        <v>109</v>
      </c>
      <c r="M305" s="217" t="s">
        <v>78</v>
      </c>
      <c r="N305" s="218" t="s">
        <v>78</v>
      </c>
      <c r="O305" s="219" t="s">
        <v>78</v>
      </c>
      <c r="P305" s="125" t="str">
        <f t="shared" si="270"/>
        <v>-</v>
      </c>
      <c r="Q305" s="311" t="s">
        <v>78</v>
      </c>
      <c r="R305" s="126" t="str">
        <f t="shared" si="271"/>
        <v>-</v>
      </c>
      <c r="S305" s="221" t="s">
        <v>78</v>
      </c>
      <c r="T305" s="125" t="str">
        <f t="shared" si="272"/>
        <v>-</v>
      </c>
      <c r="U305" s="127" t="str">
        <f t="shared" si="243"/>
        <v>-</v>
      </c>
      <c r="V305" s="128" t="str">
        <f>IFERROR(AVERAGE(U305:U307),"N/A")</f>
        <v>N/A</v>
      </c>
      <c r="W305" s="223" t="s">
        <v>78</v>
      </c>
      <c r="X305" s="129" t="str">
        <f t="shared" si="244"/>
        <v>-</v>
      </c>
      <c r="Y305" s="124" t="str">
        <f t="shared" si="249"/>
        <v>-</v>
      </c>
      <c r="Z305" s="130" t="str">
        <f t="shared" si="250"/>
        <v>-</v>
      </c>
      <c r="AA305" s="221" t="s">
        <v>78</v>
      </c>
      <c r="AB305" s="225" t="s">
        <v>78</v>
      </c>
      <c r="AC305" s="225" t="s">
        <v>78</v>
      </c>
      <c r="AD305" s="225" t="s">
        <v>78</v>
      </c>
      <c r="AE305" s="225" t="s">
        <v>78</v>
      </c>
      <c r="AF305" s="125" t="str">
        <f t="shared" si="293"/>
        <v>-</v>
      </c>
      <c r="AG305" s="127" t="str">
        <f t="shared" si="245"/>
        <v>-</v>
      </c>
      <c r="AH305" s="128" t="str">
        <f>IFERROR(AVERAGE(AG305:AG307),"N/A")</f>
        <v>N/A</v>
      </c>
      <c r="AI305" s="223" t="s">
        <v>78</v>
      </c>
      <c r="AJ305" s="131" t="str">
        <f t="shared" si="246"/>
        <v>-</v>
      </c>
      <c r="AK305" s="368" t="str">
        <f t="shared" si="294"/>
        <v>-</v>
      </c>
      <c r="AL305" s="375" t="str">
        <f t="shared" si="251"/>
        <v>-</v>
      </c>
      <c r="AM305" s="376" t="str">
        <f t="shared" si="252"/>
        <v>-</v>
      </c>
      <c r="AN305" s="394" t="s">
        <v>78</v>
      </c>
      <c r="AO305" s="395" t="s">
        <v>78</v>
      </c>
      <c r="AP305" s="396" t="str">
        <f t="shared" si="287"/>
        <v>-</v>
      </c>
      <c r="AQ305" s="397" t="str">
        <f>IFERROR(AVERAGE(AP305:AP307),"N/A")</f>
        <v>N/A</v>
      </c>
      <c r="AR305" s="401" t="s">
        <v>78</v>
      </c>
      <c r="AS305" s="396" t="str">
        <f t="shared" si="288"/>
        <v>-</v>
      </c>
      <c r="AT305" s="397" t="str">
        <f>IFERROR(AVERAGE(AS305:AS307),"N/A")</f>
        <v>N/A</v>
      </c>
      <c r="AU305" s="388" t="str">
        <f t="shared" si="253"/>
        <v>-</v>
      </c>
      <c r="AV305" s="389" t="str">
        <f t="shared" si="254"/>
        <v>-</v>
      </c>
      <c r="AW305" s="353" t="s">
        <v>78</v>
      </c>
      <c r="AX305" s="403"/>
      <c r="AY305" s="404"/>
    </row>
    <row r="306" spans="1:51" ht="15" customHeight="1">
      <c r="A306" s="1" t="str">
        <f t="shared" si="286"/>
        <v>0_2023_</v>
      </c>
      <c r="B306" s="1" t="str">
        <f t="shared" si="290"/>
        <v>0_2023_NEO3</v>
      </c>
      <c r="C306" s="114">
        <f t="shared" si="268"/>
        <v>0</v>
      </c>
      <c r="D306" s="133" t="str">
        <f>_xll.ciqfunctions.udf.CIQ(C306,"IQ_Company_Name")</f>
        <v>(Invalid Identifier)</v>
      </c>
      <c r="E306" s="114">
        <f t="shared" si="275"/>
        <v>2023</v>
      </c>
      <c r="F306" s="114" t="str">
        <f t="shared" si="242"/>
        <v>2023-01-01</v>
      </c>
      <c r="G306" s="330" t="str">
        <f t="shared" si="277"/>
        <v>2023-12-31</v>
      </c>
      <c r="H306" s="114">
        <f t="shared" si="247"/>
        <v>12</v>
      </c>
      <c r="I306" s="407" t="str">
        <f t="shared" si="278"/>
        <v>CAD</v>
      </c>
      <c r="J306" s="461">
        <f t="shared" si="292"/>
        <v>1</v>
      </c>
      <c r="K306" s="468"/>
      <c r="L306" s="465" t="str">
        <f t="shared" ref="L306:N307" si="298">L305</f>
        <v>NEO3</v>
      </c>
      <c r="M306" s="123" t="str">
        <f t="shared" si="298"/>
        <v>-</v>
      </c>
      <c r="N306" s="132" t="str">
        <f t="shared" si="298"/>
        <v>-</v>
      </c>
      <c r="O306" s="219" t="s">
        <v>78</v>
      </c>
      <c r="P306" s="125" t="str">
        <f t="shared" si="270"/>
        <v>-</v>
      </c>
      <c r="Q306" s="311" t="s">
        <v>78</v>
      </c>
      <c r="R306" s="126" t="str">
        <f t="shared" si="271"/>
        <v>-</v>
      </c>
      <c r="S306" s="221" t="s">
        <v>78</v>
      </c>
      <c r="T306" s="125" t="str">
        <f t="shared" si="272"/>
        <v>-</v>
      </c>
      <c r="U306" s="127" t="str">
        <f t="shared" si="243"/>
        <v>-</v>
      </c>
      <c r="V306" s="128"/>
      <c r="W306" s="223" t="s">
        <v>78</v>
      </c>
      <c r="X306" s="129" t="str">
        <f t="shared" si="244"/>
        <v>-</v>
      </c>
      <c r="Y306" s="124" t="str">
        <f t="shared" si="249"/>
        <v>-</v>
      </c>
      <c r="Z306" s="130" t="str">
        <f t="shared" si="250"/>
        <v>-</v>
      </c>
      <c r="AA306" s="221" t="s">
        <v>78</v>
      </c>
      <c r="AB306" s="225" t="s">
        <v>78</v>
      </c>
      <c r="AC306" s="225" t="s">
        <v>78</v>
      </c>
      <c r="AD306" s="225" t="s">
        <v>78</v>
      </c>
      <c r="AE306" s="225" t="s">
        <v>78</v>
      </c>
      <c r="AF306" s="125" t="str">
        <f t="shared" si="293"/>
        <v>-</v>
      </c>
      <c r="AG306" s="127" t="str">
        <f t="shared" si="245"/>
        <v>-</v>
      </c>
      <c r="AH306" s="128"/>
      <c r="AI306" s="223" t="s">
        <v>78</v>
      </c>
      <c r="AJ306" s="131" t="str">
        <f t="shared" si="246"/>
        <v>-</v>
      </c>
      <c r="AK306" s="368" t="str">
        <f t="shared" si="294"/>
        <v>-</v>
      </c>
      <c r="AL306" s="375" t="str">
        <f t="shared" si="251"/>
        <v>-</v>
      </c>
      <c r="AM306" s="376" t="str">
        <f t="shared" si="252"/>
        <v>-</v>
      </c>
      <c r="AN306" s="394" t="s">
        <v>78</v>
      </c>
      <c r="AO306" s="395" t="s">
        <v>78</v>
      </c>
      <c r="AP306" s="396" t="str">
        <f t="shared" si="287"/>
        <v>-</v>
      </c>
      <c r="AQ306" s="397"/>
      <c r="AR306" s="401" t="s">
        <v>78</v>
      </c>
      <c r="AS306" s="396" t="str">
        <f t="shared" si="288"/>
        <v>-</v>
      </c>
      <c r="AT306" s="397"/>
      <c r="AU306" s="388" t="str">
        <f t="shared" si="253"/>
        <v>-</v>
      </c>
      <c r="AV306" s="389" t="str">
        <f t="shared" si="254"/>
        <v>-</v>
      </c>
      <c r="AW306" s="353" t="s">
        <v>78</v>
      </c>
      <c r="AX306" s="403"/>
      <c r="AY306" s="404"/>
    </row>
    <row r="307" spans="1:51" ht="15" customHeight="1">
      <c r="A307" s="1" t="str">
        <f t="shared" si="286"/>
        <v>0_2022_</v>
      </c>
      <c r="B307" s="1" t="str">
        <f t="shared" si="290"/>
        <v>0_2022_NEO3</v>
      </c>
      <c r="C307" s="203">
        <f t="shared" si="268"/>
        <v>0</v>
      </c>
      <c r="D307" s="205" t="str">
        <f>_xll.ciqfunctions.udf.CIQ(C307,"IQ_Company_Name")</f>
        <v>(Invalid Identifier)</v>
      </c>
      <c r="E307" s="204">
        <f t="shared" si="275"/>
        <v>2022</v>
      </c>
      <c r="F307" s="204" t="str">
        <f t="shared" si="242"/>
        <v>2022-01-01</v>
      </c>
      <c r="G307" s="331" t="str">
        <f t="shared" si="277"/>
        <v>2022-12-31</v>
      </c>
      <c r="H307" s="204">
        <f t="shared" si="247"/>
        <v>12</v>
      </c>
      <c r="I307" s="408" t="str">
        <f t="shared" si="278"/>
        <v>CAD</v>
      </c>
      <c r="J307" s="463">
        <f t="shared" si="292"/>
        <v>1</v>
      </c>
      <c r="K307" s="470"/>
      <c r="L307" s="466" t="str">
        <f t="shared" si="298"/>
        <v>NEO3</v>
      </c>
      <c r="M307" s="206" t="str">
        <f t="shared" si="298"/>
        <v>-</v>
      </c>
      <c r="N307" s="207" t="str">
        <f t="shared" si="298"/>
        <v>-</v>
      </c>
      <c r="O307" s="220" t="s">
        <v>78</v>
      </c>
      <c r="P307" s="209" t="str">
        <f t="shared" si="270"/>
        <v>-</v>
      </c>
      <c r="Q307" s="312" t="s">
        <v>78</v>
      </c>
      <c r="R307" s="329" t="str">
        <f t="shared" si="271"/>
        <v>-</v>
      </c>
      <c r="S307" s="222" t="s">
        <v>78</v>
      </c>
      <c r="T307" s="209" t="str">
        <f t="shared" si="272"/>
        <v>-</v>
      </c>
      <c r="U307" s="211" t="str">
        <f t="shared" si="243"/>
        <v>-</v>
      </c>
      <c r="V307" s="212"/>
      <c r="W307" s="224" t="s">
        <v>78</v>
      </c>
      <c r="X307" s="213" t="str">
        <f t="shared" si="244"/>
        <v>-</v>
      </c>
      <c r="Y307" s="208" t="str">
        <f t="shared" si="249"/>
        <v>-</v>
      </c>
      <c r="Z307" s="214" t="str">
        <f t="shared" si="250"/>
        <v>-</v>
      </c>
      <c r="AA307" s="222" t="s">
        <v>78</v>
      </c>
      <c r="AB307" s="226" t="s">
        <v>78</v>
      </c>
      <c r="AC307" s="226" t="s">
        <v>78</v>
      </c>
      <c r="AD307" s="226" t="s">
        <v>78</v>
      </c>
      <c r="AE307" s="226" t="s">
        <v>78</v>
      </c>
      <c r="AF307" s="420" t="str">
        <f t="shared" si="293"/>
        <v>-</v>
      </c>
      <c r="AG307" s="211" t="str">
        <f t="shared" si="245"/>
        <v>-</v>
      </c>
      <c r="AH307" s="212"/>
      <c r="AI307" s="224" t="s">
        <v>78</v>
      </c>
      <c r="AJ307" s="215" t="str">
        <f t="shared" si="246"/>
        <v>-</v>
      </c>
      <c r="AK307" s="369" t="str">
        <f t="shared" si="294"/>
        <v>-</v>
      </c>
      <c r="AL307" s="377" t="str">
        <f t="shared" si="251"/>
        <v>-</v>
      </c>
      <c r="AM307" s="378" t="str">
        <f t="shared" si="252"/>
        <v>-</v>
      </c>
      <c r="AN307" s="398" t="s">
        <v>78</v>
      </c>
      <c r="AO307" s="399" t="s">
        <v>78</v>
      </c>
      <c r="AP307" s="396" t="str">
        <f t="shared" si="287"/>
        <v>-</v>
      </c>
      <c r="AQ307" s="400"/>
      <c r="AR307" s="402" t="s">
        <v>78</v>
      </c>
      <c r="AS307" s="396" t="str">
        <f t="shared" si="288"/>
        <v>-</v>
      </c>
      <c r="AT307" s="400"/>
      <c r="AU307" s="390" t="str">
        <f t="shared" si="253"/>
        <v>-</v>
      </c>
      <c r="AV307" s="391" t="str">
        <f t="shared" si="254"/>
        <v>-</v>
      </c>
      <c r="AW307" s="354" t="s">
        <v>78</v>
      </c>
      <c r="AX307" s="405"/>
      <c r="AY307" s="406"/>
    </row>
    <row r="308" spans="1:51" ht="15" customHeight="1">
      <c r="A308" s="1" t="str">
        <f t="shared" si="286"/>
        <v>0_2024_</v>
      </c>
      <c r="B308" s="1" t="str">
        <f t="shared" si="290"/>
        <v>0_2024_CEO</v>
      </c>
      <c r="C308" s="216">
        <f>D21</f>
        <v>0</v>
      </c>
      <c r="D308" s="133" t="str">
        <f>_xll.ciqfunctions.udf.CIQ(C308,"IQ_Company_Name")</f>
        <v>(Invalid Identifier)</v>
      </c>
      <c r="E308" s="328">
        <f>$F$9</f>
        <v>2024</v>
      </c>
      <c r="F308" s="330" t="str">
        <f t="shared" si="242"/>
        <v>2024-01-01</v>
      </c>
      <c r="G308" s="330" t="str">
        <f t="shared" si="277"/>
        <v>2024-12-31</v>
      </c>
      <c r="H308" s="114">
        <f t="shared" si="247"/>
        <v>12</v>
      </c>
      <c r="I308" s="328" t="str">
        <f>$G$5</f>
        <v>CAD</v>
      </c>
      <c r="J308" s="461">
        <f t="shared" si="292"/>
        <v>1</v>
      </c>
      <c r="K308" s="468"/>
      <c r="L308" s="464" t="s">
        <v>79</v>
      </c>
      <c r="M308" s="217" t="s">
        <v>78</v>
      </c>
      <c r="N308" s="218" t="s">
        <v>78</v>
      </c>
      <c r="O308" s="219" t="s">
        <v>78</v>
      </c>
      <c r="P308" s="125" t="str">
        <f t="shared" si="270"/>
        <v>-</v>
      </c>
      <c r="Q308" s="311" t="s">
        <v>78</v>
      </c>
      <c r="R308" s="126" t="str">
        <f t="shared" si="271"/>
        <v>-</v>
      </c>
      <c r="S308" s="221" t="s">
        <v>78</v>
      </c>
      <c r="T308" s="125" t="str">
        <f t="shared" si="272"/>
        <v>-</v>
      </c>
      <c r="U308" s="127" t="str">
        <f t="shared" si="243"/>
        <v>-</v>
      </c>
      <c r="V308" s="128" t="str">
        <f>IFERROR(AVERAGE(U308:U310),"N/A")</f>
        <v>N/A</v>
      </c>
      <c r="W308" s="223" t="s">
        <v>78</v>
      </c>
      <c r="X308" s="129" t="str">
        <f t="shared" si="244"/>
        <v>-</v>
      </c>
      <c r="Y308" s="124" t="str">
        <f t="shared" si="249"/>
        <v>-</v>
      </c>
      <c r="Z308" s="130" t="str">
        <f t="shared" si="250"/>
        <v>-</v>
      </c>
      <c r="AA308" s="221" t="s">
        <v>78</v>
      </c>
      <c r="AB308" s="225" t="s">
        <v>78</v>
      </c>
      <c r="AC308" s="225" t="s">
        <v>78</v>
      </c>
      <c r="AD308" s="225" t="s">
        <v>78</v>
      </c>
      <c r="AE308" s="225" t="s">
        <v>78</v>
      </c>
      <c r="AF308" s="125" t="str">
        <f t="shared" si="293"/>
        <v>-</v>
      </c>
      <c r="AG308" s="127" t="str">
        <f t="shared" si="245"/>
        <v>-</v>
      </c>
      <c r="AH308" s="128" t="str">
        <f>IFERROR(AVERAGE(AG308:AG310),"N/A")</f>
        <v>N/A</v>
      </c>
      <c r="AI308" s="223" t="s">
        <v>78</v>
      </c>
      <c r="AJ308" s="131" t="str">
        <f t="shared" si="246"/>
        <v>-</v>
      </c>
      <c r="AK308" s="368" t="str">
        <f t="shared" si="294"/>
        <v>-</v>
      </c>
      <c r="AL308" s="375" t="str">
        <f t="shared" si="251"/>
        <v>-</v>
      </c>
      <c r="AM308" s="376" t="str">
        <f t="shared" si="252"/>
        <v>-</v>
      </c>
      <c r="AN308" s="394" t="s">
        <v>78</v>
      </c>
      <c r="AO308" s="395" t="s">
        <v>78</v>
      </c>
      <c r="AP308" s="396" t="str">
        <f t="shared" si="287"/>
        <v>-</v>
      </c>
      <c r="AQ308" s="409" t="str">
        <f>IFERROR(AVERAGE(AP308:AP310),"N/A")</f>
        <v>N/A</v>
      </c>
      <c r="AR308" s="401" t="s">
        <v>78</v>
      </c>
      <c r="AS308" s="396" t="str">
        <f t="shared" si="288"/>
        <v>-</v>
      </c>
      <c r="AT308" s="409" t="str">
        <f>IFERROR(AVERAGE(AS308:AS310),"N/A")</f>
        <v>N/A</v>
      </c>
      <c r="AU308" s="388" t="str">
        <f t="shared" si="253"/>
        <v>-</v>
      </c>
      <c r="AV308" s="389" t="str">
        <f t="shared" si="254"/>
        <v>-</v>
      </c>
      <c r="AW308" s="353" t="s">
        <v>78</v>
      </c>
      <c r="AX308" s="403"/>
      <c r="AY308" s="404"/>
    </row>
    <row r="309" spans="1:51" ht="15" customHeight="1">
      <c r="A309" s="1" t="str">
        <f t="shared" si="286"/>
        <v>0_2023_</v>
      </c>
      <c r="B309" s="1" t="str">
        <f t="shared" si="290"/>
        <v>0_2023_CEO</v>
      </c>
      <c r="C309" s="114">
        <f>C308</f>
        <v>0</v>
      </c>
      <c r="D309" s="133" t="str">
        <f>_xll.ciqfunctions.udf.CIQ(C309,"IQ_Company_Name")</f>
        <v>(Invalid Identifier)</v>
      </c>
      <c r="E309" s="328">
        <f>$F$10</f>
        <v>2023</v>
      </c>
      <c r="F309" s="330" t="str">
        <f t="shared" ref="F309:F367" si="299">E309&amp;"-01-01"</f>
        <v>2023-01-01</v>
      </c>
      <c r="G309" s="330" t="str">
        <f t="shared" si="277"/>
        <v>2023-12-31</v>
      </c>
      <c r="H309" s="114">
        <f t="shared" si="247"/>
        <v>12</v>
      </c>
      <c r="I309" s="407" t="str">
        <f t="shared" ref="I309:I367" si="300">I308</f>
        <v>CAD</v>
      </c>
      <c r="J309" s="461">
        <f t="shared" si="292"/>
        <v>1</v>
      </c>
      <c r="K309" s="468"/>
      <c r="L309" s="465" t="str">
        <f t="shared" ref="L309:N310" si="301">L308</f>
        <v>CEO</v>
      </c>
      <c r="M309" s="123" t="str">
        <f t="shared" si="301"/>
        <v>-</v>
      </c>
      <c r="N309" s="132" t="str">
        <f t="shared" si="301"/>
        <v>-</v>
      </c>
      <c r="O309" s="219" t="s">
        <v>78</v>
      </c>
      <c r="P309" s="125" t="str">
        <f t="shared" si="270"/>
        <v>-</v>
      </c>
      <c r="Q309" s="311" t="s">
        <v>78</v>
      </c>
      <c r="R309" s="126" t="str">
        <f t="shared" si="271"/>
        <v>-</v>
      </c>
      <c r="S309" s="221" t="s">
        <v>78</v>
      </c>
      <c r="T309" s="125" t="str">
        <f t="shared" si="272"/>
        <v>-</v>
      </c>
      <c r="U309" s="127" t="str">
        <f t="shared" ref="U309:U372" si="302">IFERROR($T309/$P309,"-")</f>
        <v>-</v>
      </c>
      <c r="V309" s="128"/>
      <c r="W309" s="223" t="s">
        <v>78</v>
      </c>
      <c r="X309" s="129" t="str">
        <f t="shared" ref="X309:X372" si="303">IFERROR(IF(ISNUMBER($W309)=TRUE, $W309*$P309,$V309*$P309),"-")</f>
        <v>-</v>
      </c>
      <c r="Y309" s="124" t="str">
        <f t="shared" si="249"/>
        <v>-</v>
      </c>
      <c r="Z309" s="130" t="str">
        <f t="shared" si="250"/>
        <v>-</v>
      </c>
      <c r="AA309" s="221" t="s">
        <v>78</v>
      </c>
      <c r="AB309" s="225" t="s">
        <v>78</v>
      </c>
      <c r="AC309" s="225" t="s">
        <v>78</v>
      </c>
      <c r="AD309" s="225" t="s">
        <v>78</v>
      </c>
      <c r="AE309" s="225" t="s">
        <v>78</v>
      </c>
      <c r="AF309" s="125" t="str">
        <f t="shared" si="293"/>
        <v>-</v>
      </c>
      <c r="AG309" s="127" t="str">
        <f t="shared" ref="AG309:AG372" si="304">IFERROR($AK309/$P309,"-")</f>
        <v>-</v>
      </c>
      <c r="AH309" s="128"/>
      <c r="AI309" s="223" t="s">
        <v>78</v>
      </c>
      <c r="AJ309" s="131" t="str">
        <f t="shared" ref="AJ309:AJ372" si="305">IFERROR(IF(ISNUMBER($AI309)=TRUE, $AI309*$P309, $AH309*$P309), "-")</f>
        <v>-</v>
      </c>
      <c r="AK309" s="368" t="str">
        <f t="shared" si="294"/>
        <v>-</v>
      </c>
      <c r="AL309" s="375" t="str">
        <f t="shared" si="251"/>
        <v>-</v>
      </c>
      <c r="AM309" s="376" t="str">
        <f t="shared" si="252"/>
        <v>-</v>
      </c>
      <c r="AN309" s="394" t="s">
        <v>78</v>
      </c>
      <c r="AO309" s="395" t="s">
        <v>78</v>
      </c>
      <c r="AP309" s="396" t="str">
        <f t="shared" si="287"/>
        <v>-</v>
      </c>
      <c r="AQ309" s="397"/>
      <c r="AR309" s="401" t="s">
        <v>78</v>
      </c>
      <c r="AS309" s="396" t="str">
        <f t="shared" si="288"/>
        <v>-</v>
      </c>
      <c r="AT309" s="397"/>
      <c r="AU309" s="388" t="str">
        <f t="shared" si="253"/>
        <v>-</v>
      </c>
      <c r="AV309" s="389" t="str">
        <f t="shared" si="254"/>
        <v>-</v>
      </c>
      <c r="AW309" s="353" t="s">
        <v>78</v>
      </c>
      <c r="AX309" s="403"/>
      <c r="AY309" s="404"/>
    </row>
    <row r="310" spans="1:51" ht="15" customHeight="1">
      <c r="A310" s="1" t="str">
        <f t="shared" si="286"/>
        <v>0_2022_</v>
      </c>
      <c r="B310" s="1" t="str">
        <f t="shared" si="290"/>
        <v>0_2022_CEO</v>
      </c>
      <c r="C310" s="114">
        <f t="shared" si="268"/>
        <v>0</v>
      </c>
      <c r="D310" s="133" t="str">
        <f>_xll.ciqfunctions.udf.CIQ(C310,"IQ_Company_Name")</f>
        <v>(Invalid Identifier)</v>
      </c>
      <c r="E310" s="328">
        <f>$F$11</f>
        <v>2022</v>
      </c>
      <c r="F310" s="114" t="str">
        <f t="shared" si="299"/>
        <v>2022-01-01</v>
      </c>
      <c r="G310" s="330" t="str">
        <f t="shared" si="277"/>
        <v>2022-12-31</v>
      </c>
      <c r="H310" s="114">
        <f t="shared" ref="H310:H367" si="306">_xlfn.DAYS(G310,F310)/_xlfn.DAYS(E310&amp;"-12-31",E310&amp;"-01-01")*12</f>
        <v>12</v>
      </c>
      <c r="I310" s="407" t="str">
        <f t="shared" si="300"/>
        <v>CAD</v>
      </c>
      <c r="J310" s="461">
        <f t="shared" si="292"/>
        <v>1</v>
      </c>
      <c r="K310" s="468"/>
      <c r="L310" s="465" t="str">
        <f t="shared" si="301"/>
        <v>CEO</v>
      </c>
      <c r="M310" s="123" t="str">
        <f t="shared" si="301"/>
        <v>-</v>
      </c>
      <c r="N310" s="132" t="str">
        <f t="shared" si="301"/>
        <v>-</v>
      </c>
      <c r="O310" s="219" t="s">
        <v>78</v>
      </c>
      <c r="P310" s="125" t="str">
        <f t="shared" si="270"/>
        <v>-</v>
      </c>
      <c r="Q310" s="311" t="s">
        <v>78</v>
      </c>
      <c r="R310" s="126" t="str">
        <f t="shared" si="271"/>
        <v>-</v>
      </c>
      <c r="S310" s="221" t="s">
        <v>78</v>
      </c>
      <c r="T310" s="125" t="str">
        <f t="shared" si="272"/>
        <v>-</v>
      </c>
      <c r="U310" s="127" t="str">
        <f t="shared" si="302"/>
        <v>-</v>
      </c>
      <c r="V310" s="128"/>
      <c r="W310" s="223" t="s">
        <v>78</v>
      </c>
      <c r="X310" s="129" t="str">
        <f t="shared" si="303"/>
        <v>-</v>
      </c>
      <c r="Y310" s="124" t="str">
        <f t="shared" ref="Y310:Y373" si="307">IFERROR(IF(SUM(P310,T310)=0,"-",SUM(P310,T310)),"-")</f>
        <v>-</v>
      </c>
      <c r="Z310" s="130" t="str">
        <f t="shared" ref="Z310:Z373" si="308">IFERROR(IF(SUM(P310,X310)=0,"-",SUM(P310,X310)),"-")</f>
        <v>-</v>
      </c>
      <c r="AA310" s="221" t="s">
        <v>78</v>
      </c>
      <c r="AB310" s="225" t="s">
        <v>78</v>
      </c>
      <c r="AC310" s="225" t="s">
        <v>78</v>
      </c>
      <c r="AD310" s="225" t="s">
        <v>78</v>
      </c>
      <c r="AE310" s="225" t="s">
        <v>78</v>
      </c>
      <c r="AF310" s="125" t="str">
        <f t="shared" si="293"/>
        <v>-</v>
      </c>
      <c r="AG310" s="127" t="str">
        <f t="shared" si="304"/>
        <v>-</v>
      </c>
      <c r="AH310" s="128"/>
      <c r="AI310" s="223" t="s">
        <v>78</v>
      </c>
      <c r="AJ310" s="131" t="str">
        <f t="shared" si="305"/>
        <v>-</v>
      </c>
      <c r="AK310" s="368" t="str">
        <f t="shared" si="294"/>
        <v>-</v>
      </c>
      <c r="AL310" s="375" t="str">
        <f t="shared" ref="AL310:AL373" si="309">IFERROR(IF(SUM(Y310,AK310)=0,"-",SUM(Y310,AK310)),"-")</f>
        <v>-</v>
      </c>
      <c r="AM310" s="376" t="str">
        <f t="shared" ref="AM310:AM373" si="310">IFERROR(IF(SUM($Z310,$AJ310)=0,"-",SUM($Z310,$AJ310)),"-")</f>
        <v>-</v>
      </c>
      <c r="AN310" s="394" t="s">
        <v>78</v>
      </c>
      <c r="AO310" s="395" t="s">
        <v>78</v>
      </c>
      <c r="AP310" s="396" t="str">
        <f t="shared" si="287"/>
        <v>-</v>
      </c>
      <c r="AQ310" s="397"/>
      <c r="AR310" s="401" t="s">
        <v>78</v>
      </c>
      <c r="AS310" s="396" t="str">
        <f t="shared" si="288"/>
        <v>-</v>
      </c>
      <c r="AT310" s="397"/>
      <c r="AU310" s="388" t="str">
        <f t="shared" ref="AU310:AU373" si="311">IFERROR(IF(SUM(AL310,AP310,AS310)=0,"-",SUM(AL310,AP310,AS310)),"-")</f>
        <v>-</v>
      </c>
      <c r="AV310" s="389" t="str">
        <f t="shared" ref="AV310:AV373" si="312">IFERROR(IF(SUM(AM310,AP310,AS310)=0,"-",SUM(AM310,AP310,AS310)),"-")</f>
        <v>-</v>
      </c>
      <c r="AW310" s="353" t="s">
        <v>78</v>
      </c>
      <c r="AX310" s="403"/>
      <c r="AY310" s="404"/>
    </row>
    <row r="311" spans="1:51" ht="15" customHeight="1">
      <c r="A311" s="1" t="str">
        <f t="shared" si="286"/>
        <v>0_2024_</v>
      </c>
      <c r="B311" s="1" t="str">
        <f t="shared" si="290"/>
        <v>0_2024_CFO</v>
      </c>
      <c r="C311" s="114">
        <f t="shared" si="268"/>
        <v>0</v>
      </c>
      <c r="D311" s="133" t="str">
        <f>_xll.ciqfunctions.udf.CIQ(C311,"IQ_Company_Name")</f>
        <v>(Invalid Identifier)</v>
      </c>
      <c r="E311" s="114">
        <f t="shared" si="275"/>
        <v>2024</v>
      </c>
      <c r="F311" s="114" t="str">
        <f t="shared" si="299"/>
        <v>2024-01-01</v>
      </c>
      <c r="G311" s="330" t="str">
        <f t="shared" si="277"/>
        <v>2024-12-31</v>
      </c>
      <c r="H311" s="114">
        <f t="shared" si="306"/>
        <v>12</v>
      </c>
      <c r="I311" s="407" t="str">
        <f t="shared" si="300"/>
        <v>CAD</v>
      </c>
      <c r="J311" s="461">
        <f t="shared" si="292"/>
        <v>1</v>
      </c>
      <c r="K311" s="468"/>
      <c r="L311" s="464" t="s">
        <v>106</v>
      </c>
      <c r="M311" s="217" t="s">
        <v>78</v>
      </c>
      <c r="N311" s="218" t="s">
        <v>78</v>
      </c>
      <c r="O311" s="219" t="s">
        <v>78</v>
      </c>
      <c r="P311" s="125" t="str">
        <f t="shared" si="270"/>
        <v>-</v>
      </c>
      <c r="Q311" s="311" t="s">
        <v>78</v>
      </c>
      <c r="R311" s="126" t="str">
        <f t="shared" si="271"/>
        <v>-</v>
      </c>
      <c r="S311" s="221" t="s">
        <v>78</v>
      </c>
      <c r="T311" s="125" t="str">
        <f t="shared" si="272"/>
        <v>-</v>
      </c>
      <c r="U311" s="127" t="str">
        <f t="shared" si="302"/>
        <v>-</v>
      </c>
      <c r="V311" s="128" t="str">
        <f>IFERROR(AVERAGE(U311:U313),"N/A")</f>
        <v>N/A</v>
      </c>
      <c r="W311" s="223" t="s">
        <v>78</v>
      </c>
      <c r="X311" s="129" t="str">
        <f t="shared" si="303"/>
        <v>-</v>
      </c>
      <c r="Y311" s="124" t="str">
        <f t="shared" si="307"/>
        <v>-</v>
      </c>
      <c r="Z311" s="130" t="str">
        <f t="shared" si="308"/>
        <v>-</v>
      </c>
      <c r="AA311" s="221" t="s">
        <v>78</v>
      </c>
      <c r="AB311" s="225" t="s">
        <v>78</v>
      </c>
      <c r="AC311" s="225" t="s">
        <v>78</v>
      </c>
      <c r="AD311" s="225" t="s">
        <v>78</v>
      </c>
      <c r="AE311" s="225" t="s">
        <v>78</v>
      </c>
      <c r="AF311" s="125" t="str">
        <f t="shared" si="293"/>
        <v>-</v>
      </c>
      <c r="AG311" s="127" t="str">
        <f t="shared" si="304"/>
        <v>-</v>
      </c>
      <c r="AH311" s="128" t="str">
        <f>IFERROR(AVERAGE(AG311:AG313),"N/A")</f>
        <v>N/A</v>
      </c>
      <c r="AI311" s="223" t="s">
        <v>78</v>
      </c>
      <c r="AJ311" s="131" t="str">
        <f t="shared" si="305"/>
        <v>-</v>
      </c>
      <c r="AK311" s="368" t="str">
        <f t="shared" si="294"/>
        <v>-</v>
      </c>
      <c r="AL311" s="375" t="str">
        <f t="shared" si="309"/>
        <v>-</v>
      </c>
      <c r="AM311" s="376" t="str">
        <f t="shared" si="310"/>
        <v>-</v>
      </c>
      <c r="AN311" s="394" t="s">
        <v>78</v>
      </c>
      <c r="AO311" s="395" t="s">
        <v>78</v>
      </c>
      <c r="AP311" s="396" t="str">
        <f t="shared" si="287"/>
        <v>-</v>
      </c>
      <c r="AQ311" s="397" t="str">
        <f>IFERROR(AVERAGE(AP311:AP313),"N/A")</f>
        <v>N/A</v>
      </c>
      <c r="AR311" s="401" t="s">
        <v>78</v>
      </c>
      <c r="AS311" s="396" t="str">
        <f t="shared" si="288"/>
        <v>-</v>
      </c>
      <c r="AT311" s="397" t="str">
        <f>IFERROR(AVERAGE(AS311:AS313),"N/A")</f>
        <v>N/A</v>
      </c>
      <c r="AU311" s="388" t="str">
        <f t="shared" si="311"/>
        <v>-</v>
      </c>
      <c r="AV311" s="389" t="str">
        <f t="shared" si="312"/>
        <v>-</v>
      </c>
      <c r="AW311" s="353" t="s">
        <v>78</v>
      </c>
      <c r="AX311" s="403"/>
      <c r="AY311" s="404"/>
    </row>
    <row r="312" spans="1:51" ht="15" customHeight="1">
      <c r="A312" s="1" t="str">
        <f t="shared" si="286"/>
        <v>0_2023_</v>
      </c>
      <c r="B312" s="1" t="str">
        <f t="shared" si="290"/>
        <v>0_2023_CFO</v>
      </c>
      <c r="C312" s="114">
        <f t="shared" si="268"/>
        <v>0</v>
      </c>
      <c r="D312" s="133" t="str">
        <f>_xll.ciqfunctions.udf.CIQ(C312,"IQ_Company_Name")</f>
        <v>(Invalid Identifier)</v>
      </c>
      <c r="E312" s="114">
        <f t="shared" si="275"/>
        <v>2023</v>
      </c>
      <c r="F312" s="114" t="str">
        <f t="shared" si="299"/>
        <v>2023-01-01</v>
      </c>
      <c r="G312" s="330" t="str">
        <f t="shared" si="277"/>
        <v>2023-12-31</v>
      </c>
      <c r="H312" s="114">
        <f t="shared" si="306"/>
        <v>12</v>
      </c>
      <c r="I312" s="407" t="str">
        <f t="shared" si="300"/>
        <v>CAD</v>
      </c>
      <c r="J312" s="461">
        <f t="shared" si="292"/>
        <v>1</v>
      </c>
      <c r="K312" s="468"/>
      <c r="L312" s="465" t="str">
        <f t="shared" ref="L312:N313" si="313">L311</f>
        <v>CFO</v>
      </c>
      <c r="M312" s="123" t="str">
        <f t="shared" si="313"/>
        <v>-</v>
      </c>
      <c r="N312" s="132" t="str">
        <f t="shared" si="313"/>
        <v>-</v>
      </c>
      <c r="O312" s="219" t="s">
        <v>78</v>
      </c>
      <c r="P312" s="125" t="str">
        <f t="shared" si="270"/>
        <v>-</v>
      </c>
      <c r="Q312" s="311" t="s">
        <v>78</v>
      </c>
      <c r="R312" s="126" t="str">
        <f t="shared" si="271"/>
        <v>-</v>
      </c>
      <c r="S312" s="221" t="s">
        <v>78</v>
      </c>
      <c r="T312" s="125" t="str">
        <f t="shared" si="272"/>
        <v>-</v>
      </c>
      <c r="U312" s="127" t="str">
        <f t="shared" si="302"/>
        <v>-</v>
      </c>
      <c r="V312" s="128"/>
      <c r="W312" s="223" t="s">
        <v>78</v>
      </c>
      <c r="X312" s="129" t="str">
        <f t="shared" si="303"/>
        <v>-</v>
      </c>
      <c r="Y312" s="124" t="str">
        <f t="shared" si="307"/>
        <v>-</v>
      </c>
      <c r="Z312" s="130" t="str">
        <f t="shared" si="308"/>
        <v>-</v>
      </c>
      <c r="AA312" s="221" t="s">
        <v>78</v>
      </c>
      <c r="AB312" s="225" t="s">
        <v>78</v>
      </c>
      <c r="AC312" s="225" t="s">
        <v>78</v>
      </c>
      <c r="AD312" s="225" t="s">
        <v>78</v>
      </c>
      <c r="AE312" s="225" t="s">
        <v>78</v>
      </c>
      <c r="AF312" s="125" t="str">
        <f t="shared" si="293"/>
        <v>-</v>
      </c>
      <c r="AG312" s="127" t="str">
        <f t="shared" si="304"/>
        <v>-</v>
      </c>
      <c r="AH312" s="128"/>
      <c r="AI312" s="223" t="s">
        <v>78</v>
      </c>
      <c r="AJ312" s="131" t="str">
        <f t="shared" si="305"/>
        <v>-</v>
      </c>
      <c r="AK312" s="368" t="str">
        <f t="shared" si="294"/>
        <v>-</v>
      </c>
      <c r="AL312" s="375" t="str">
        <f t="shared" si="309"/>
        <v>-</v>
      </c>
      <c r="AM312" s="376" t="str">
        <f t="shared" si="310"/>
        <v>-</v>
      </c>
      <c r="AN312" s="394" t="s">
        <v>78</v>
      </c>
      <c r="AO312" s="395" t="s">
        <v>78</v>
      </c>
      <c r="AP312" s="396" t="str">
        <f t="shared" si="287"/>
        <v>-</v>
      </c>
      <c r="AQ312" s="397"/>
      <c r="AR312" s="401" t="s">
        <v>78</v>
      </c>
      <c r="AS312" s="396" t="str">
        <f t="shared" si="288"/>
        <v>-</v>
      </c>
      <c r="AT312" s="397"/>
      <c r="AU312" s="388" t="str">
        <f t="shared" si="311"/>
        <v>-</v>
      </c>
      <c r="AV312" s="389" t="str">
        <f t="shared" si="312"/>
        <v>-</v>
      </c>
      <c r="AW312" s="353" t="s">
        <v>78</v>
      </c>
      <c r="AX312" s="403"/>
      <c r="AY312" s="404"/>
    </row>
    <row r="313" spans="1:51" ht="15" customHeight="1">
      <c r="A313" s="1" t="str">
        <f t="shared" si="286"/>
        <v>0_2022_</v>
      </c>
      <c r="B313" s="1" t="str">
        <f t="shared" si="290"/>
        <v>0_2022_CFO</v>
      </c>
      <c r="C313" s="114">
        <f t="shared" si="268"/>
        <v>0</v>
      </c>
      <c r="D313" s="133" t="str">
        <f>_xll.ciqfunctions.udf.CIQ(C313,"IQ_Company_Name")</f>
        <v>(Invalid Identifier)</v>
      </c>
      <c r="E313" s="114">
        <f t="shared" si="275"/>
        <v>2022</v>
      </c>
      <c r="F313" s="114" t="str">
        <f t="shared" si="299"/>
        <v>2022-01-01</v>
      </c>
      <c r="G313" s="330" t="str">
        <f t="shared" si="277"/>
        <v>2022-12-31</v>
      </c>
      <c r="H313" s="114">
        <f t="shared" si="306"/>
        <v>12</v>
      </c>
      <c r="I313" s="407" t="str">
        <f t="shared" si="300"/>
        <v>CAD</v>
      </c>
      <c r="J313" s="461">
        <f t="shared" si="292"/>
        <v>1</v>
      </c>
      <c r="K313" s="468"/>
      <c r="L313" s="465" t="str">
        <f t="shared" si="313"/>
        <v>CFO</v>
      </c>
      <c r="M313" s="123" t="str">
        <f t="shared" si="313"/>
        <v>-</v>
      </c>
      <c r="N313" s="132" t="str">
        <f t="shared" si="313"/>
        <v>-</v>
      </c>
      <c r="O313" s="219" t="s">
        <v>78</v>
      </c>
      <c r="P313" s="125" t="str">
        <f t="shared" si="270"/>
        <v>-</v>
      </c>
      <c r="Q313" s="311" t="s">
        <v>78</v>
      </c>
      <c r="R313" s="126" t="str">
        <f t="shared" si="271"/>
        <v>-</v>
      </c>
      <c r="S313" s="221" t="s">
        <v>78</v>
      </c>
      <c r="T313" s="125" t="str">
        <f t="shared" si="272"/>
        <v>-</v>
      </c>
      <c r="U313" s="127" t="str">
        <f t="shared" si="302"/>
        <v>-</v>
      </c>
      <c r="V313" s="128"/>
      <c r="W313" s="223" t="s">
        <v>78</v>
      </c>
      <c r="X313" s="129" t="str">
        <f t="shared" si="303"/>
        <v>-</v>
      </c>
      <c r="Y313" s="124" t="str">
        <f t="shared" si="307"/>
        <v>-</v>
      </c>
      <c r="Z313" s="130" t="str">
        <f t="shared" si="308"/>
        <v>-</v>
      </c>
      <c r="AA313" s="221" t="s">
        <v>78</v>
      </c>
      <c r="AB313" s="225" t="s">
        <v>78</v>
      </c>
      <c r="AC313" s="225" t="s">
        <v>78</v>
      </c>
      <c r="AD313" s="225" t="s">
        <v>78</v>
      </c>
      <c r="AE313" s="225" t="s">
        <v>78</v>
      </c>
      <c r="AF313" s="125" t="str">
        <f t="shared" si="293"/>
        <v>-</v>
      </c>
      <c r="AG313" s="127" t="str">
        <f t="shared" si="304"/>
        <v>-</v>
      </c>
      <c r="AH313" s="128"/>
      <c r="AI313" s="223" t="s">
        <v>78</v>
      </c>
      <c r="AJ313" s="131" t="str">
        <f t="shared" si="305"/>
        <v>-</v>
      </c>
      <c r="AK313" s="368" t="str">
        <f t="shared" si="294"/>
        <v>-</v>
      </c>
      <c r="AL313" s="375" t="str">
        <f t="shared" si="309"/>
        <v>-</v>
      </c>
      <c r="AM313" s="376" t="str">
        <f t="shared" si="310"/>
        <v>-</v>
      </c>
      <c r="AN313" s="394" t="s">
        <v>78</v>
      </c>
      <c r="AO313" s="395" t="s">
        <v>78</v>
      </c>
      <c r="AP313" s="396" t="str">
        <f t="shared" si="287"/>
        <v>-</v>
      </c>
      <c r="AQ313" s="397"/>
      <c r="AR313" s="401" t="s">
        <v>78</v>
      </c>
      <c r="AS313" s="396" t="str">
        <f t="shared" si="288"/>
        <v>-</v>
      </c>
      <c r="AT313" s="397"/>
      <c r="AU313" s="388" t="str">
        <f t="shared" si="311"/>
        <v>-</v>
      </c>
      <c r="AV313" s="389" t="str">
        <f t="shared" si="312"/>
        <v>-</v>
      </c>
      <c r="AW313" s="353" t="s">
        <v>78</v>
      </c>
      <c r="AX313" s="403"/>
      <c r="AY313" s="404"/>
    </row>
    <row r="314" spans="1:51" ht="15" customHeight="1">
      <c r="A314" s="1" t="str">
        <f t="shared" si="286"/>
        <v>0_2024_</v>
      </c>
      <c r="B314" s="1" t="str">
        <f t="shared" si="290"/>
        <v>0_2024_NEO1</v>
      </c>
      <c r="C314" s="114">
        <f t="shared" si="268"/>
        <v>0</v>
      </c>
      <c r="D314" s="133" t="str">
        <f>_xll.ciqfunctions.udf.CIQ(C314,"IQ_Company_Name")</f>
        <v>(Invalid Identifier)</v>
      </c>
      <c r="E314" s="114">
        <f t="shared" si="275"/>
        <v>2024</v>
      </c>
      <c r="F314" s="330" t="str">
        <f t="shared" si="299"/>
        <v>2024-01-01</v>
      </c>
      <c r="G314" s="330" t="str">
        <f t="shared" si="277"/>
        <v>2024-12-31</v>
      </c>
      <c r="H314" s="114">
        <f t="shared" si="306"/>
        <v>12</v>
      </c>
      <c r="I314" s="407" t="str">
        <f t="shared" si="300"/>
        <v>CAD</v>
      </c>
      <c r="J314" s="461">
        <f t="shared" si="292"/>
        <v>1</v>
      </c>
      <c r="K314" s="468"/>
      <c r="L314" s="464" t="s">
        <v>107</v>
      </c>
      <c r="M314" s="217" t="s">
        <v>78</v>
      </c>
      <c r="N314" s="218" t="s">
        <v>78</v>
      </c>
      <c r="O314" s="219" t="s">
        <v>78</v>
      </c>
      <c r="P314" s="125" t="str">
        <f t="shared" si="270"/>
        <v>-</v>
      </c>
      <c r="Q314" s="311" t="s">
        <v>78</v>
      </c>
      <c r="R314" s="126" t="str">
        <f t="shared" si="271"/>
        <v>-</v>
      </c>
      <c r="S314" s="221" t="s">
        <v>78</v>
      </c>
      <c r="T314" s="125" t="str">
        <f t="shared" si="272"/>
        <v>-</v>
      </c>
      <c r="U314" s="127" t="str">
        <f t="shared" si="302"/>
        <v>-</v>
      </c>
      <c r="V314" s="128" t="str">
        <f>IFERROR(AVERAGE(U314:U316),"N/A")</f>
        <v>N/A</v>
      </c>
      <c r="W314" s="223" t="s">
        <v>78</v>
      </c>
      <c r="X314" s="129" t="str">
        <f t="shared" si="303"/>
        <v>-</v>
      </c>
      <c r="Y314" s="124" t="str">
        <f t="shared" si="307"/>
        <v>-</v>
      </c>
      <c r="Z314" s="130" t="str">
        <f t="shared" si="308"/>
        <v>-</v>
      </c>
      <c r="AA314" s="221" t="s">
        <v>78</v>
      </c>
      <c r="AB314" s="225" t="s">
        <v>78</v>
      </c>
      <c r="AC314" s="225" t="s">
        <v>78</v>
      </c>
      <c r="AD314" s="225" t="s">
        <v>78</v>
      </c>
      <c r="AE314" s="225" t="s">
        <v>78</v>
      </c>
      <c r="AF314" s="125" t="str">
        <f t="shared" si="293"/>
        <v>-</v>
      </c>
      <c r="AG314" s="127" t="str">
        <f t="shared" si="304"/>
        <v>-</v>
      </c>
      <c r="AH314" s="128" t="str">
        <f>IFERROR(AVERAGE(AG314:AG316),"N/A")</f>
        <v>N/A</v>
      </c>
      <c r="AI314" s="223" t="s">
        <v>78</v>
      </c>
      <c r="AJ314" s="131" t="str">
        <f t="shared" si="305"/>
        <v>-</v>
      </c>
      <c r="AK314" s="368" t="str">
        <f t="shared" si="294"/>
        <v>-</v>
      </c>
      <c r="AL314" s="375" t="str">
        <f t="shared" si="309"/>
        <v>-</v>
      </c>
      <c r="AM314" s="376" t="str">
        <f t="shared" si="310"/>
        <v>-</v>
      </c>
      <c r="AN314" s="394" t="s">
        <v>78</v>
      </c>
      <c r="AO314" s="395" t="s">
        <v>78</v>
      </c>
      <c r="AP314" s="396" t="str">
        <f t="shared" si="287"/>
        <v>-</v>
      </c>
      <c r="AQ314" s="397" t="str">
        <f>IFERROR(AVERAGE(AP314:AP316),"N/A")</f>
        <v>N/A</v>
      </c>
      <c r="AR314" s="401" t="s">
        <v>78</v>
      </c>
      <c r="AS314" s="396" t="str">
        <f t="shared" si="288"/>
        <v>-</v>
      </c>
      <c r="AT314" s="397" t="str">
        <f>IFERROR(AVERAGE(AS314:AS316),"N/A")</f>
        <v>N/A</v>
      </c>
      <c r="AU314" s="388" t="str">
        <f t="shared" si="311"/>
        <v>-</v>
      </c>
      <c r="AV314" s="389" t="str">
        <f t="shared" si="312"/>
        <v>-</v>
      </c>
      <c r="AW314" s="353" t="s">
        <v>78</v>
      </c>
      <c r="AX314" s="403"/>
      <c r="AY314" s="404"/>
    </row>
    <row r="315" spans="1:51" ht="15" customHeight="1">
      <c r="A315" s="1" t="str">
        <f t="shared" si="286"/>
        <v>0_2023_</v>
      </c>
      <c r="B315" s="1" t="str">
        <f t="shared" si="290"/>
        <v>0_2023_NEO1</v>
      </c>
      <c r="C315" s="114">
        <f t="shared" si="268"/>
        <v>0</v>
      </c>
      <c r="D315" s="133" t="str">
        <f>_xll.ciqfunctions.udf.CIQ(C315,"IQ_Company_Name")</f>
        <v>(Invalid Identifier)</v>
      </c>
      <c r="E315" s="114">
        <f t="shared" ref="E315:E378" si="314">E312</f>
        <v>2023</v>
      </c>
      <c r="F315" s="330" t="str">
        <f t="shared" si="299"/>
        <v>2023-01-01</v>
      </c>
      <c r="G315" s="330" t="str">
        <f t="shared" si="277"/>
        <v>2023-12-31</v>
      </c>
      <c r="H315" s="114">
        <f t="shared" si="306"/>
        <v>12</v>
      </c>
      <c r="I315" s="407" t="str">
        <f t="shared" si="300"/>
        <v>CAD</v>
      </c>
      <c r="J315" s="461">
        <f t="shared" si="292"/>
        <v>1</v>
      </c>
      <c r="K315" s="468"/>
      <c r="L315" s="465" t="str">
        <f t="shared" ref="L315:N316" si="315">L314</f>
        <v>NEO1</v>
      </c>
      <c r="M315" s="123" t="str">
        <f t="shared" si="315"/>
        <v>-</v>
      </c>
      <c r="N315" s="132" t="str">
        <f t="shared" si="315"/>
        <v>-</v>
      </c>
      <c r="O315" s="219" t="s">
        <v>78</v>
      </c>
      <c r="P315" s="125" t="str">
        <f t="shared" si="270"/>
        <v>-</v>
      </c>
      <c r="Q315" s="311" t="s">
        <v>78</v>
      </c>
      <c r="R315" s="126" t="str">
        <f t="shared" si="271"/>
        <v>-</v>
      </c>
      <c r="S315" s="221" t="s">
        <v>78</v>
      </c>
      <c r="T315" s="125" t="str">
        <f t="shared" si="272"/>
        <v>-</v>
      </c>
      <c r="U315" s="127" t="str">
        <f t="shared" si="302"/>
        <v>-</v>
      </c>
      <c r="V315" s="128"/>
      <c r="W315" s="223" t="s">
        <v>78</v>
      </c>
      <c r="X315" s="129" t="str">
        <f t="shared" si="303"/>
        <v>-</v>
      </c>
      <c r="Y315" s="124" t="str">
        <f t="shared" si="307"/>
        <v>-</v>
      </c>
      <c r="Z315" s="130" t="str">
        <f t="shared" si="308"/>
        <v>-</v>
      </c>
      <c r="AA315" s="221" t="s">
        <v>78</v>
      </c>
      <c r="AB315" s="225" t="s">
        <v>78</v>
      </c>
      <c r="AC315" s="225" t="s">
        <v>78</v>
      </c>
      <c r="AD315" s="225" t="s">
        <v>78</v>
      </c>
      <c r="AE315" s="225" t="s">
        <v>78</v>
      </c>
      <c r="AF315" s="125" t="str">
        <f t="shared" si="293"/>
        <v>-</v>
      </c>
      <c r="AG315" s="127" t="str">
        <f t="shared" si="304"/>
        <v>-</v>
      </c>
      <c r="AH315" s="128"/>
      <c r="AI315" s="223" t="s">
        <v>78</v>
      </c>
      <c r="AJ315" s="131" t="str">
        <f t="shared" si="305"/>
        <v>-</v>
      </c>
      <c r="AK315" s="368" t="str">
        <f t="shared" si="294"/>
        <v>-</v>
      </c>
      <c r="AL315" s="375" t="str">
        <f t="shared" si="309"/>
        <v>-</v>
      </c>
      <c r="AM315" s="376" t="str">
        <f t="shared" si="310"/>
        <v>-</v>
      </c>
      <c r="AN315" s="394" t="s">
        <v>78</v>
      </c>
      <c r="AO315" s="395" t="s">
        <v>78</v>
      </c>
      <c r="AP315" s="396" t="str">
        <f t="shared" si="287"/>
        <v>-</v>
      </c>
      <c r="AQ315" s="397"/>
      <c r="AR315" s="401" t="s">
        <v>78</v>
      </c>
      <c r="AS315" s="396" t="str">
        <f t="shared" si="288"/>
        <v>-</v>
      </c>
      <c r="AT315" s="397"/>
      <c r="AU315" s="388" t="str">
        <f t="shared" si="311"/>
        <v>-</v>
      </c>
      <c r="AV315" s="389" t="str">
        <f t="shared" si="312"/>
        <v>-</v>
      </c>
      <c r="AW315" s="353" t="s">
        <v>78</v>
      </c>
      <c r="AX315" s="403"/>
      <c r="AY315" s="404"/>
    </row>
    <row r="316" spans="1:51" ht="15" customHeight="1">
      <c r="A316" s="1" t="str">
        <f t="shared" si="286"/>
        <v>0_2022_</v>
      </c>
      <c r="B316" s="1" t="str">
        <f t="shared" si="290"/>
        <v>0_2022_NEO1</v>
      </c>
      <c r="C316" s="114">
        <f t="shared" si="268"/>
        <v>0</v>
      </c>
      <c r="D316" s="133" t="str">
        <f>_xll.ciqfunctions.udf.CIQ(C316,"IQ_Company_Name")</f>
        <v>(Invalid Identifier)</v>
      </c>
      <c r="E316" s="114">
        <f t="shared" si="314"/>
        <v>2022</v>
      </c>
      <c r="F316" s="114" t="str">
        <f t="shared" si="299"/>
        <v>2022-01-01</v>
      </c>
      <c r="G316" s="330" t="str">
        <f t="shared" si="277"/>
        <v>2022-12-31</v>
      </c>
      <c r="H316" s="114">
        <f t="shared" si="306"/>
        <v>12</v>
      </c>
      <c r="I316" s="407" t="str">
        <f t="shared" si="300"/>
        <v>CAD</v>
      </c>
      <c r="J316" s="461">
        <f t="shared" si="292"/>
        <v>1</v>
      </c>
      <c r="K316" s="468"/>
      <c r="L316" s="465" t="str">
        <f t="shared" si="315"/>
        <v>NEO1</v>
      </c>
      <c r="M316" s="123" t="str">
        <f t="shared" si="315"/>
        <v>-</v>
      </c>
      <c r="N316" s="132" t="str">
        <f t="shared" si="315"/>
        <v>-</v>
      </c>
      <c r="O316" s="219" t="s">
        <v>78</v>
      </c>
      <c r="P316" s="125" t="str">
        <f t="shared" si="270"/>
        <v>-</v>
      </c>
      <c r="Q316" s="311" t="s">
        <v>78</v>
      </c>
      <c r="R316" s="126" t="str">
        <f t="shared" si="271"/>
        <v>-</v>
      </c>
      <c r="S316" s="221" t="s">
        <v>78</v>
      </c>
      <c r="T316" s="125" t="str">
        <f t="shared" si="272"/>
        <v>-</v>
      </c>
      <c r="U316" s="127" t="str">
        <f t="shared" si="302"/>
        <v>-</v>
      </c>
      <c r="V316" s="128"/>
      <c r="W316" s="223" t="s">
        <v>78</v>
      </c>
      <c r="X316" s="129" t="str">
        <f t="shared" si="303"/>
        <v>-</v>
      </c>
      <c r="Y316" s="124" t="str">
        <f t="shared" si="307"/>
        <v>-</v>
      </c>
      <c r="Z316" s="130" t="str">
        <f t="shared" si="308"/>
        <v>-</v>
      </c>
      <c r="AA316" s="221" t="s">
        <v>78</v>
      </c>
      <c r="AB316" s="225" t="s">
        <v>78</v>
      </c>
      <c r="AC316" s="225" t="s">
        <v>78</v>
      </c>
      <c r="AD316" s="225" t="s">
        <v>78</v>
      </c>
      <c r="AE316" s="225" t="s">
        <v>78</v>
      </c>
      <c r="AF316" s="125" t="str">
        <f t="shared" si="293"/>
        <v>-</v>
      </c>
      <c r="AG316" s="127" t="str">
        <f t="shared" si="304"/>
        <v>-</v>
      </c>
      <c r="AH316" s="128"/>
      <c r="AI316" s="223" t="s">
        <v>78</v>
      </c>
      <c r="AJ316" s="131" t="str">
        <f t="shared" si="305"/>
        <v>-</v>
      </c>
      <c r="AK316" s="368" t="str">
        <f t="shared" si="294"/>
        <v>-</v>
      </c>
      <c r="AL316" s="375" t="str">
        <f t="shared" si="309"/>
        <v>-</v>
      </c>
      <c r="AM316" s="376" t="str">
        <f t="shared" si="310"/>
        <v>-</v>
      </c>
      <c r="AN316" s="394" t="s">
        <v>78</v>
      </c>
      <c r="AO316" s="395" t="s">
        <v>78</v>
      </c>
      <c r="AP316" s="396" t="str">
        <f t="shared" si="287"/>
        <v>-</v>
      </c>
      <c r="AQ316" s="397"/>
      <c r="AR316" s="401" t="s">
        <v>78</v>
      </c>
      <c r="AS316" s="396" t="str">
        <f t="shared" si="288"/>
        <v>-</v>
      </c>
      <c r="AT316" s="397"/>
      <c r="AU316" s="388" t="str">
        <f t="shared" si="311"/>
        <v>-</v>
      </c>
      <c r="AV316" s="389" t="str">
        <f t="shared" si="312"/>
        <v>-</v>
      </c>
      <c r="AW316" s="353" t="s">
        <v>78</v>
      </c>
      <c r="AX316" s="403"/>
      <c r="AY316" s="404"/>
    </row>
    <row r="317" spans="1:51" ht="15" customHeight="1">
      <c r="A317" s="1" t="str">
        <f t="shared" si="286"/>
        <v>0_2024_</v>
      </c>
      <c r="B317" s="1" t="str">
        <f t="shared" si="290"/>
        <v>0_2024_NEO2</v>
      </c>
      <c r="C317" s="114">
        <f t="shared" si="268"/>
        <v>0</v>
      </c>
      <c r="D317" s="133" t="str">
        <f>_xll.ciqfunctions.udf.CIQ(C317,"IQ_Company_Name")</f>
        <v>(Invalid Identifier)</v>
      </c>
      <c r="E317" s="114">
        <f t="shared" si="314"/>
        <v>2024</v>
      </c>
      <c r="F317" s="114" t="str">
        <f t="shared" si="299"/>
        <v>2024-01-01</v>
      </c>
      <c r="G317" s="330" t="str">
        <f t="shared" si="277"/>
        <v>2024-12-31</v>
      </c>
      <c r="H317" s="114">
        <f t="shared" si="306"/>
        <v>12</v>
      </c>
      <c r="I317" s="407" t="str">
        <f t="shared" si="300"/>
        <v>CAD</v>
      </c>
      <c r="J317" s="461">
        <f t="shared" si="292"/>
        <v>1</v>
      </c>
      <c r="K317" s="468"/>
      <c r="L317" s="464" t="s">
        <v>108</v>
      </c>
      <c r="M317" s="217" t="s">
        <v>78</v>
      </c>
      <c r="N317" s="218" t="s">
        <v>78</v>
      </c>
      <c r="O317" s="219" t="s">
        <v>78</v>
      </c>
      <c r="P317" s="125" t="str">
        <f t="shared" si="270"/>
        <v>-</v>
      </c>
      <c r="Q317" s="311" t="s">
        <v>78</v>
      </c>
      <c r="R317" s="126" t="str">
        <f t="shared" si="271"/>
        <v>-</v>
      </c>
      <c r="S317" s="221" t="s">
        <v>78</v>
      </c>
      <c r="T317" s="125" t="str">
        <f t="shared" si="272"/>
        <v>-</v>
      </c>
      <c r="U317" s="127" t="str">
        <f t="shared" si="302"/>
        <v>-</v>
      </c>
      <c r="V317" s="128" t="str">
        <f>IFERROR(AVERAGE(U317:U319),"N/A")</f>
        <v>N/A</v>
      </c>
      <c r="W317" s="223" t="s">
        <v>78</v>
      </c>
      <c r="X317" s="129" t="str">
        <f t="shared" si="303"/>
        <v>-</v>
      </c>
      <c r="Y317" s="124" t="str">
        <f t="shared" si="307"/>
        <v>-</v>
      </c>
      <c r="Z317" s="130" t="str">
        <f t="shared" si="308"/>
        <v>-</v>
      </c>
      <c r="AA317" s="221" t="s">
        <v>78</v>
      </c>
      <c r="AB317" s="225" t="s">
        <v>78</v>
      </c>
      <c r="AC317" s="225" t="s">
        <v>78</v>
      </c>
      <c r="AD317" s="225" t="s">
        <v>78</v>
      </c>
      <c r="AE317" s="225" t="s">
        <v>78</v>
      </c>
      <c r="AF317" s="125" t="str">
        <f t="shared" si="293"/>
        <v>-</v>
      </c>
      <c r="AG317" s="127" t="str">
        <f t="shared" si="304"/>
        <v>-</v>
      </c>
      <c r="AH317" s="128" t="str">
        <f>IFERROR(AVERAGE(AG317:AG319),"N/A")</f>
        <v>N/A</v>
      </c>
      <c r="AI317" s="223" t="s">
        <v>78</v>
      </c>
      <c r="AJ317" s="131" t="str">
        <f t="shared" si="305"/>
        <v>-</v>
      </c>
      <c r="AK317" s="368" t="str">
        <f t="shared" si="294"/>
        <v>-</v>
      </c>
      <c r="AL317" s="375" t="str">
        <f t="shared" si="309"/>
        <v>-</v>
      </c>
      <c r="AM317" s="376" t="str">
        <f t="shared" si="310"/>
        <v>-</v>
      </c>
      <c r="AN317" s="394" t="s">
        <v>78</v>
      </c>
      <c r="AO317" s="395" t="s">
        <v>78</v>
      </c>
      <c r="AP317" s="396" t="str">
        <f t="shared" si="287"/>
        <v>-</v>
      </c>
      <c r="AQ317" s="397" t="str">
        <f>IFERROR(AVERAGE(AP317:AP319),"N/A")</f>
        <v>N/A</v>
      </c>
      <c r="AR317" s="401" t="s">
        <v>78</v>
      </c>
      <c r="AS317" s="396" t="str">
        <f t="shared" si="288"/>
        <v>-</v>
      </c>
      <c r="AT317" s="397" t="str">
        <f>IFERROR(AVERAGE(AS317:AS319),"N/A")</f>
        <v>N/A</v>
      </c>
      <c r="AU317" s="388" t="str">
        <f t="shared" si="311"/>
        <v>-</v>
      </c>
      <c r="AV317" s="389" t="str">
        <f t="shared" si="312"/>
        <v>-</v>
      </c>
      <c r="AW317" s="353" t="s">
        <v>78</v>
      </c>
      <c r="AX317" s="403"/>
      <c r="AY317" s="404"/>
    </row>
    <row r="318" spans="1:51" ht="15" customHeight="1">
      <c r="A318" s="1" t="str">
        <f t="shared" si="286"/>
        <v>0_2023_</v>
      </c>
      <c r="B318" s="1" t="str">
        <f t="shared" si="290"/>
        <v>0_2023_NEO2</v>
      </c>
      <c r="C318" s="114">
        <f t="shared" si="268"/>
        <v>0</v>
      </c>
      <c r="D318" s="133" t="str">
        <f>_xll.ciqfunctions.udf.CIQ(C318,"IQ_Company_Name")</f>
        <v>(Invalid Identifier)</v>
      </c>
      <c r="E318" s="114">
        <f t="shared" si="314"/>
        <v>2023</v>
      </c>
      <c r="F318" s="114" t="str">
        <f t="shared" si="299"/>
        <v>2023-01-01</v>
      </c>
      <c r="G318" s="330" t="str">
        <f t="shared" si="277"/>
        <v>2023-12-31</v>
      </c>
      <c r="H318" s="114">
        <f t="shared" si="306"/>
        <v>12</v>
      </c>
      <c r="I318" s="407" t="str">
        <f t="shared" si="300"/>
        <v>CAD</v>
      </c>
      <c r="J318" s="461">
        <f t="shared" si="292"/>
        <v>1</v>
      </c>
      <c r="K318" s="468"/>
      <c r="L318" s="465" t="str">
        <f t="shared" ref="L318:N319" si="316">L317</f>
        <v>NEO2</v>
      </c>
      <c r="M318" s="123" t="str">
        <f t="shared" si="316"/>
        <v>-</v>
      </c>
      <c r="N318" s="132" t="str">
        <f t="shared" si="316"/>
        <v>-</v>
      </c>
      <c r="O318" s="219" t="s">
        <v>78</v>
      </c>
      <c r="P318" s="125" t="str">
        <f t="shared" si="270"/>
        <v>-</v>
      </c>
      <c r="Q318" s="311" t="s">
        <v>78</v>
      </c>
      <c r="R318" s="126" t="str">
        <f t="shared" si="271"/>
        <v>-</v>
      </c>
      <c r="S318" s="221" t="s">
        <v>78</v>
      </c>
      <c r="T318" s="125" t="str">
        <f t="shared" si="272"/>
        <v>-</v>
      </c>
      <c r="U318" s="127" t="str">
        <f t="shared" si="302"/>
        <v>-</v>
      </c>
      <c r="V318" s="128"/>
      <c r="W318" s="223" t="s">
        <v>78</v>
      </c>
      <c r="X318" s="129" t="str">
        <f t="shared" si="303"/>
        <v>-</v>
      </c>
      <c r="Y318" s="124" t="str">
        <f t="shared" si="307"/>
        <v>-</v>
      </c>
      <c r="Z318" s="130" t="str">
        <f t="shared" si="308"/>
        <v>-</v>
      </c>
      <c r="AA318" s="221" t="s">
        <v>78</v>
      </c>
      <c r="AB318" s="225" t="s">
        <v>78</v>
      </c>
      <c r="AC318" s="225" t="s">
        <v>78</v>
      </c>
      <c r="AD318" s="225" t="s">
        <v>78</v>
      </c>
      <c r="AE318" s="225" t="s">
        <v>78</v>
      </c>
      <c r="AF318" s="125" t="str">
        <f t="shared" si="293"/>
        <v>-</v>
      </c>
      <c r="AG318" s="127" t="str">
        <f t="shared" si="304"/>
        <v>-</v>
      </c>
      <c r="AH318" s="128"/>
      <c r="AI318" s="223" t="s">
        <v>78</v>
      </c>
      <c r="AJ318" s="131" t="str">
        <f t="shared" si="305"/>
        <v>-</v>
      </c>
      <c r="AK318" s="368" t="str">
        <f t="shared" si="294"/>
        <v>-</v>
      </c>
      <c r="AL318" s="375" t="str">
        <f t="shared" si="309"/>
        <v>-</v>
      </c>
      <c r="AM318" s="376" t="str">
        <f t="shared" si="310"/>
        <v>-</v>
      </c>
      <c r="AN318" s="394" t="s">
        <v>78</v>
      </c>
      <c r="AO318" s="395" t="s">
        <v>78</v>
      </c>
      <c r="AP318" s="396" t="str">
        <f t="shared" si="287"/>
        <v>-</v>
      </c>
      <c r="AQ318" s="397"/>
      <c r="AR318" s="401" t="s">
        <v>78</v>
      </c>
      <c r="AS318" s="396" t="str">
        <f t="shared" si="288"/>
        <v>-</v>
      </c>
      <c r="AT318" s="397"/>
      <c r="AU318" s="388" t="str">
        <f t="shared" si="311"/>
        <v>-</v>
      </c>
      <c r="AV318" s="389" t="str">
        <f t="shared" si="312"/>
        <v>-</v>
      </c>
      <c r="AW318" s="353" t="s">
        <v>78</v>
      </c>
      <c r="AX318" s="403"/>
      <c r="AY318" s="404"/>
    </row>
    <row r="319" spans="1:51" ht="15" customHeight="1">
      <c r="A319" s="1" t="str">
        <f t="shared" si="286"/>
        <v>0_2022_</v>
      </c>
      <c r="B319" s="1" t="str">
        <f t="shared" si="290"/>
        <v>0_2022_NEO2</v>
      </c>
      <c r="C319" s="114">
        <f t="shared" si="268"/>
        <v>0</v>
      </c>
      <c r="D319" s="133" t="str">
        <f>_xll.ciqfunctions.udf.CIQ(C319,"IQ_Company_Name")</f>
        <v>(Invalid Identifier)</v>
      </c>
      <c r="E319" s="114">
        <f t="shared" si="314"/>
        <v>2022</v>
      </c>
      <c r="F319" s="114" t="str">
        <f t="shared" si="299"/>
        <v>2022-01-01</v>
      </c>
      <c r="G319" s="330" t="str">
        <f t="shared" si="277"/>
        <v>2022-12-31</v>
      </c>
      <c r="H319" s="114">
        <f t="shared" si="306"/>
        <v>12</v>
      </c>
      <c r="I319" s="407" t="str">
        <f t="shared" si="300"/>
        <v>CAD</v>
      </c>
      <c r="J319" s="461">
        <f t="shared" si="292"/>
        <v>1</v>
      </c>
      <c r="K319" s="468"/>
      <c r="L319" s="465" t="str">
        <f t="shared" si="316"/>
        <v>NEO2</v>
      </c>
      <c r="M319" s="123" t="str">
        <f t="shared" si="316"/>
        <v>-</v>
      </c>
      <c r="N319" s="132" t="str">
        <f t="shared" si="316"/>
        <v>-</v>
      </c>
      <c r="O319" s="219" t="s">
        <v>78</v>
      </c>
      <c r="P319" s="125" t="str">
        <f t="shared" si="270"/>
        <v>-</v>
      </c>
      <c r="Q319" s="311" t="s">
        <v>78</v>
      </c>
      <c r="R319" s="126" t="str">
        <f t="shared" si="271"/>
        <v>-</v>
      </c>
      <c r="S319" s="221" t="s">
        <v>78</v>
      </c>
      <c r="T319" s="125" t="str">
        <f t="shared" si="272"/>
        <v>-</v>
      </c>
      <c r="U319" s="127" t="str">
        <f t="shared" si="302"/>
        <v>-</v>
      </c>
      <c r="V319" s="128"/>
      <c r="W319" s="223" t="s">
        <v>78</v>
      </c>
      <c r="X319" s="129" t="str">
        <f t="shared" si="303"/>
        <v>-</v>
      </c>
      <c r="Y319" s="124" t="str">
        <f t="shared" si="307"/>
        <v>-</v>
      </c>
      <c r="Z319" s="130" t="str">
        <f t="shared" si="308"/>
        <v>-</v>
      </c>
      <c r="AA319" s="221" t="s">
        <v>78</v>
      </c>
      <c r="AB319" s="225" t="s">
        <v>78</v>
      </c>
      <c r="AC319" s="225" t="s">
        <v>78</v>
      </c>
      <c r="AD319" s="225" t="s">
        <v>78</v>
      </c>
      <c r="AE319" s="225" t="s">
        <v>78</v>
      </c>
      <c r="AF319" s="125" t="str">
        <f t="shared" si="293"/>
        <v>-</v>
      </c>
      <c r="AG319" s="127" t="str">
        <f t="shared" si="304"/>
        <v>-</v>
      </c>
      <c r="AH319" s="128"/>
      <c r="AI319" s="223" t="s">
        <v>78</v>
      </c>
      <c r="AJ319" s="131" t="str">
        <f t="shared" si="305"/>
        <v>-</v>
      </c>
      <c r="AK319" s="368" t="str">
        <f t="shared" si="294"/>
        <v>-</v>
      </c>
      <c r="AL319" s="375" t="str">
        <f t="shared" si="309"/>
        <v>-</v>
      </c>
      <c r="AM319" s="376" t="str">
        <f t="shared" si="310"/>
        <v>-</v>
      </c>
      <c r="AN319" s="394" t="s">
        <v>78</v>
      </c>
      <c r="AO319" s="395" t="s">
        <v>78</v>
      </c>
      <c r="AP319" s="396" t="str">
        <f t="shared" si="287"/>
        <v>-</v>
      </c>
      <c r="AQ319" s="397"/>
      <c r="AR319" s="401" t="s">
        <v>78</v>
      </c>
      <c r="AS319" s="396" t="str">
        <f t="shared" si="288"/>
        <v>-</v>
      </c>
      <c r="AT319" s="397"/>
      <c r="AU319" s="388" t="str">
        <f t="shared" si="311"/>
        <v>-</v>
      </c>
      <c r="AV319" s="389" t="str">
        <f t="shared" si="312"/>
        <v>-</v>
      </c>
      <c r="AW319" s="353" t="s">
        <v>78</v>
      </c>
      <c r="AX319" s="403"/>
      <c r="AY319" s="404"/>
    </row>
    <row r="320" spans="1:51" ht="15" customHeight="1">
      <c r="A320" s="1" t="str">
        <f t="shared" si="286"/>
        <v>0_2024_</v>
      </c>
      <c r="B320" s="1" t="str">
        <f t="shared" si="290"/>
        <v>0_2024_NEO3</v>
      </c>
      <c r="C320" s="114">
        <f t="shared" si="268"/>
        <v>0</v>
      </c>
      <c r="D320" s="133" t="str">
        <f>_xll.ciqfunctions.udf.CIQ(C320,"IQ_Company_Name")</f>
        <v>(Invalid Identifier)</v>
      </c>
      <c r="E320" s="114">
        <f t="shared" si="314"/>
        <v>2024</v>
      </c>
      <c r="F320" s="114" t="str">
        <f t="shared" si="299"/>
        <v>2024-01-01</v>
      </c>
      <c r="G320" s="330" t="str">
        <f t="shared" si="277"/>
        <v>2024-12-31</v>
      </c>
      <c r="H320" s="114">
        <f t="shared" si="306"/>
        <v>12</v>
      </c>
      <c r="I320" s="407" t="str">
        <f t="shared" si="300"/>
        <v>CAD</v>
      </c>
      <c r="J320" s="461">
        <f t="shared" si="292"/>
        <v>1</v>
      </c>
      <c r="K320" s="468"/>
      <c r="L320" s="464" t="s">
        <v>109</v>
      </c>
      <c r="M320" s="217" t="s">
        <v>78</v>
      </c>
      <c r="N320" s="218" t="s">
        <v>78</v>
      </c>
      <c r="O320" s="219" t="s">
        <v>78</v>
      </c>
      <c r="P320" s="125" t="str">
        <f t="shared" si="270"/>
        <v>-</v>
      </c>
      <c r="Q320" s="311" t="s">
        <v>78</v>
      </c>
      <c r="R320" s="126" t="str">
        <f t="shared" si="271"/>
        <v>-</v>
      </c>
      <c r="S320" s="221" t="s">
        <v>78</v>
      </c>
      <c r="T320" s="125" t="str">
        <f t="shared" si="272"/>
        <v>-</v>
      </c>
      <c r="U320" s="127" t="str">
        <f t="shared" si="302"/>
        <v>-</v>
      </c>
      <c r="V320" s="128" t="str">
        <f>IFERROR(AVERAGE(U320:U322),"N/A")</f>
        <v>N/A</v>
      </c>
      <c r="W320" s="223" t="s">
        <v>78</v>
      </c>
      <c r="X320" s="129" t="str">
        <f t="shared" si="303"/>
        <v>-</v>
      </c>
      <c r="Y320" s="124" t="str">
        <f t="shared" si="307"/>
        <v>-</v>
      </c>
      <c r="Z320" s="130" t="str">
        <f t="shared" si="308"/>
        <v>-</v>
      </c>
      <c r="AA320" s="221" t="s">
        <v>78</v>
      </c>
      <c r="AB320" s="225" t="s">
        <v>78</v>
      </c>
      <c r="AC320" s="225" t="s">
        <v>78</v>
      </c>
      <c r="AD320" s="225" t="s">
        <v>78</v>
      </c>
      <c r="AE320" s="225" t="s">
        <v>78</v>
      </c>
      <c r="AF320" s="125" t="str">
        <f t="shared" si="293"/>
        <v>-</v>
      </c>
      <c r="AG320" s="127" t="str">
        <f t="shared" si="304"/>
        <v>-</v>
      </c>
      <c r="AH320" s="128" t="str">
        <f>IFERROR(AVERAGE(AG320:AG322),"N/A")</f>
        <v>N/A</v>
      </c>
      <c r="AI320" s="223" t="s">
        <v>78</v>
      </c>
      <c r="AJ320" s="131" t="str">
        <f t="shared" si="305"/>
        <v>-</v>
      </c>
      <c r="AK320" s="368" t="str">
        <f t="shared" si="294"/>
        <v>-</v>
      </c>
      <c r="AL320" s="375" t="str">
        <f t="shared" si="309"/>
        <v>-</v>
      </c>
      <c r="AM320" s="376" t="str">
        <f t="shared" si="310"/>
        <v>-</v>
      </c>
      <c r="AN320" s="394" t="s">
        <v>78</v>
      </c>
      <c r="AO320" s="395" t="s">
        <v>78</v>
      </c>
      <c r="AP320" s="396" t="str">
        <f t="shared" si="287"/>
        <v>-</v>
      </c>
      <c r="AQ320" s="397" t="str">
        <f>IFERROR(AVERAGE(AP320:AP322),"N/A")</f>
        <v>N/A</v>
      </c>
      <c r="AR320" s="401" t="s">
        <v>78</v>
      </c>
      <c r="AS320" s="396" t="str">
        <f t="shared" si="288"/>
        <v>-</v>
      </c>
      <c r="AT320" s="397" t="str">
        <f>IFERROR(AVERAGE(AS320:AS322),"N/A")</f>
        <v>N/A</v>
      </c>
      <c r="AU320" s="388" t="str">
        <f t="shared" si="311"/>
        <v>-</v>
      </c>
      <c r="AV320" s="389" t="str">
        <f t="shared" si="312"/>
        <v>-</v>
      </c>
      <c r="AW320" s="353" t="s">
        <v>78</v>
      </c>
      <c r="AX320" s="403"/>
      <c r="AY320" s="404"/>
    </row>
    <row r="321" spans="1:51" ht="15" customHeight="1">
      <c r="A321" s="1" t="str">
        <f t="shared" si="286"/>
        <v>0_2023_</v>
      </c>
      <c r="B321" s="1" t="str">
        <f t="shared" si="290"/>
        <v>0_2023_NEO3</v>
      </c>
      <c r="C321" s="114">
        <f t="shared" si="268"/>
        <v>0</v>
      </c>
      <c r="D321" s="133" t="str">
        <f>_xll.ciqfunctions.udf.CIQ(C321,"IQ_Company_Name")</f>
        <v>(Invalid Identifier)</v>
      </c>
      <c r="E321" s="114">
        <f t="shared" si="314"/>
        <v>2023</v>
      </c>
      <c r="F321" s="114" t="str">
        <f t="shared" si="299"/>
        <v>2023-01-01</v>
      </c>
      <c r="G321" s="330" t="str">
        <f t="shared" si="277"/>
        <v>2023-12-31</v>
      </c>
      <c r="H321" s="114">
        <f t="shared" si="306"/>
        <v>12</v>
      </c>
      <c r="I321" s="407" t="str">
        <f t="shared" si="300"/>
        <v>CAD</v>
      </c>
      <c r="J321" s="461">
        <f t="shared" si="292"/>
        <v>1</v>
      </c>
      <c r="K321" s="468"/>
      <c r="L321" s="465" t="str">
        <f t="shared" ref="L321:N322" si="317">L320</f>
        <v>NEO3</v>
      </c>
      <c r="M321" s="123" t="str">
        <f t="shared" si="317"/>
        <v>-</v>
      </c>
      <c r="N321" s="132" t="str">
        <f t="shared" si="317"/>
        <v>-</v>
      </c>
      <c r="O321" s="219" t="s">
        <v>78</v>
      </c>
      <c r="P321" s="125" t="str">
        <f t="shared" si="270"/>
        <v>-</v>
      </c>
      <c r="Q321" s="311" t="s">
        <v>78</v>
      </c>
      <c r="R321" s="126" t="str">
        <f t="shared" si="271"/>
        <v>-</v>
      </c>
      <c r="S321" s="221" t="s">
        <v>78</v>
      </c>
      <c r="T321" s="125" t="str">
        <f t="shared" si="272"/>
        <v>-</v>
      </c>
      <c r="U321" s="127" t="str">
        <f t="shared" si="302"/>
        <v>-</v>
      </c>
      <c r="V321" s="128"/>
      <c r="W321" s="223" t="s">
        <v>78</v>
      </c>
      <c r="X321" s="129" t="str">
        <f t="shared" si="303"/>
        <v>-</v>
      </c>
      <c r="Y321" s="124" t="str">
        <f t="shared" si="307"/>
        <v>-</v>
      </c>
      <c r="Z321" s="130" t="str">
        <f t="shared" si="308"/>
        <v>-</v>
      </c>
      <c r="AA321" s="221" t="s">
        <v>78</v>
      </c>
      <c r="AB321" s="225" t="s">
        <v>78</v>
      </c>
      <c r="AC321" s="225" t="s">
        <v>78</v>
      </c>
      <c r="AD321" s="225" t="s">
        <v>78</v>
      </c>
      <c r="AE321" s="225" t="s">
        <v>78</v>
      </c>
      <c r="AF321" s="125" t="str">
        <f t="shared" si="293"/>
        <v>-</v>
      </c>
      <c r="AG321" s="127" t="str">
        <f t="shared" si="304"/>
        <v>-</v>
      </c>
      <c r="AH321" s="128"/>
      <c r="AI321" s="223" t="s">
        <v>78</v>
      </c>
      <c r="AJ321" s="131" t="str">
        <f t="shared" si="305"/>
        <v>-</v>
      </c>
      <c r="AK321" s="368" t="str">
        <f t="shared" si="294"/>
        <v>-</v>
      </c>
      <c r="AL321" s="375" t="str">
        <f t="shared" si="309"/>
        <v>-</v>
      </c>
      <c r="AM321" s="376" t="str">
        <f t="shared" si="310"/>
        <v>-</v>
      </c>
      <c r="AN321" s="394" t="s">
        <v>78</v>
      </c>
      <c r="AO321" s="395" t="s">
        <v>78</v>
      </c>
      <c r="AP321" s="396" t="str">
        <f t="shared" si="287"/>
        <v>-</v>
      </c>
      <c r="AQ321" s="397"/>
      <c r="AR321" s="401" t="s">
        <v>78</v>
      </c>
      <c r="AS321" s="396" t="str">
        <f t="shared" si="288"/>
        <v>-</v>
      </c>
      <c r="AT321" s="397"/>
      <c r="AU321" s="388" t="str">
        <f t="shared" si="311"/>
        <v>-</v>
      </c>
      <c r="AV321" s="389" t="str">
        <f t="shared" si="312"/>
        <v>-</v>
      </c>
      <c r="AW321" s="353" t="s">
        <v>78</v>
      </c>
      <c r="AX321" s="403"/>
      <c r="AY321" s="404"/>
    </row>
    <row r="322" spans="1:51" ht="15" customHeight="1">
      <c r="A322" s="1" t="str">
        <f t="shared" si="286"/>
        <v>0_2022_</v>
      </c>
      <c r="B322" s="1" t="str">
        <f t="shared" si="290"/>
        <v>0_2022_NEO3</v>
      </c>
      <c r="C322" s="203">
        <f t="shared" si="268"/>
        <v>0</v>
      </c>
      <c r="D322" s="205" t="str">
        <f>_xll.ciqfunctions.udf.CIQ(C322,"IQ_Company_Name")</f>
        <v>(Invalid Identifier)</v>
      </c>
      <c r="E322" s="204">
        <f t="shared" si="314"/>
        <v>2022</v>
      </c>
      <c r="F322" s="204" t="str">
        <f t="shared" si="299"/>
        <v>2022-01-01</v>
      </c>
      <c r="G322" s="331" t="str">
        <f t="shared" si="277"/>
        <v>2022-12-31</v>
      </c>
      <c r="H322" s="204">
        <f t="shared" si="306"/>
        <v>12</v>
      </c>
      <c r="I322" s="408" t="str">
        <f t="shared" si="300"/>
        <v>CAD</v>
      </c>
      <c r="J322" s="463">
        <f t="shared" si="292"/>
        <v>1</v>
      </c>
      <c r="K322" s="470"/>
      <c r="L322" s="466" t="str">
        <f t="shared" si="317"/>
        <v>NEO3</v>
      </c>
      <c r="M322" s="206" t="str">
        <f t="shared" si="317"/>
        <v>-</v>
      </c>
      <c r="N322" s="207" t="str">
        <f t="shared" si="317"/>
        <v>-</v>
      </c>
      <c r="O322" s="220" t="s">
        <v>78</v>
      </c>
      <c r="P322" s="209" t="str">
        <f t="shared" si="270"/>
        <v>-</v>
      </c>
      <c r="Q322" s="312" t="s">
        <v>78</v>
      </c>
      <c r="R322" s="329" t="str">
        <f t="shared" si="271"/>
        <v>-</v>
      </c>
      <c r="S322" s="222" t="s">
        <v>78</v>
      </c>
      <c r="T322" s="209" t="str">
        <f t="shared" si="272"/>
        <v>-</v>
      </c>
      <c r="U322" s="211" t="str">
        <f t="shared" si="302"/>
        <v>-</v>
      </c>
      <c r="V322" s="212"/>
      <c r="W322" s="224" t="s">
        <v>78</v>
      </c>
      <c r="X322" s="213" t="str">
        <f t="shared" si="303"/>
        <v>-</v>
      </c>
      <c r="Y322" s="208" t="str">
        <f t="shared" si="307"/>
        <v>-</v>
      </c>
      <c r="Z322" s="214" t="str">
        <f t="shared" si="308"/>
        <v>-</v>
      </c>
      <c r="AA322" s="222" t="s">
        <v>78</v>
      </c>
      <c r="AB322" s="226" t="s">
        <v>78</v>
      </c>
      <c r="AC322" s="226" t="s">
        <v>78</v>
      </c>
      <c r="AD322" s="226" t="s">
        <v>78</v>
      </c>
      <c r="AE322" s="226" t="s">
        <v>78</v>
      </c>
      <c r="AF322" s="420" t="str">
        <f t="shared" si="293"/>
        <v>-</v>
      </c>
      <c r="AG322" s="211" t="str">
        <f t="shared" si="304"/>
        <v>-</v>
      </c>
      <c r="AH322" s="212"/>
      <c r="AI322" s="224" t="s">
        <v>78</v>
      </c>
      <c r="AJ322" s="215" t="str">
        <f t="shared" si="305"/>
        <v>-</v>
      </c>
      <c r="AK322" s="369" t="str">
        <f t="shared" si="294"/>
        <v>-</v>
      </c>
      <c r="AL322" s="377" t="str">
        <f t="shared" si="309"/>
        <v>-</v>
      </c>
      <c r="AM322" s="378" t="str">
        <f t="shared" si="310"/>
        <v>-</v>
      </c>
      <c r="AN322" s="398" t="s">
        <v>78</v>
      </c>
      <c r="AO322" s="399" t="s">
        <v>78</v>
      </c>
      <c r="AP322" s="396" t="str">
        <f t="shared" si="287"/>
        <v>-</v>
      </c>
      <c r="AQ322" s="400"/>
      <c r="AR322" s="402" t="s">
        <v>78</v>
      </c>
      <c r="AS322" s="396" t="str">
        <f t="shared" si="288"/>
        <v>-</v>
      </c>
      <c r="AT322" s="400"/>
      <c r="AU322" s="390" t="str">
        <f t="shared" si="311"/>
        <v>-</v>
      </c>
      <c r="AV322" s="391" t="str">
        <f t="shared" si="312"/>
        <v>-</v>
      </c>
      <c r="AW322" s="354" t="s">
        <v>78</v>
      </c>
      <c r="AX322" s="405"/>
      <c r="AY322" s="406"/>
    </row>
    <row r="323" spans="1:51" ht="15" customHeight="1">
      <c r="A323" s="1" t="str">
        <f t="shared" si="286"/>
        <v>0_2024_</v>
      </c>
      <c r="B323" s="1" t="str">
        <f t="shared" si="290"/>
        <v>0_2024_CEO</v>
      </c>
      <c r="C323" s="216">
        <f>D22</f>
        <v>0</v>
      </c>
      <c r="D323" s="133" t="str">
        <f>_xll.ciqfunctions.udf.CIQ(C323,"IQ_Company_Name")</f>
        <v>(Invalid Identifier)</v>
      </c>
      <c r="E323" s="328">
        <f>$F$9</f>
        <v>2024</v>
      </c>
      <c r="F323" s="330" t="str">
        <f t="shared" si="299"/>
        <v>2024-01-01</v>
      </c>
      <c r="G323" s="330" t="str">
        <f t="shared" si="277"/>
        <v>2024-12-31</v>
      </c>
      <c r="H323" s="114">
        <f t="shared" si="306"/>
        <v>12</v>
      </c>
      <c r="I323" s="328" t="str">
        <f>$G$5</f>
        <v>CAD</v>
      </c>
      <c r="J323" s="461">
        <f t="shared" si="292"/>
        <v>1</v>
      </c>
      <c r="K323" s="468"/>
      <c r="L323" s="464" t="s">
        <v>79</v>
      </c>
      <c r="M323" s="217" t="s">
        <v>78</v>
      </c>
      <c r="N323" s="218" t="s">
        <v>78</v>
      </c>
      <c r="O323" s="219" t="s">
        <v>78</v>
      </c>
      <c r="P323" s="125" t="str">
        <f t="shared" si="270"/>
        <v>-</v>
      </c>
      <c r="Q323" s="311" t="s">
        <v>78</v>
      </c>
      <c r="R323" s="126" t="str">
        <f t="shared" si="271"/>
        <v>-</v>
      </c>
      <c r="S323" s="221" t="s">
        <v>78</v>
      </c>
      <c r="T323" s="125" t="str">
        <f t="shared" si="272"/>
        <v>-</v>
      </c>
      <c r="U323" s="127" t="str">
        <f t="shared" si="302"/>
        <v>-</v>
      </c>
      <c r="V323" s="128" t="str">
        <f>IFERROR(AVERAGE(U323:U325),"N/A")</f>
        <v>N/A</v>
      </c>
      <c r="W323" s="223" t="s">
        <v>78</v>
      </c>
      <c r="X323" s="129" t="str">
        <f t="shared" si="303"/>
        <v>-</v>
      </c>
      <c r="Y323" s="124" t="str">
        <f t="shared" si="307"/>
        <v>-</v>
      </c>
      <c r="Z323" s="130" t="str">
        <f t="shared" si="308"/>
        <v>-</v>
      </c>
      <c r="AA323" s="221" t="s">
        <v>78</v>
      </c>
      <c r="AB323" s="225" t="s">
        <v>78</v>
      </c>
      <c r="AC323" s="225" t="s">
        <v>78</v>
      </c>
      <c r="AD323" s="225" t="s">
        <v>78</v>
      </c>
      <c r="AE323" s="225" t="s">
        <v>78</v>
      </c>
      <c r="AF323" s="125" t="str">
        <f t="shared" si="293"/>
        <v>-</v>
      </c>
      <c r="AG323" s="127" t="str">
        <f t="shared" si="304"/>
        <v>-</v>
      </c>
      <c r="AH323" s="128" t="str">
        <f>IFERROR(AVERAGE(AG323:AG325),"N/A")</f>
        <v>N/A</v>
      </c>
      <c r="AI323" s="223" t="s">
        <v>78</v>
      </c>
      <c r="AJ323" s="131" t="str">
        <f t="shared" si="305"/>
        <v>-</v>
      </c>
      <c r="AK323" s="368" t="str">
        <f t="shared" si="294"/>
        <v>-</v>
      </c>
      <c r="AL323" s="375" t="str">
        <f t="shared" si="309"/>
        <v>-</v>
      </c>
      <c r="AM323" s="376" t="str">
        <f t="shared" si="310"/>
        <v>-</v>
      </c>
      <c r="AN323" s="394" t="s">
        <v>78</v>
      </c>
      <c r="AO323" s="395" t="s">
        <v>78</v>
      </c>
      <c r="AP323" s="396" t="str">
        <f t="shared" si="287"/>
        <v>-</v>
      </c>
      <c r="AQ323" s="409" t="str">
        <f>IFERROR(AVERAGE(AP323:AP325),"N/A")</f>
        <v>N/A</v>
      </c>
      <c r="AR323" s="401" t="s">
        <v>78</v>
      </c>
      <c r="AS323" s="396" t="str">
        <f t="shared" si="288"/>
        <v>-</v>
      </c>
      <c r="AT323" s="409" t="str">
        <f>IFERROR(AVERAGE(AS323:AS325),"N/A")</f>
        <v>N/A</v>
      </c>
      <c r="AU323" s="388" t="str">
        <f t="shared" si="311"/>
        <v>-</v>
      </c>
      <c r="AV323" s="389" t="str">
        <f t="shared" si="312"/>
        <v>-</v>
      </c>
      <c r="AW323" s="353" t="s">
        <v>78</v>
      </c>
      <c r="AX323" s="403"/>
      <c r="AY323" s="404"/>
    </row>
    <row r="324" spans="1:51" ht="15" customHeight="1">
      <c r="A324" s="1" t="str">
        <f t="shared" si="286"/>
        <v>0_2023_</v>
      </c>
      <c r="B324" s="1" t="str">
        <f t="shared" si="290"/>
        <v>0_2023_CEO</v>
      </c>
      <c r="C324" s="114">
        <f t="shared" ref="C324:C387" si="318">C323</f>
        <v>0</v>
      </c>
      <c r="D324" s="133" t="str">
        <f>_xll.ciqfunctions.udf.CIQ(C324,"IQ_Company_Name")</f>
        <v>(Invalid Identifier)</v>
      </c>
      <c r="E324" s="328">
        <f>$F$10</f>
        <v>2023</v>
      </c>
      <c r="F324" s="330" t="str">
        <f t="shared" si="299"/>
        <v>2023-01-01</v>
      </c>
      <c r="G324" s="330" t="str">
        <f t="shared" si="277"/>
        <v>2023-12-31</v>
      </c>
      <c r="H324" s="114">
        <f t="shared" si="306"/>
        <v>12</v>
      </c>
      <c r="I324" s="407" t="str">
        <f>I323</f>
        <v>CAD</v>
      </c>
      <c r="J324" s="461">
        <f t="shared" si="292"/>
        <v>1</v>
      </c>
      <c r="K324" s="468"/>
      <c r="L324" s="465" t="str">
        <f t="shared" ref="L324:N325" si="319">L323</f>
        <v>CEO</v>
      </c>
      <c r="M324" s="123" t="str">
        <f t="shared" si="319"/>
        <v>-</v>
      </c>
      <c r="N324" s="132" t="str">
        <f t="shared" si="319"/>
        <v>-</v>
      </c>
      <c r="O324" s="219" t="s">
        <v>78</v>
      </c>
      <c r="P324" s="125" t="str">
        <f t="shared" ref="P324:P367" si="320">IFERROR(O324*(12/$H324)*$J324,"-")</f>
        <v>-</v>
      </c>
      <c r="Q324" s="311" t="s">
        <v>78</v>
      </c>
      <c r="R324" s="126" t="str">
        <f t="shared" si="271"/>
        <v>-</v>
      </c>
      <c r="S324" s="221" t="s">
        <v>78</v>
      </c>
      <c r="T324" s="125" t="str">
        <f t="shared" si="272"/>
        <v>-</v>
      </c>
      <c r="U324" s="127" t="str">
        <f t="shared" si="302"/>
        <v>-</v>
      </c>
      <c r="V324" s="128"/>
      <c r="W324" s="223" t="s">
        <v>78</v>
      </c>
      <c r="X324" s="129" t="str">
        <f t="shared" si="303"/>
        <v>-</v>
      </c>
      <c r="Y324" s="124" t="str">
        <f t="shared" si="307"/>
        <v>-</v>
      </c>
      <c r="Z324" s="130" t="str">
        <f t="shared" si="308"/>
        <v>-</v>
      </c>
      <c r="AA324" s="221" t="s">
        <v>78</v>
      </c>
      <c r="AB324" s="225" t="s">
        <v>78</v>
      </c>
      <c r="AC324" s="225" t="s">
        <v>78</v>
      </c>
      <c r="AD324" s="225" t="s">
        <v>78</v>
      </c>
      <c r="AE324" s="225" t="s">
        <v>78</v>
      </c>
      <c r="AF324" s="125" t="str">
        <f t="shared" si="293"/>
        <v>-</v>
      </c>
      <c r="AG324" s="127" t="str">
        <f t="shared" si="304"/>
        <v>-</v>
      </c>
      <c r="AH324" s="128"/>
      <c r="AI324" s="223" t="s">
        <v>78</v>
      </c>
      <c r="AJ324" s="131" t="str">
        <f t="shared" si="305"/>
        <v>-</v>
      </c>
      <c r="AK324" s="368" t="str">
        <f t="shared" si="294"/>
        <v>-</v>
      </c>
      <c r="AL324" s="375" t="str">
        <f t="shared" si="309"/>
        <v>-</v>
      </c>
      <c r="AM324" s="376" t="str">
        <f t="shared" si="310"/>
        <v>-</v>
      </c>
      <c r="AN324" s="394" t="s">
        <v>78</v>
      </c>
      <c r="AO324" s="395" t="s">
        <v>78</v>
      </c>
      <c r="AP324" s="396" t="str">
        <f t="shared" si="287"/>
        <v>-</v>
      </c>
      <c r="AQ324" s="397"/>
      <c r="AR324" s="401" t="s">
        <v>78</v>
      </c>
      <c r="AS324" s="396" t="str">
        <f t="shared" si="288"/>
        <v>-</v>
      </c>
      <c r="AT324" s="397"/>
      <c r="AU324" s="388" t="str">
        <f t="shared" si="311"/>
        <v>-</v>
      </c>
      <c r="AV324" s="389" t="str">
        <f t="shared" si="312"/>
        <v>-</v>
      </c>
      <c r="AW324" s="353" t="s">
        <v>78</v>
      </c>
      <c r="AX324" s="403"/>
      <c r="AY324" s="404"/>
    </row>
    <row r="325" spans="1:51" ht="15" customHeight="1">
      <c r="A325" s="1" t="str">
        <f t="shared" si="286"/>
        <v>0_2022_</v>
      </c>
      <c r="B325" s="1" t="str">
        <f t="shared" si="290"/>
        <v>0_2022_CEO</v>
      </c>
      <c r="C325" s="114">
        <f t="shared" si="318"/>
        <v>0</v>
      </c>
      <c r="D325" s="133" t="str">
        <f>_xll.ciqfunctions.udf.CIQ(C325,"IQ_Company_Name")</f>
        <v>(Invalid Identifier)</v>
      </c>
      <c r="E325" s="328">
        <f>$F$11</f>
        <v>2022</v>
      </c>
      <c r="F325" s="114" t="str">
        <f t="shared" si="299"/>
        <v>2022-01-01</v>
      </c>
      <c r="G325" s="330" t="str">
        <f t="shared" si="277"/>
        <v>2022-12-31</v>
      </c>
      <c r="H325" s="114">
        <f t="shared" si="306"/>
        <v>12</v>
      </c>
      <c r="I325" s="407" t="str">
        <f>I324</f>
        <v>CAD</v>
      </c>
      <c r="J325" s="461">
        <f t="shared" si="292"/>
        <v>1</v>
      </c>
      <c r="K325" s="468"/>
      <c r="L325" s="465" t="str">
        <f t="shared" si="319"/>
        <v>CEO</v>
      </c>
      <c r="M325" s="123" t="str">
        <f t="shared" si="319"/>
        <v>-</v>
      </c>
      <c r="N325" s="132" t="str">
        <f t="shared" si="319"/>
        <v>-</v>
      </c>
      <c r="O325" s="219" t="s">
        <v>78</v>
      </c>
      <c r="P325" s="125" t="str">
        <f t="shared" si="320"/>
        <v>-</v>
      </c>
      <c r="Q325" s="311" t="s">
        <v>78</v>
      </c>
      <c r="R325" s="126" t="str">
        <f t="shared" ref="R325:R367" si="321">IFERROR(IF((Q325*$J325)=0,"-",(Q325*$J325)),"-")</f>
        <v>-</v>
      </c>
      <c r="S325" s="221" t="s">
        <v>78</v>
      </c>
      <c r="T325" s="125" t="str">
        <f t="shared" ref="T325:T367" si="322">IFERROR(S325*(12/$H325)*$J325,"-")</f>
        <v>-</v>
      </c>
      <c r="U325" s="127" t="str">
        <f t="shared" si="302"/>
        <v>-</v>
      </c>
      <c r="V325" s="128"/>
      <c r="W325" s="223" t="s">
        <v>78</v>
      </c>
      <c r="X325" s="129" t="str">
        <f t="shared" si="303"/>
        <v>-</v>
      </c>
      <c r="Y325" s="124" t="str">
        <f t="shared" si="307"/>
        <v>-</v>
      </c>
      <c r="Z325" s="130" t="str">
        <f t="shared" si="308"/>
        <v>-</v>
      </c>
      <c r="AA325" s="221" t="s">
        <v>78</v>
      </c>
      <c r="AB325" s="225" t="s">
        <v>78</v>
      </c>
      <c r="AC325" s="225" t="s">
        <v>78</v>
      </c>
      <c r="AD325" s="225" t="s">
        <v>78</v>
      </c>
      <c r="AE325" s="225" t="s">
        <v>78</v>
      </c>
      <c r="AF325" s="125" t="str">
        <f t="shared" si="293"/>
        <v>-</v>
      </c>
      <c r="AG325" s="127" t="str">
        <f t="shared" si="304"/>
        <v>-</v>
      </c>
      <c r="AH325" s="128"/>
      <c r="AI325" s="223" t="s">
        <v>78</v>
      </c>
      <c r="AJ325" s="131" t="str">
        <f t="shared" si="305"/>
        <v>-</v>
      </c>
      <c r="AK325" s="368" t="str">
        <f t="shared" si="294"/>
        <v>-</v>
      </c>
      <c r="AL325" s="375" t="str">
        <f t="shared" si="309"/>
        <v>-</v>
      </c>
      <c r="AM325" s="376" t="str">
        <f t="shared" si="310"/>
        <v>-</v>
      </c>
      <c r="AN325" s="394" t="s">
        <v>78</v>
      </c>
      <c r="AO325" s="395" t="s">
        <v>78</v>
      </c>
      <c r="AP325" s="396" t="str">
        <f t="shared" si="287"/>
        <v>-</v>
      </c>
      <c r="AQ325" s="397"/>
      <c r="AR325" s="401" t="s">
        <v>78</v>
      </c>
      <c r="AS325" s="396" t="str">
        <f t="shared" si="288"/>
        <v>-</v>
      </c>
      <c r="AT325" s="397"/>
      <c r="AU325" s="388" t="str">
        <f t="shared" si="311"/>
        <v>-</v>
      </c>
      <c r="AV325" s="389" t="str">
        <f t="shared" si="312"/>
        <v>-</v>
      </c>
      <c r="AW325" s="353" t="s">
        <v>78</v>
      </c>
      <c r="AX325" s="403"/>
      <c r="AY325" s="404"/>
    </row>
    <row r="326" spans="1:51" ht="15" customHeight="1">
      <c r="A326" s="1" t="str">
        <f t="shared" si="286"/>
        <v>0_2024_</v>
      </c>
      <c r="B326" s="1" t="str">
        <f t="shared" si="290"/>
        <v>0_2024_CFO</v>
      </c>
      <c r="C326" s="114">
        <f t="shared" si="318"/>
        <v>0</v>
      </c>
      <c r="D326" s="133" t="str">
        <f>_xll.ciqfunctions.udf.CIQ(C326,"IQ_Company_Name")</f>
        <v>(Invalid Identifier)</v>
      </c>
      <c r="E326" s="114">
        <f t="shared" si="314"/>
        <v>2024</v>
      </c>
      <c r="F326" s="114" t="str">
        <f t="shared" si="299"/>
        <v>2024-01-01</v>
      </c>
      <c r="G326" s="330" t="str">
        <f t="shared" si="277"/>
        <v>2024-12-31</v>
      </c>
      <c r="H326" s="114">
        <f t="shared" si="306"/>
        <v>12</v>
      </c>
      <c r="I326" s="407" t="str">
        <f>I325</f>
        <v>CAD</v>
      </c>
      <c r="J326" s="461">
        <f t="shared" si="292"/>
        <v>1</v>
      </c>
      <c r="K326" s="468"/>
      <c r="L326" s="464" t="s">
        <v>106</v>
      </c>
      <c r="M326" s="217" t="s">
        <v>78</v>
      </c>
      <c r="N326" s="218" t="s">
        <v>78</v>
      </c>
      <c r="O326" s="219" t="s">
        <v>78</v>
      </c>
      <c r="P326" s="125" t="str">
        <f t="shared" si="320"/>
        <v>-</v>
      </c>
      <c r="Q326" s="311" t="s">
        <v>78</v>
      </c>
      <c r="R326" s="126" t="str">
        <f t="shared" si="321"/>
        <v>-</v>
      </c>
      <c r="S326" s="221" t="s">
        <v>78</v>
      </c>
      <c r="T326" s="125" t="str">
        <f t="shared" si="322"/>
        <v>-</v>
      </c>
      <c r="U326" s="127" t="str">
        <f t="shared" si="302"/>
        <v>-</v>
      </c>
      <c r="V326" s="128" t="str">
        <f>IFERROR(AVERAGE(U326:U328),"N/A")</f>
        <v>N/A</v>
      </c>
      <c r="W326" s="223" t="s">
        <v>78</v>
      </c>
      <c r="X326" s="129" t="str">
        <f t="shared" si="303"/>
        <v>-</v>
      </c>
      <c r="Y326" s="124" t="str">
        <f t="shared" si="307"/>
        <v>-</v>
      </c>
      <c r="Z326" s="130" t="str">
        <f t="shared" si="308"/>
        <v>-</v>
      </c>
      <c r="AA326" s="221" t="s">
        <v>78</v>
      </c>
      <c r="AB326" s="225" t="s">
        <v>78</v>
      </c>
      <c r="AC326" s="225" t="s">
        <v>78</v>
      </c>
      <c r="AD326" s="225" t="s">
        <v>78</v>
      </c>
      <c r="AE326" s="225" t="s">
        <v>78</v>
      </c>
      <c r="AF326" s="125" t="str">
        <f t="shared" si="293"/>
        <v>-</v>
      </c>
      <c r="AG326" s="127" t="str">
        <f t="shared" si="304"/>
        <v>-</v>
      </c>
      <c r="AH326" s="128" t="str">
        <f>IFERROR(AVERAGE(AG326:AG328),"N/A")</f>
        <v>N/A</v>
      </c>
      <c r="AI326" s="223" t="s">
        <v>78</v>
      </c>
      <c r="AJ326" s="131" t="str">
        <f t="shared" si="305"/>
        <v>-</v>
      </c>
      <c r="AK326" s="368" t="str">
        <f t="shared" si="294"/>
        <v>-</v>
      </c>
      <c r="AL326" s="375" t="str">
        <f t="shared" si="309"/>
        <v>-</v>
      </c>
      <c r="AM326" s="376" t="str">
        <f t="shared" si="310"/>
        <v>-</v>
      </c>
      <c r="AN326" s="394" t="s">
        <v>78</v>
      </c>
      <c r="AO326" s="395" t="s">
        <v>78</v>
      </c>
      <c r="AP326" s="396" t="str">
        <f t="shared" si="287"/>
        <v>-</v>
      </c>
      <c r="AQ326" s="397" t="str">
        <f>IFERROR(AVERAGE(AP326:AP328),"N/A")</f>
        <v>N/A</v>
      </c>
      <c r="AR326" s="401" t="s">
        <v>78</v>
      </c>
      <c r="AS326" s="396" t="str">
        <f t="shared" si="288"/>
        <v>-</v>
      </c>
      <c r="AT326" s="397" t="str">
        <f>IFERROR(AVERAGE(AS326:AS328),"N/A")</f>
        <v>N/A</v>
      </c>
      <c r="AU326" s="388" t="str">
        <f t="shared" si="311"/>
        <v>-</v>
      </c>
      <c r="AV326" s="389" t="str">
        <f t="shared" si="312"/>
        <v>-</v>
      </c>
      <c r="AW326" s="353" t="s">
        <v>78</v>
      </c>
      <c r="AX326" s="403"/>
      <c r="AY326" s="404"/>
    </row>
    <row r="327" spans="1:51" ht="15" customHeight="1">
      <c r="A327" s="1" t="str">
        <f t="shared" si="286"/>
        <v>0_2023_</v>
      </c>
      <c r="B327" s="1" t="str">
        <f t="shared" si="290"/>
        <v>0_2023_CFO</v>
      </c>
      <c r="C327" s="114">
        <f t="shared" si="318"/>
        <v>0</v>
      </c>
      <c r="D327" s="133" t="str">
        <f>_xll.ciqfunctions.udf.CIQ(C327,"IQ_Company_Name")</f>
        <v>(Invalid Identifier)</v>
      </c>
      <c r="E327" s="114">
        <f t="shared" si="314"/>
        <v>2023</v>
      </c>
      <c r="F327" s="114" t="str">
        <f t="shared" si="299"/>
        <v>2023-01-01</v>
      </c>
      <c r="G327" s="330" t="str">
        <f t="shared" si="277"/>
        <v>2023-12-31</v>
      </c>
      <c r="H327" s="114">
        <f t="shared" si="306"/>
        <v>12</v>
      </c>
      <c r="I327" s="407" t="str">
        <f>I326</f>
        <v>CAD</v>
      </c>
      <c r="J327" s="461">
        <f t="shared" si="292"/>
        <v>1</v>
      </c>
      <c r="K327" s="468"/>
      <c r="L327" s="465" t="str">
        <f t="shared" ref="L327:N328" si="323">L326</f>
        <v>CFO</v>
      </c>
      <c r="M327" s="123" t="str">
        <f t="shared" si="323"/>
        <v>-</v>
      </c>
      <c r="N327" s="132" t="str">
        <f t="shared" si="323"/>
        <v>-</v>
      </c>
      <c r="O327" s="219" t="s">
        <v>78</v>
      </c>
      <c r="P327" s="125" t="str">
        <f t="shared" si="320"/>
        <v>-</v>
      </c>
      <c r="Q327" s="311" t="s">
        <v>78</v>
      </c>
      <c r="R327" s="126" t="str">
        <f t="shared" si="321"/>
        <v>-</v>
      </c>
      <c r="S327" s="221" t="s">
        <v>78</v>
      </c>
      <c r="T327" s="125" t="str">
        <f t="shared" si="322"/>
        <v>-</v>
      </c>
      <c r="U327" s="127" t="str">
        <f t="shared" si="302"/>
        <v>-</v>
      </c>
      <c r="V327" s="128"/>
      <c r="W327" s="223" t="s">
        <v>78</v>
      </c>
      <c r="X327" s="129" t="str">
        <f t="shared" si="303"/>
        <v>-</v>
      </c>
      <c r="Y327" s="124" t="str">
        <f t="shared" si="307"/>
        <v>-</v>
      </c>
      <c r="Z327" s="130" t="str">
        <f t="shared" si="308"/>
        <v>-</v>
      </c>
      <c r="AA327" s="221" t="s">
        <v>78</v>
      </c>
      <c r="AB327" s="225" t="s">
        <v>78</v>
      </c>
      <c r="AC327" s="225" t="s">
        <v>78</v>
      </c>
      <c r="AD327" s="225" t="s">
        <v>78</v>
      </c>
      <c r="AE327" s="225" t="s">
        <v>78</v>
      </c>
      <c r="AF327" s="125" t="str">
        <f t="shared" si="293"/>
        <v>-</v>
      </c>
      <c r="AG327" s="127" t="str">
        <f t="shared" si="304"/>
        <v>-</v>
      </c>
      <c r="AH327" s="128"/>
      <c r="AI327" s="223" t="s">
        <v>78</v>
      </c>
      <c r="AJ327" s="131" t="str">
        <f t="shared" si="305"/>
        <v>-</v>
      </c>
      <c r="AK327" s="368" t="str">
        <f t="shared" ref="AK327:AK358" si="324">IFERROR($AF327*$J327,"-")</f>
        <v>-</v>
      </c>
      <c r="AL327" s="375" t="str">
        <f t="shared" si="309"/>
        <v>-</v>
      </c>
      <c r="AM327" s="376" t="str">
        <f t="shared" si="310"/>
        <v>-</v>
      </c>
      <c r="AN327" s="394" t="s">
        <v>78</v>
      </c>
      <c r="AO327" s="395" t="s">
        <v>78</v>
      </c>
      <c r="AP327" s="396" t="str">
        <f t="shared" si="287"/>
        <v>-</v>
      </c>
      <c r="AQ327" s="397"/>
      <c r="AR327" s="401" t="s">
        <v>78</v>
      </c>
      <c r="AS327" s="396" t="str">
        <f t="shared" si="288"/>
        <v>-</v>
      </c>
      <c r="AT327" s="397"/>
      <c r="AU327" s="388" t="str">
        <f t="shared" si="311"/>
        <v>-</v>
      </c>
      <c r="AV327" s="389" t="str">
        <f t="shared" si="312"/>
        <v>-</v>
      </c>
      <c r="AW327" s="353" t="s">
        <v>78</v>
      </c>
      <c r="AX327" s="403"/>
      <c r="AY327" s="404"/>
    </row>
    <row r="328" spans="1:51" ht="15" customHeight="1">
      <c r="A328" s="1" t="str">
        <f t="shared" si="286"/>
        <v>0_2022_</v>
      </c>
      <c r="B328" s="1" t="str">
        <f t="shared" si="290"/>
        <v>0_2022_CFO</v>
      </c>
      <c r="C328" s="114">
        <f t="shared" si="318"/>
        <v>0</v>
      </c>
      <c r="D328" s="133" t="str">
        <f>_xll.ciqfunctions.udf.CIQ(C328,"IQ_Company_Name")</f>
        <v>(Invalid Identifier)</v>
      </c>
      <c r="E328" s="114">
        <f t="shared" si="314"/>
        <v>2022</v>
      </c>
      <c r="F328" s="114" t="str">
        <f t="shared" si="299"/>
        <v>2022-01-01</v>
      </c>
      <c r="G328" s="330" t="str">
        <f t="shared" si="277"/>
        <v>2022-12-31</v>
      </c>
      <c r="H328" s="114">
        <f t="shared" si="306"/>
        <v>12</v>
      </c>
      <c r="I328" s="407" t="str">
        <f t="shared" si="300"/>
        <v>CAD</v>
      </c>
      <c r="J328" s="461">
        <f t="shared" si="292"/>
        <v>1</v>
      </c>
      <c r="K328" s="468"/>
      <c r="L328" s="465" t="str">
        <f t="shared" si="323"/>
        <v>CFO</v>
      </c>
      <c r="M328" s="123" t="str">
        <f t="shared" si="323"/>
        <v>-</v>
      </c>
      <c r="N328" s="132" t="str">
        <f t="shared" si="323"/>
        <v>-</v>
      </c>
      <c r="O328" s="219" t="s">
        <v>78</v>
      </c>
      <c r="P328" s="125" t="str">
        <f t="shared" si="320"/>
        <v>-</v>
      </c>
      <c r="Q328" s="311" t="s">
        <v>78</v>
      </c>
      <c r="R328" s="126" t="str">
        <f t="shared" si="321"/>
        <v>-</v>
      </c>
      <c r="S328" s="221" t="s">
        <v>78</v>
      </c>
      <c r="T328" s="125" t="str">
        <f t="shared" si="322"/>
        <v>-</v>
      </c>
      <c r="U328" s="127" t="str">
        <f t="shared" si="302"/>
        <v>-</v>
      </c>
      <c r="V328" s="128"/>
      <c r="W328" s="223" t="s">
        <v>78</v>
      </c>
      <c r="X328" s="129" t="str">
        <f t="shared" si="303"/>
        <v>-</v>
      </c>
      <c r="Y328" s="124" t="str">
        <f t="shared" si="307"/>
        <v>-</v>
      </c>
      <c r="Z328" s="130" t="str">
        <f t="shared" si="308"/>
        <v>-</v>
      </c>
      <c r="AA328" s="221" t="s">
        <v>78</v>
      </c>
      <c r="AB328" s="225" t="s">
        <v>78</v>
      </c>
      <c r="AC328" s="225" t="s">
        <v>78</v>
      </c>
      <c r="AD328" s="225" t="s">
        <v>78</v>
      </c>
      <c r="AE328" s="225" t="s">
        <v>78</v>
      </c>
      <c r="AF328" s="125" t="str">
        <f t="shared" si="293"/>
        <v>-</v>
      </c>
      <c r="AG328" s="127" t="str">
        <f t="shared" si="304"/>
        <v>-</v>
      </c>
      <c r="AH328" s="128"/>
      <c r="AI328" s="223" t="s">
        <v>78</v>
      </c>
      <c r="AJ328" s="131" t="str">
        <f t="shared" si="305"/>
        <v>-</v>
      </c>
      <c r="AK328" s="368" t="str">
        <f t="shared" si="324"/>
        <v>-</v>
      </c>
      <c r="AL328" s="375" t="str">
        <f t="shared" si="309"/>
        <v>-</v>
      </c>
      <c r="AM328" s="376" t="str">
        <f t="shared" si="310"/>
        <v>-</v>
      </c>
      <c r="AN328" s="394" t="s">
        <v>78</v>
      </c>
      <c r="AO328" s="395" t="s">
        <v>78</v>
      </c>
      <c r="AP328" s="396" t="str">
        <f t="shared" si="287"/>
        <v>-</v>
      </c>
      <c r="AQ328" s="397"/>
      <c r="AR328" s="401" t="s">
        <v>78</v>
      </c>
      <c r="AS328" s="396" t="str">
        <f t="shared" si="288"/>
        <v>-</v>
      </c>
      <c r="AT328" s="397"/>
      <c r="AU328" s="388" t="str">
        <f t="shared" si="311"/>
        <v>-</v>
      </c>
      <c r="AV328" s="389" t="str">
        <f t="shared" si="312"/>
        <v>-</v>
      </c>
      <c r="AW328" s="353" t="s">
        <v>78</v>
      </c>
      <c r="AX328" s="403"/>
      <c r="AY328" s="404"/>
    </row>
    <row r="329" spans="1:51" ht="15" customHeight="1">
      <c r="A329" s="1" t="str">
        <f t="shared" si="286"/>
        <v>0_2024_</v>
      </c>
      <c r="B329" s="1" t="str">
        <f t="shared" si="290"/>
        <v>0_2024_NEO1</v>
      </c>
      <c r="C329" s="114">
        <f t="shared" si="318"/>
        <v>0</v>
      </c>
      <c r="D329" s="133" t="str">
        <f>_xll.ciqfunctions.udf.CIQ(C329,"IQ_Company_Name")</f>
        <v>(Invalid Identifier)</v>
      </c>
      <c r="E329" s="114">
        <f t="shared" si="314"/>
        <v>2024</v>
      </c>
      <c r="F329" s="330" t="str">
        <f t="shared" si="299"/>
        <v>2024-01-01</v>
      </c>
      <c r="G329" s="330" t="str">
        <f t="shared" si="277"/>
        <v>2024-12-31</v>
      </c>
      <c r="H329" s="114">
        <f t="shared" si="306"/>
        <v>12</v>
      </c>
      <c r="I329" s="407" t="str">
        <f t="shared" si="300"/>
        <v>CAD</v>
      </c>
      <c r="J329" s="461">
        <f t="shared" si="292"/>
        <v>1</v>
      </c>
      <c r="K329" s="468"/>
      <c r="L329" s="464" t="s">
        <v>107</v>
      </c>
      <c r="M329" s="217" t="s">
        <v>78</v>
      </c>
      <c r="N329" s="218" t="s">
        <v>78</v>
      </c>
      <c r="O329" s="219" t="s">
        <v>78</v>
      </c>
      <c r="P329" s="125" t="str">
        <f t="shared" si="320"/>
        <v>-</v>
      </c>
      <c r="Q329" s="311" t="s">
        <v>78</v>
      </c>
      <c r="R329" s="126" t="str">
        <f t="shared" si="321"/>
        <v>-</v>
      </c>
      <c r="S329" s="221" t="s">
        <v>78</v>
      </c>
      <c r="T329" s="125" t="str">
        <f t="shared" si="322"/>
        <v>-</v>
      </c>
      <c r="U329" s="127" t="str">
        <f t="shared" si="302"/>
        <v>-</v>
      </c>
      <c r="V329" s="128" t="str">
        <f>IFERROR(AVERAGE(U329:U331),"N/A")</f>
        <v>N/A</v>
      </c>
      <c r="W329" s="223" t="s">
        <v>78</v>
      </c>
      <c r="X329" s="129" t="str">
        <f t="shared" si="303"/>
        <v>-</v>
      </c>
      <c r="Y329" s="124" t="str">
        <f t="shared" si="307"/>
        <v>-</v>
      </c>
      <c r="Z329" s="130" t="str">
        <f t="shared" si="308"/>
        <v>-</v>
      </c>
      <c r="AA329" s="221" t="s">
        <v>78</v>
      </c>
      <c r="AB329" s="225" t="s">
        <v>78</v>
      </c>
      <c r="AC329" s="225" t="s">
        <v>78</v>
      </c>
      <c r="AD329" s="225" t="s">
        <v>78</v>
      </c>
      <c r="AE329" s="225" t="s">
        <v>78</v>
      </c>
      <c r="AF329" s="125" t="str">
        <f t="shared" si="293"/>
        <v>-</v>
      </c>
      <c r="AG329" s="127" t="str">
        <f t="shared" si="304"/>
        <v>-</v>
      </c>
      <c r="AH329" s="128" t="str">
        <f>IFERROR(AVERAGE(AG329:AG331),"N/A")</f>
        <v>N/A</v>
      </c>
      <c r="AI329" s="223" t="s">
        <v>78</v>
      </c>
      <c r="AJ329" s="131" t="str">
        <f t="shared" si="305"/>
        <v>-</v>
      </c>
      <c r="AK329" s="368" t="str">
        <f t="shared" si="324"/>
        <v>-</v>
      </c>
      <c r="AL329" s="375" t="str">
        <f t="shared" si="309"/>
        <v>-</v>
      </c>
      <c r="AM329" s="376" t="str">
        <f t="shared" si="310"/>
        <v>-</v>
      </c>
      <c r="AN329" s="394" t="s">
        <v>78</v>
      </c>
      <c r="AO329" s="395" t="s">
        <v>78</v>
      </c>
      <c r="AP329" s="396" t="str">
        <f t="shared" si="287"/>
        <v>-</v>
      </c>
      <c r="AQ329" s="397" t="str">
        <f>IFERROR(AVERAGE(AP329:AP331),"N/A")</f>
        <v>N/A</v>
      </c>
      <c r="AR329" s="401" t="s">
        <v>78</v>
      </c>
      <c r="AS329" s="396" t="str">
        <f t="shared" si="288"/>
        <v>-</v>
      </c>
      <c r="AT329" s="397" t="str">
        <f>IFERROR(AVERAGE(AS329:AS331),"N/A")</f>
        <v>N/A</v>
      </c>
      <c r="AU329" s="388" t="str">
        <f t="shared" si="311"/>
        <v>-</v>
      </c>
      <c r="AV329" s="389" t="str">
        <f t="shared" si="312"/>
        <v>-</v>
      </c>
      <c r="AW329" s="353" t="s">
        <v>78</v>
      </c>
      <c r="AX329" s="403"/>
      <c r="AY329" s="404"/>
    </row>
    <row r="330" spans="1:51" ht="15" customHeight="1">
      <c r="A330" s="1" t="str">
        <f t="shared" si="286"/>
        <v>0_2023_</v>
      </c>
      <c r="B330" s="1" t="str">
        <f t="shared" si="290"/>
        <v>0_2023_NEO1</v>
      </c>
      <c r="C330" s="114">
        <f t="shared" si="318"/>
        <v>0</v>
      </c>
      <c r="D330" s="133" t="str">
        <f>_xll.ciqfunctions.udf.CIQ(C330,"IQ_Company_Name")</f>
        <v>(Invalid Identifier)</v>
      </c>
      <c r="E330" s="114">
        <f t="shared" si="314"/>
        <v>2023</v>
      </c>
      <c r="F330" s="330" t="str">
        <f t="shared" si="299"/>
        <v>2023-01-01</v>
      </c>
      <c r="G330" s="330" t="str">
        <f t="shared" si="277"/>
        <v>2023-12-31</v>
      </c>
      <c r="H330" s="114">
        <f t="shared" si="306"/>
        <v>12</v>
      </c>
      <c r="I330" s="407" t="str">
        <f t="shared" si="300"/>
        <v>CAD</v>
      </c>
      <c r="J330" s="461">
        <f t="shared" si="292"/>
        <v>1</v>
      </c>
      <c r="K330" s="468"/>
      <c r="L330" s="465" t="str">
        <f t="shared" ref="L330:N331" si="325">L329</f>
        <v>NEO1</v>
      </c>
      <c r="M330" s="123" t="str">
        <f t="shared" si="325"/>
        <v>-</v>
      </c>
      <c r="N330" s="132" t="str">
        <f t="shared" si="325"/>
        <v>-</v>
      </c>
      <c r="O330" s="219" t="s">
        <v>78</v>
      </c>
      <c r="P330" s="125" t="str">
        <f t="shared" si="320"/>
        <v>-</v>
      </c>
      <c r="Q330" s="311" t="s">
        <v>78</v>
      </c>
      <c r="R330" s="126" t="str">
        <f t="shared" si="321"/>
        <v>-</v>
      </c>
      <c r="S330" s="221" t="s">
        <v>78</v>
      </c>
      <c r="T330" s="125" t="str">
        <f t="shared" si="322"/>
        <v>-</v>
      </c>
      <c r="U330" s="127" t="str">
        <f t="shared" si="302"/>
        <v>-</v>
      </c>
      <c r="V330" s="128"/>
      <c r="W330" s="223" t="s">
        <v>78</v>
      </c>
      <c r="X330" s="129" t="str">
        <f t="shared" si="303"/>
        <v>-</v>
      </c>
      <c r="Y330" s="124" t="str">
        <f t="shared" si="307"/>
        <v>-</v>
      </c>
      <c r="Z330" s="130" t="str">
        <f t="shared" si="308"/>
        <v>-</v>
      </c>
      <c r="AA330" s="221" t="s">
        <v>78</v>
      </c>
      <c r="AB330" s="225" t="s">
        <v>78</v>
      </c>
      <c r="AC330" s="225" t="s">
        <v>78</v>
      </c>
      <c r="AD330" s="225" t="s">
        <v>78</v>
      </c>
      <c r="AE330" s="225" t="s">
        <v>78</v>
      </c>
      <c r="AF330" s="125" t="str">
        <f t="shared" si="293"/>
        <v>-</v>
      </c>
      <c r="AG330" s="127" t="str">
        <f t="shared" si="304"/>
        <v>-</v>
      </c>
      <c r="AH330" s="128"/>
      <c r="AI330" s="223" t="s">
        <v>78</v>
      </c>
      <c r="AJ330" s="131" t="str">
        <f t="shared" si="305"/>
        <v>-</v>
      </c>
      <c r="AK330" s="368" t="str">
        <f t="shared" si="324"/>
        <v>-</v>
      </c>
      <c r="AL330" s="375" t="str">
        <f t="shared" si="309"/>
        <v>-</v>
      </c>
      <c r="AM330" s="376" t="str">
        <f t="shared" si="310"/>
        <v>-</v>
      </c>
      <c r="AN330" s="394" t="s">
        <v>78</v>
      </c>
      <c r="AO330" s="395" t="s">
        <v>78</v>
      </c>
      <c r="AP330" s="396" t="str">
        <f t="shared" si="287"/>
        <v>-</v>
      </c>
      <c r="AQ330" s="397"/>
      <c r="AR330" s="401" t="s">
        <v>78</v>
      </c>
      <c r="AS330" s="396" t="str">
        <f t="shared" si="288"/>
        <v>-</v>
      </c>
      <c r="AT330" s="397"/>
      <c r="AU330" s="388" t="str">
        <f t="shared" si="311"/>
        <v>-</v>
      </c>
      <c r="AV330" s="389" t="str">
        <f t="shared" si="312"/>
        <v>-</v>
      </c>
      <c r="AW330" s="353" t="s">
        <v>78</v>
      </c>
      <c r="AX330" s="403"/>
      <c r="AY330" s="404"/>
    </row>
    <row r="331" spans="1:51" ht="15" customHeight="1">
      <c r="A331" s="1" t="str">
        <f t="shared" si="286"/>
        <v>0_2022_</v>
      </c>
      <c r="B331" s="1" t="str">
        <f t="shared" si="290"/>
        <v>0_2022_NEO1</v>
      </c>
      <c r="C331" s="114">
        <f t="shared" si="318"/>
        <v>0</v>
      </c>
      <c r="D331" s="133" t="str">
        <f>_xll.ciqfunctions.udf.CIQ(C331,"IQ_Company_Name")</f>
        <v>(Invalid Identifier)</v>
      </c>
      <c r="E331" s="114">
        <f t="shared" si="314"/>
        <v>2022</v>
      </c>
      <c r="F331" s="114" t="str">
        <f t="shared" si="299"/>
        <v>2022-01-01</v>
      </c>
      <c r="G331" s="330" t="str">
        <f t="shared" si="277"/>
        <v>2022-12-31</v>
      </c>
      <c r="H331" s="114">
        <f t="shared" si="306"/>
        <v>12</v>
      </c>
      <c r="I331" s="407" t="str">
        <f t="shared" si="300"/>
        <v>CAD</v>
      </c>
      <c r="J331" s="461">
        <f t="shared" si="292"/>
        <v>1</v>
      </c>
      <c r="K331" s="468"/>
      <c r="L331" s="465" t="str">
        <f t="shared" si="325"/>
        <v>NEO1</v>
      </c>
      <c r="M331" s="123" t="str">
        <f t="shared" si="325"/>
        <v>-</v>
      </c>
      <c r="N331" s="132" t="str">
        <f t="shared" si="325"/>
        <v>-</v>
      </c>
      <c r="O331" s="219" t="s">
        <v>78</v>
      </c>
      <c r="P331" s="125" t="str">
        <f t="shared" si="320"/>
        <v>-</v>
      </c>
      <c r="Q331" s="311" t="s">
        <v>78</v>
      </c>
      <c r="R331" s="126" t="str">
        <f t="shared" si="321"/>
        <v>-</v>
      </c>
      <c r="S331" s="221" t="s">
        <v>78</v>
      </c>
      <c r="T331" s="125" t="str">
        <f t="shared" si="322"/>
        <v>-</v>
      </c>
      <c r="U331" s="127" t="str">
        <f t="shared" si="302"/>
        <v>-</v>
      </c>
      <c r="V331" s="128"/>
      <c r="W331" s="223" t="s">
        <v>78</v>
      </c>
      <c r="X331" s="129" t="str">
        <f t="shared" si="303"/>
        <v>-</v>
      </c>
      <c r="Y331" s="124" t="str">
        <f t="shared" si="307"/>
        <v>-</v>
      </c>
      <c r="Z331" s="130" t="str">
        <f t="shared" si="308"/>
        <v>-</v>
      </c>
      <c r="AA331" s="221" t="s">
        <v>78</v>
      </c>
      <c r="AB331" s="225" t="s">
        <v>78</v>
      </c>
      <c r="AC331" s="225" t="s">
        <v>78</v>
      </c>
      <c r="AD331" s="225" t="s">
        <v>78</v>
      </c>
      <c r="AE331" s="225" t="s">
        <v>78</v>
      </c>
      <c r="AF331" s="125" t="str">
        <f t="shared" si="293"/>
        <v>-</v>
      </c>
      <c r="AG331" s="127" t="str">
        <f t="shared" si="304"/>
        <v>-</v>
      </c>
      <c r="AH331" s="128"/>
      <c r="AI331" s="223" t="s">
        <v>78</v>
      </c>
      <c r="AJ331" s="131" t="str">
        <f t="shared" si="305"/>
        <v>-</v>
      </c>
      <c r="AK331" s="368" t="str">
        <f t="shared" si="324"/>
        <v>-</v>
      </c>
      <c r="AL331" s="375" t="str">
        <f t="shared" si="309"/>
        <v>-</v>
      </c>
      <c r="AM331" s="376" t="str">
        <f t="shared" si="310"/>
        <v>-</v>
      </c>
      <c r="AN331" s="394" t="s">
        <v>78</v>
      </c>
      <c r="AO331" s="395" t="s">
        <v>78</v>
      </c>
      <c r="AP331" s="396" t="str">
        <f t="shared" si="287"/>
        <v>-</v>
      </c>
      <c r="AQ331" s="397"/>
      <c r="AR331" s="401" t="s">
        <v>78</v>
      </c>
      <c r="AS331" s="396" t="str">
        <f t="shared" si="288"/>
        <v>-</v>
      </c>
      <c r="AT331" s="397"/>
      <c r="AU331" s="388" t="str">
        <f t="shared" si="311"/>
        <v>-</v>
      </c>
      <c r="AV331" s="389" t="str">
        <f t="shared" si="312"/>
        <v>-</v>
      </c>
      <c r="AW331" s="353" t="s">
        <v>78</v>
      </c>
      <c r="AX331" s="403"/>
      <c r="AY331" s="404"/>
    </row>
    <row r="332" spans="1:51" ht="15" customHeight="1">
      <c r="A332" s="1" t="str">
        <f t="shared" si="286"/>
        <v>0_2024_</v>
      </c>
      <c r="B332" s="1" t="str">
        <f t="shared" si="290"/>
        <v>0_2024_NEO2</v>
      </c>
      <c r="C332" s="114">
        <f t="shared" si="318"/>
        <v>0</v>
      </c>
      <c r="D332" s="133" t="str">
        <f>_xll.ciqfunctions.udf.CIQ(C332,"IQ_Company_Name")</f>
        <v>(Invalid Identifier)</v>
      </c>
      <c r="E332" s="114">
        <f t="shared" si="314"/>
        <v>2024</v>
      </c>
      <c r="F332" s="114" t="str">
        <f t="shared" si="299"/>
        <v>2024-01-01</v>
      </c>
      <c r="G332" s="330" t="str">
        <f t="shared" ref="G332:G367" si="326">E332&amp;"-12-31"</f>
        <v>2024-12-31</v>
      </c>
      <c r="H332" s="114">
        <f t="shared" si="306"/>
        <v>12</v>
      </c>
      <c r="I332" s="407" t="str">
        <f t="shared" si="300"/>
        <v>CAD</v>
      </c>
      <c r="J332" s="461">
        <f t="shared" si="292"/>
        <v>1</v>
      </c>
      <c r="K332" s="468"/>
      <c r="L332" s="464" t="s">
        <v>108</v>
      </c>
      <c r="M332" s="217" t="s">
        <v>78</v>
      </c>
      <c r="N332" s="218" t="s">
        <v>78</v>
      </c>
      <c r="O332" s="219" t="s">
        <v>78</v>
      </c>
      <c r="P332" s="125" t="str">
        <f t="shared" si="320"/>
        <v>-</v>
      </c>
      <c r="Q332" s="311" t="s">
        <v>78</v>
      </c>
      <c r="R332" s="126" t="str">
        <f t="shared" si="321"/>
        <v>-</v>
      </c>
      <c r="S332" s="221" t="s">
        <v>78</v>
      </c>
      <c r="T332" s="125" t="str">
        <f t="shared" si="322"/>
        <v>-</v>
      </c>
      <c r="U332" s="127" t="str">
        <f t="shared" si="302"/>
        <v>-</v>
      </c>
      <c r="V332" s="128" t="str">
        <f>IFERROR(AVERAGE(U332:U334),"N/A")</f>
        <v>N/A</v>
      </c>
      <c r="W332" s="223" t="s">
        <v>78</v>
      </c>
      <c r="X332" s="129" t="str">
        <f t="shared" si="303"/>
        <v>-</v>
      </c>
      <c r="Y332" s="124" t="str">
        <f t="shared" si="307"/>
        <v>-</v>
      </c>
      <c r="Z332" s="130" t="str">
        <f t="shared" si="308"/>
        <v>-</v>
      </c>
      <c r="AA332" s="221" t="s">
        <v>78</v>
      </c>
      <c r="AB332" s="225" t="s">
        <v>78</v>
      </c>
      <c r="AC332" s="225" t="s">
        <v>78</v>
      </c>
      <c r="AD332" s="225" t="s">
        <v>78</v>
      </c>
      <c r="AE332" s="225" t="s">
        <v>78</v>
      </c>
      <c r="AF332" s="125" t="str">
        <f t="shared" si="293"/>
        <v>-</v>
      </c>
      <c r="AG332" s="127" t="str">
        <f t="shared" si="304"/>
        <v>-</v>
      </c>
      <c r="AH332" s="128" t="str">
        <f>IFERROR(AVERAGE(AG332:AG334),"N/A")</f>
        <v>N/A</v>
      </c>
      <c r="AI332" s="223" t="s">
        <v>78</v>
      </c>
      <c r="AJ332" s="131" t="str">
        <f t="shared" si="305"/>
        <v>-</v>
      </c>
      <c r="AK332" s="368" t="str">
        <f t="shared" si="324"/>
        <v>-</v>
      </c>
      <c r="AL332" s="375" t="str">
        <f t="shared" si="309"/>
        <v>-</v>
      </c>
      <c r="AM332" s="376" t="str">
        <f t="shared" si="310"/>
        <v>-</v>
      </c>
      <c r="AN332" s="394" t="s">
        <v>78</v>
      </c>
      <c r="AO332" s="395" t="s">
        <v>78</v>
      </c>
      <c r="AP332" s="396" t="str">
        <f t="shared" si="287"/>
        <v>-</v>
      </c>
      <c r="AQ332" s="397" t="str">
        <f>IFERROR(AVERAGE(AP332:AP334),"N/A")</f>
        <v>N/A</v>
      </c>
      <c r="AR332" s="401" t="s">
        <v>78</v>
      </c>
      <c r="AS332" s="396" t="str">
        <f t="shared" si="288"/>
        <v>-</v>
      </c>
      <c r="AT332" s="397" t="str">
        <f>IFERROR(AVERAGE(AS332:AS334),"N/A")</f>
        <v>N/A</v>
      </c>
      <c r="AU332" s="388" t="str">
        <f t="shared" si="311"/>
        <v>-</v>
      </c>
      <c r="AV332" s="389" t="str">
        <f t="shared" si="312"/>
        <v>-</v>
      </c>
      <c r="AW332" s="353" t="s">
        <v>78</v>
      </c>
      <c r="AX332" s="403"/>
      <c r="AY332" s="404"/>
    </row>
    <row r="333" spans="1:51" ht="15" customHeight="1">
      <c r="A333" s="1" t="str">
        <f t="shared" si="286"/>
        <v>0_2023_</v>
      </c>
      <c r="B333" s="1" t="str">
        <f t="shared" si="290"/>
        <v>0_2023_NEO2</v>
      </c>
      <c r="C333" s="114">
        <f t="shared" si="318"/>
        <v>0</v>
      </c>
      <c r="D333" s="133" t="str">
        <f>_xll.ciqfunctions.udf.CIQ(C333,"IQ_Company_Name")</f>
        <v>(Invalid Identifier)</v>
      </c>
      <c r="E333" s="114">
        <f t="shared" si="314"/>
        <v>2023</v>
      </c>
      <c r="F333" s="114" t="str">
        <f t="shared" si="299"/>
        <v>2023-01-01</v>
      </c>
      <c r="G333" s="330" t="str">
        <f t="shared" si="326"/>
        <v>2023-12-31</v>
      </c>
      <c r="H333" s="114">
        <f t="shared" si="306"/>
        <v>12</v>
      </c>
      <c r="I333" s="407" t="str">
        <f t="shared" si="300"/>
        <v>CAD</v>
      </c>
      <c r="J333" s="461">
        <f t="shared" si="292"/>
        <v>1</v>
      </c>
      <c r="K333" s="468"/>
      <c r="L333" s="465" t="str">
        <f t="shared" ref="L333:N334" si="327">L332</f>
        <v>NEO2</v>
      </c>
      <c r="M333" s="123" t="str">
        <f t="shared" si="327"/>
        <v>-</v>
      </c>
      <c r="N333" s="132" t="str">
        <f t="shared" si="327"/>
        <v>-</v>
      </c>
      <c r="O333" s="219" t="s">
        <v>78</v>
      </c>
      <c r="P333" s="125" t="str">
        <f t="shared" si="320"/>
        <v>-</v>
      </c>
      <c r="Q333" s="311" t="s">
        <v>78</v>
      </c>
      <c r="R333" s="126" t="str">
        <f t="shared" si="321"/>
        <v>-</v>
      </c>
      <c r="S333" s="221" t="s">
        <v>78</v>
      </c>
      <c r="T333" s="125" t="str">
        <f t="shared" si="322"/>
        <v>-</v>
      </c>
      <c r="U333" s="127" t="str">
        <f t="shared" si="302"/>
        <v>-</v>
      </c>
      <c r="V333" s="128"/>
      <c r="W333" s="223" t="s">
        <v>78</v>
      </c>
      <c r="X333" s="129" t="str">
        <f t="shared" si="303"/>
        <v>-</v>
      </c>
      <c r="Y333" s="124" t="str">
        <f t="shared" si="307"/>
        <v>-</v>
      </c>
      <c r="Z333" s="130" t="str">
        <f t="shared" si="308"/>
        <v>-</v>
      </c>
      <c r="AA333" s="221" t="s">
        <v>78</v>
      </c>
      <c r="AB333" s="225" t="s">
        <v>78</v>
      </c>
      <c r="AC333" s="225" t="s">
        <v>78</v>
      </c>
      <c r="AD333" s="225" t="s">
        <v>78</v>
      </c>
      <c r="AE333" s="225" t="s">
        <v>78</v>
      </c>
      <c r="AF333" s="125" t="str">
        <f t="shared" si="293"/>
        <v>-</v>
      </c>
      <c r="AG333" s="127" t="str">
        <f t="shared" si="304"/>
        <v>-</v>
      </c>
      <c r="AH333" s="128"/>
      <c r="AI333" s="223" t="s">
        <v>78</v>
      </c>
      <c r="AJ333" s="131" t="str">
        <f t="shared" si="305"/>
        <v>-</v>
      </c>
      <c r="AK333" s="368" t="str">
        <f t="shared" si="324"/>
        <v>-</v>
      </c>
      <c r="AL333" s="375" t="str">
        <f t="shared" si="309"/>
        <v>-</v>
      </c>
      <c r="AM333" s="376" t="str">
        <f t="shared" si="310"/>
        <v>-</v>
      </c>
      <c r="AN333" s="394" t="s">
        <v>78</v>
      </c>
      <c r="AO333" s="395" t="s">
        <v>78</v>
      </c>
      <c r="AP333" s="396" t="str">
        <f t="shared" si="287"/>
        <v>-</v>
      </c>
      <c r="AQ333" s="397"/>
      <c r="AR333" s="401" t="s">
        <v>78</v>
      </c>
      <c r="AS333" s="396" t="str">
        <f t="shared" si="288"/>
        <v>-</v>
      </c>
      <c r="AT333" s="397"/>
      <c r="AU333" s="388" t="str">
        <f t="shared" si="311"/>
        <v>-</v>
      </c>
      <c r="AV333" s="389" t="str">
        <f t="shared" si="312"/>
        <v>-</v>
      </c>
      <c r="AW333" s="353" t="s">
        <v>78</v>
      </c>
      <c r="AX333" s="403"/>
      <c r="AY333" s="404"/>
    </row>
    <row r="334" spans="1:51" ht="15" customHeight="1">
      <c r="A334" s="1" t="str">
        <f t="shared" si="286"/>
        <v>0_2022_</v>
      </c>
      <c r="B334" s="1" t="str">
        <f t="shared" si="290"/>
        <v>0_2022_NEO2</v>
      </c>
      <c r="C334" s="114">
        <f t="shared" si="318"/>
        <v>0</v>
      </c>
      <c r="D334" s="133" t="str">
        <f>_xll.ciqfunctions.udf.CIQ(C334,"IQ_Company_Name")</f>
        <v>(Invalid Identifier)</v>
      </c>
      <c r="E334" s="114">
        <f t="shared" si="314"/>
        <v>2022</v>
      </c>
      <c r="F334" s="114" t="str">
        <f t="shared" si="299"/>
        <v>2022-01-01</v>
      </c>
      <c r="G334" s="330" t="str">
        <f t="shared" si="326"/>
        <v>2022-12-31</v>
      </c>
      <c r="H334" s="114">
        <f t="shared" si="306"/>
        <v>12</v>
      </c>
      <c r="I334" s="407" t="str">
        <f t="shared" si="300"/>
        <v>CAD</v>
      </c>
      <c r="J334" s="461">
        <f t="shared" si="292"/>
        <v>1</v>
      </c>
      <c r="K334" s="468"/>
      <c r="L334" s="465" t="str">
        <f t="shared" si="327"/>
        <v>NEO2</v>
      </c>
      <c r="M334" s="123" t="str">
        <f t="shared" si="327"/>
        <v>-</v>
      </c>
      <c r="N334" s="132" t="str">
        <f t="shared" si="327"/>
        <v>-</v>
      </c>
      <c r="O334" s="219" t="s">
        <v>78</v>
      </c>
      <c r="P334" s="125" t="str">
        <f t="shared" si="320"/>
        <v>-</v>
      </c>
      <c r="Q334" s="311" t="s">
        <v>78</v>
      </c>
      <c r="R334" s="126" t="str">
        <f t="shared" si="321"/>
        <v>-</v>
      </c>
      <c r="S334" s="221" t="s">
        <v>78</v>
      </c>
      <c r="T334" s="125" t="str">
        <f t="shared" si="322"/>
        <v>-</v>
      </c>
      <c r="U334" s="127" t="str">
        <f t="shared" si="302"/>
        <v>-</v>
      </c>
      <c r="V334" s="128"/>
      <c r="W334" s="223" t="s">
        <v>78</v>
      </c>
      <c r="X334" s="129" t="str">
        <f t="shared" si="303"/>
        <v>-</v>
      </c>
      <c r="Y334" s="124" t="str">
        <f t="shared" si="307"/>
        <v>-</v>
      </c>
      <c r="Z334" s="130" t="str">
        <f t="shared" si="308"/>
        <v>-</v>
      </c>
      <c r="AA334" s="221" t="s">
        <v>78</v>
      </c>
      <c r="AB334" s="225" t="s">
        <v>78</v>
      </c>
      <c r="AC334" s="225" t="s">
        <v>78</v>
      </c>
      <c r="AD334" s="225" t="s">
        <v>78</v>
      </c>
      <c r="AE334" s="225" t="s">
        <v>78</v>
      </c>
      <c r="AF334" s="125" t="str">
        <f t="shared" si="293"/>
        <v>-</v>
      </c>
      <c r="AG334" s="127" t="str">
        <f t="shared" si="304"/>
        <v>-</v>
      </c>
      <c r="AH334" s="128"/>
      <c r="AI334" s="223" t="s">
        <v>78</v>
      </c>
      <c r="AJ334" s="131" t="str">
        <f t="shared" si="305"/>
        <v>-</v>
      </c>
      <c r="AK334" s="368" t="str">
        <f t="shared" si="324"/>
        <v>-</v>
      </c>
      <c r="AL334" s="375" t="str">
        <f t="shared" si="309"/>
        <v>-</v>
      </c>
      <c r="AM334" s="376" t="str">
        <f t="shared" si="310"/>
        <v>-</v>
      </c>
      <c r="AN334" s="394" t="s">
        <v>78</v>
      </c>
      <c r="AO334" s="395" t="s">
        <v>78</v>
      </c>
      <c r="AP334" s="396" t="str">
        <f t="shared" si="287"/>
        <v>-</v>
      </c>
      <c r="AQ334" s="397"/>
      <c r="AR334" s="401" t="s">
        <v>78</v>
      </c>
      <c r="AS334" s="396" t="str">
        <f t="shared" si="288"/>
        <v>-</v>
      </c>
      <c r="AT334" s="397"/>
      <c r="AU334" s="388" t="str">
        <f t="shared" si="311"/>
        <v>-</v>
      </c>
      <c r="AV334" s="389" t="str">
        <f t="shared" si="312"/>
        <v>-</v>
      </c>
      <c r="AW334" s="353" t="s">
        <v>78</v>
      </c>
      <c r="AX334" s="403"/>
      <c r="AY334" s="404"/>
    </row>
    <row r="335" spans="1:51" ht="15" customHeight="1">
      <c r="A335" s="1" t="str">
        <f t="shared" si="286"/>
        <v>0_2024_</v>
      </c>
      <c r="B335" s="1" t="str">
        <f t="shared" si="290"/>
        <v>0_2024_NEO3</v>
      </c>
      <c r="C335" s="114">
        <f t="shared" si="318"/>
        <v>0</v>
      </c>
      <c r="D335" s="133" t="str">
        <f>_xll.ciqfunctions.udf.CIQ(C335,"IQ_Company_Name")</f>
        <v>(Invalid Identifier)</v>
      </c>
      <c r="E335" s="114">
        <f t="shared" si="314"/>
        <v>2024</v>
      </c>
      <c r="F335" s="114" t="str">
        <f t="shared" si="299"/>
        <v>2024-01-01</v>
      </c>
      <c r="G335" s="330" t="str">
        <f t="shared" si="326"/>
        <v>2024-12-31</v>
      </c>
      <c r="H335" s="114">
        <f t="shared" si="306"/>
        <v>12</v>
      </c>
      <c r="I335" s="407" t="str">
        <f t="shared" si="300"/>
        <v>CAD</v>
      </c>
      <c r="J335" s="461">
        <f t="shared" si="292"/>
        <v>1</v>
      </c>
      <c r="K335" s="468"/>
      <c r="L335" s="464" t="s">
        <v>109</v>
      </c>
      <c r="M335" s="217" t="s">
        <v>78</v>
      </c>
      <c r="N335" s="218" t="s">
        <v>78</v>
      </c>
      <c r="O335" s="219" t="s">
        <v>78</v>
      </c>
      <c r="P335" s="125" t="str">
        <f t="shared" si="320"/>
        <v>-</v>
      </c>
      <c r="Q335" s="311" t="s">
        <v>78</v>
      </c>
      <c r="R335" s="126" t="str">
        <f t="shared" si="321"/>
        <v>-</v>
      </c>
      <c r="S335" s="221" t="s">
        <v>78</v>
      </c>
      <c r="T335" s="125" t="str">
        <f t="shared" si="322"/>
        <v>-</v>
      </c>
      <c r="U335" s="127" t="str">
        <f t="shared" si="302"/>
        <v>-</v>
      </c>
      <c r="V335" s="128" t="str">
        <f>IFERROR(AVERAGE(U335:U337),"N/A")</f>
        <v>N/A</v>
      </c>
      <c r="W335" s="223" t="s">
        <v>78</v>
      </c>
      <c r="X335" s="129" t="str">
        <f t="shared" si="303"/>
        <v>-</v>
      </c>
      <c r="Y335" s="124" t="str">
        <f t="shared" si="307"/>
        <v>-</v>
      </c>
      <c r="Z335" s="130" t="str">
        <f t="shared" si="308"/>
        <v>-</v>
      </c>
      <c r="AA335" s="221" t="s">
        <v>78</v>
      </c>
      <c r="AB335" s="225" t="s">
        <v>78</v>
      </c>
      <c r="AC335" s="225" t="s">
        <v>78</v>
      </c>
      <c r="AD335" s="225" t="s">
        <v>78</v>
      </c>
      <c r="AE335" s="225" t="s">
        <v>78</v>
      </c>
      <c r="AF335" s="125" t="str">
        <f t="shared" si="293"/>
        <v>-</v>
      </c>
      <c r="AG335" s="127" t="str">
        <f t="shared" si="304"/>
        <v>-</v>
      </c>
      <c r="AH335" s="128" t="str">
        <f>IFERROR(AVERAGE(AG335:AG337),"N/A")</f>
        <v>N/A</v>
      </c>
      <c r="AI335" s="223" t="s">
        <v>78</v>
      </c>
      <c r="AJ335" s="131" t="str">
        <f t="shared" si="305"/>
        <v>-</v>
      </c>
      <c r="AK335" s="368" t="str">
        <f t="shared" si="324"/>
        <v>-</v>
      </c>
      <c r="AL335" s="375" t="str">
        <f t="shared" si="309"/>
        <v>-</v>
      </c>
      <c r="AM335" s="376" t="str">
        <f t="shared" si="310"/>
        <v>-</v>
      </c>
      <c r="AN335" s="394" t="s">
        <v>78</v>
      </c>
      <c r="AO335" s="395" t="s">
        <v>78</v>
      </c>
      <c r="AP335" s="396" t="str">
        <f t="shared" si="287"/>
        <v>-</v>
      </c>
      <c r="AQ335" s="397" t="str">
        <f>IFERROR(AVERAGE(AP335:AP337),"N/A")</f>
        <v>N/A</v>
      </c>
      <c r="AR335" s="401" t="s">
        <v>78</v>
      </c>
      <c r="AS335" s="396" t="str">
        <f t="shared" si="288"/>
        <v>-</v>
      </c>
      <c r="AT335" s="397" t="str">
        <f>IFERROR(AVERAGE(AS335:AS337),"N/A")</f>
        <v>N/A</v>
      </c>
      <c r="AU335" s="388" t="str">
        <f t="shared" si="311"/>
        <v>-</v>
      </c>
      <c r="AV335" s="389" t="str">
        <f t="shared" si="312"/>
        <v>-</v>
      </c>
      <c r="AW335" s="353" t="s">
        <v>78</v>
      </c>
      <c r="AX335" s="403"/>
      <c r="AY335" s="404"/>
    </row>
    <row r="336" spans="1:51" ht="15" customHeight="1">
      <c r="A336" s="1" t="str">
        <f t="shared" si="286"/>
        <v>0_2023_</v>
      </c>
      <c r="B336" s="1" t="str">
        <f t="shared" si="290"/>
        <v>0_2023_NEO3</v>
      </c>
      <c r="C336" s="114">
        <f t="shared" si="318"/>
        <v>0</v>
      </c>
      <c r="D336" s="133" t="str">
        <f>_xll.ciqfunctions.udf.CIQ(C336,"IQ_Company_Name")</f>
        <v>(Invalid Identifier)</v>
      </c>
      <c r="E336" s="114">
        <f t="shared" si="314"/>
        <v>2023</v>
      </c>
      <c r="F336" s="114" t="str">
        <f t="shared" si="299"/>
        <v>2023-01-01</v>
      </c>
      <c r="G336" s="330" t="str">
        <f t="shared" si="326"/>
        <v>2023-12-31</v>
      </c>
      <c r="H336" s="114">
        <f t="shared" si="306"/>
        <v>12</v>
      </c>
      <c r="I336" s="407" t="str">
        <f t="shared" si="300"/>
        <v>CAD</v>
      </c>
      <c r="J336" s="461">
        <f t="shared" si="292"/>
        <v>1</v>
      </c>
      <c r="K336" s="468"/>
      <c r="L336" s="465" t="str">
        <f t="shared" ref="L336:N337" si="328">L335</f>
        <v>NEO3</v>
      </c>
      <c r="M336" s="123" t="str">
        <f t="shared" si="328"/>
        <v>-</v>
      </c>
      <c r="N336" s="132" t="str">
        <f t="shared" si="328"/>
        <v>-</v>
      </c>
      <c r="O336" s="219" t="s">
        <v>78</v>
      </c>
      <c r="P336" s="125" t="str">
        <f t="shared" si="320"/>
        <v>-</v>
      </c>
      <c r="Q336" s="311" t="s">
        <v>78</v>
      </c>
      <c r="R336" s="126" t="str">
        <f t="shared" si="321"/>
        <v>-</v>
      </c>
      <c r="S336" s="221" t="s">
        <v>78</v>
      </c>
      <c r="T336" s="125" t="str">
        <f t="shared" si="322"/>
        <v>-</v>
      </c>
      <c r="U336" s="127" t="str">
        <f t="shared" si="302"/>
        <v>-</v>
      </c>
      <c r="V336" s="128"/>
      <c r="W336" s="223" t="s">
        <v>78</v>
      </c>
      <c r="X336" s="129" t="str">
        <f t="shared" si="303"/>
        <v>-</v>
      </c>
      <c r="Y336" s="124" t="str">
        <f t="shared" si="307"/>
        <v>-</v>
      </c>
      <c r="Z336" s="130" t="str">
        <f t="shared" si="308"/>
        <v>-</v>
      </c>
      <c r="AA336" s="221" t="s">
        <v>78</v>
      </c>
      <c r="AB336" s="225" t="s">
        <v>78</v>
      </c>
      <c r="AC336" s="225" t="s">
        <v>78</v>
      </c>
      <c r="AD336" s="225" t="s">
        <v>78</v>
      </c>
      <c r="AE336" s="225" t="s">
        <v>78</v>
      </c>
      <c r="AF336" s="125" t="str">
        <f t="shared" si="293"/>
        <v>-</v>
      </c>
      <c r="AG336" s="127" t="str">
        <f t="shared" si="304"/>
        <v>-</v>
      </c>
      <c r="AH336" s="128"/>
      <c r="AI336" s="223" t="s">
        <v>78</v>
      </c>
      <c r="AJ336" s="131" t="str">
        <f t="shared" si="305"/>
        <v>-</v>
      </c>
      <c r="AK336" s="368" t="str">
        <f t="shared" si="324"/>
        <v>-</v>
      </c>
      <c r="AL336" s="375" t="str">
        <f t="shared" si="309"/>
        <v>-</v>
      </c>
      <c r="AM336" s="376" t="str">
        <f t="shared" si="310"/>
        <v>-</v>
      </c>
      <c r="AN336" s="394" t="s">
        <v>78</v>
      </c>
      <c r="AO336" s="395" t="s">
        <v>78</v>
      </c>
      <c r="AP336" s="396" t="str">
        <f t="shared" si="287"/>
        <v>-</v>
      </c>
      <c r="AQ336" s="397"/>
      <c r="AR336" s="401" t="s">
        <v>78</v>
      </c>
      <c r="AS336" s="396" t="str">
        <f t="shared" si="288"/>
        <v>-</v>
      </c>
      <c r="AT336" s="397"/>
      <c r="AU336" s="388" t="str">
        <f t="shared" si="311"/>
        <v>-</v>
      </c>
      <c r="AV336" s="389" t="str">
        <f t="shared" si="312"/>
        <v>-</v>
      </c>
      <c r="AW336" s="353" t="s">
        <v>78</v>
      </c>
      <c r="AX336" s="403"/>
      <c r="AY336" s="404"/>
    </row>
    <row r="337" spans="1:51" ht="15" customHeight="1">
      <c r="A337" s="1" t="str">
        <f t="shared" si="286"/>
        <v>0_2022_</v>
      </c>
      <c r="B337" s="1" t="str">
        <f t="shared" si="290"/>
        <v>0_2022_NEO3</v>
      </c>
      <c r="C337" s="203">
        <f t="shared" si="318"/>
        <v>0</v>
      </c>
      <c r="D337" s="205" t="str">
        <f>_xll.ciqfunctions.udf.CIQ(C337,"IQ_Company_Name")</f>
        <v>(Invalid Identifier)</v>
      </c>
      <c r="E337" s="204">
        <f t="shared" si="314"/>
        <v>2022</v>
      </c>
      <c r="F337" s="204" t="str">
        <f t="shared" si="299"/>
        <v>2022-01-01</v>
      </c>
      <c r="G337" s="331" t="str">
        <f t="shared" si="326"/>
        <v>2022-12-31</v>
      </c>
      <c r="H337" s="204">
        <f t="shared" si="306"/>
        <v>12</v>
      </c>
      <c r="I337" s="408" t="str">
        <f t="shared" si="300"/>
        <v>CAD</v>
      </c>
      <c r="J337" s="463">
        <f t="shared" si="292"/>
        <v>1</v>
      </c>
      <c r="K337" s="470"/>
      <c r="L337" s="466" t="str">
        <f t="shared" si="328"/>
        <v>NEO3</v>
      </c>
      <c r="M337" s="206" t="str">
        <f t="shared" si="328"/>
        <v>-</v>
      </c>
      <c r="N337" s="207" t="str">
        <f t="shared" si="328"/>
        <v>-</v>
      </c>
      <c r="O337" s="220" t="s">
        <v>78</v>
      </c>
      <c r="P337" s="209" t="str">
        <f t="shared" si="320"/>
        <v>-</v>
      </c>
      <c r="Q337" s="312" t="s">
        <v>78</v>
      </c>
      <c r="R337" s="329" t="str">
        <f t="shared" si="321"/>
        <v>-</v>
      </c>
      <c r="S337" s="222" t="s">
        <v>78</v>
      </c>
      <c r="T337" s="209" t="str">
        <f t="shared" si="322"/>
        <v>-</v>
      </c>
      <c r="U337" s="211" t="str">
        <f t="shared" si="302"/>
        <v>-</v>
      </c>
      <c r="V337" s="212"/>
      <c r="W337" s="224" t="s">
        <v>78</v>
      </c>
      <c r="X337" s="213" t="str">
        <f t="shared" si="303"/>
        <v>-</v>
      </c>
      <c r="Y337" s="208" t="str">
        <f t="shared" si="307"/>
        <v>-</v>
      </c>
      <c r="Z337" s="214" t="str">
        <f t="shared" si="308"/>
        <v>-</v>
      </c>
      <c r="AA337" s="222" t="s">
        <v>78</v>
      </c>
      <c r="AB337" s="226" t="s">
        <v>78</v>
      </c>
      <c r="AC337" s="226" t="s">
        <v>78</v>
      </c>
      <c r="AD337" s="226" t="s">
        <v>78</v>
      </c>
      <c r="AE337" s="226" t="s">
        <v>78</v>
      </c>
      <c r="AF337" s="420" t="str">
        <f t="shared" si="293"/>
        <v>-</v>
      </c>
      <c r="AG337" s="211" t="str">
        <f t="shared" si="304"/>
        <v>-</v>
      </c>
      <c r="AH337" s="212"/>
      <c r="AI337" s="224" t="s">
        <v>78</v>
      </c>
      <c r="AJ337" s="215" t="str">
        <f t="shared" si="305"/>
        <v>-</v>
      </c>
      <c r="AK337" s="369" t="str">
        <f t="shared" si="324"/>
        <v>-</v>
      </c>
      <c r="AL337" s="377" t="str">
        <f t="shared" si="309"/>
        <v>-</v>
      </c>
      <c r="AM337" s="378" t="str">
        <f t="shared" si="310"/>
        <v>-</v>
      </c>
      <c r="AN337" s="398" t="s">
        <v>78</v>
      </c>
      <c r="AO337" s="399" t="s">
        <v>78</v>
      </c>
      <c r="AP337" s="396" t="str">
        <f t="shared" si="287"/>
        <v>-</v>
      </c>
      <c r="AQ337" s="400"/>
      <c r="AR337" s="402" t="s">
        <v>78</v>
      </c>
      <c r="AS337" s="396" t="str">
        <f t="shared" si="288"/>
        <v>-</v>
      </c>
      <c r="AT337" s="400"/>
      <c r="AU337" s="390" t="str">
        <f t="shared" si="311"/>
        <v>-</v>
      </c>
      <c r="AV337" s="391" t="str">
        <f t="shared" si="312"/>
        <v>-</v>
      </c>
      <c r="AW337" s="354" t="s">
        <v>78</v>
      </c>
      <c r="AX337" s="405"/>
      <c r="AY337" s="406"/>
    </row>
    <row r="338" spans="1:51" ht="15" customHeight="1">
      <c r="A338" s="1" t="str">
        <f t="shared" si="286"/>
        <v>0_2024_</v>
      </c>
      <c r="B338" s="1" t="str">
        <f t="shared" si="290"/>
        <v>0_2024_CEO</v>
      </c>
      <c r="C338" s="216">
        <f>D23</f>
        <v>0</v>
      </c>
      <c r="D338" s="133" t="str">
        <f>_xll.ciqfunctions.udf.CIQ(C338,"IQ_Company_Name")</f>
        <v>(Invalid Identifier)</v>
      </c>
      <c r="E338" s="328">
        <f>$F$9</f>
        <v>2024</v>
      </c>
      <c r="F338" s="330" t="str">
        <f t="shared" si="299"/>
        <v>2024-01-01</v>
      </c>
      <c r="G338" s="330" t="str">
        <f t="shared" si="326"/>
        <v>2024-12-31</v>
      </c>
      <c r="H338" s="114">
        <f t="shared" si="306"/>
        <v>12</v>
      </c>
      <c r="I338" s="328" t="str">
        <f>$G$5</f>
        <v>CAD</v>
      </c>
      <c r="J338" s="461">
        <f t="shared" si="292"/>
        <v>1</v>
      </c>
      <c r="K338" s="468"/>
      <c r="L338" s="464" t="s">
        <v>79</v>
      </c>
      <c r="M338" s="217" t="s">
        <v>78</v>
      </c>
      <c r="N338" s="218" t="s">
        <v>78</v>
      </c>
      <c r="O338" s="219" t="s">
        <v>78</v>
      </c>
      <c r="P338" s="125" t="str">
        <f t="shared" si="320"/>
        <v>-</v>
      </c>
      <c r="Q338" s="311" t="s">
        <v>78</v>
      </c>
      <c r="R338" s="126" t="str">
        <f t="shared" si="321"/>
        <v>-</v>
      </c>
      <c r="S338" s="221" t="s">
        <v>78</v>
      </c>
      <c r="T338" s="125" t="str">
        <f t="shared" si="322"/>
        <v>-</v>
      </c>
      <c r="U338" s="127" t="str">
        <f t="shared" si="302"/>
        <v>-</v>
      </c>
      <c r="V338" s="128" t="str">
        <f>IFERROR(AVERAGE(U338:U340),"N/A")</f>
        <v>N/A</v>
      </c>
      <c r="W338" s="223" t="s">
        <v>78</v>
      </c>
      <c r="X338" s="129" t="str">
        <f t="shared" si="303"/>
        <v>-</v>
      </c>
      <c r="Y338" s="124" t="str">
        <f t="shared" si="307"/>
        <v>-</v>
      </c>
      <c r="Z338" s="130" t="str">
        <f t="shared" si="308"/>
        <v>-</v>
      </c>
      <c r="AA338" s="221" t="s">
        <v>78</v>
      </c>
      <c r="AB338" s="225" t="s">
        <v>78</v>
      </c>
      <c r="AC338" s="225" t="s">
        <v>78</v>
      </c>
      <c r="AD338" s="225" t="s">
        <v>78</v>
      </c>
      <c r="AE338" s="225" t="s">
        <v>78</v>
      </c>
      <c r="AF338" s="125" t="str">
        <f t="shared" si="293"/>
        <v>-</v>
      </c>
      <c r="AG338" s="127" t="str">
        <f t="shared" si="304"/>
        <v>-</v>
      </c>
      <c r="AH338" s="128" t="str">
        <f>IFERROR(AVERAGE(AG338:AG340),"N/A")</f>
        <v>N/A</v>
      </c>
      <c r="AI338" s="223" t="s">
        <v>78</v>
      </c>
      <c r="AJ338" s="131" t="str">
        <f t="shared" si="305"/>
        <v>-</v>
      </c>
      <c r="AK338" s="368" t="str">
        <f t="shared" si="324"/>
        <v>-</v>
      </c>
      <c r="AL338" s="375" t="str">
        <f t="shared" si="309"/>
        <v>-</v>
      </c>
      <c r="AM338" s="376" t="str">
        <f t="shared" si="310"/>
        <v>-</v>
      </c>
      <c r="AN338" s="394" t="s">
        <v>78</v>
      </c>
      <c r="AO338" s="395" t="s">
        <v>78</v>
      </c>
      <c r="AP338" s="396" t="str">
        <f t="shared" si="287"/>
        <v>-</v>
      </c>
      <c r="AQ338" s="409" t="str">
        <f>IFERROR(AVERAGE(AP338:AP340),"N/A")</f>
        <v>N/A</v>
      </c>
      <c r="AR338" s="401" t="s">
        <v>78</v>
      </c>
      <c r="AS338" s="396" t="str">
        <f t="shared" si="288"/>
        <v>-</v>
      </c>
      <c r="AT338" s="409" t="str">
        <f>IFERROR(AVERAGE(AS338:AS340),"N/A")</f>
        <v>N/A</v>
      </c>
      <c r="AU338" s="388" t="str">
        <f t="shared" si="311"/>
        <v>-</v>
      </c>
      <c r="AV338" s="389" t="str">
        <f t="shared" si="312"/>
        <v>-</v>
      </c>
      <c r="AW338" s="353" t="s">
        <v>78</v>
      </c>
      <c r="AX338" s="403"/>
      <c r="AY338" s="404"/>
    </row>
    <row r="339" spans="1:51" ht="15" customHeight="1">
      <c r="A339" s="1" t="str">
        <f t="shared" si="286"/>
        <v>0_2023_</v>
      </c>
      <c r="B339" s="1" t="str">
        <f t="shared" si="290"/>
        <v>0_2023_CEO</v>
      </c>
      <c r="C339" s="114">
        <f>C338</f>
        <v>0</v>
      </c>
      <c r="D339" s="133" t="str">
        <f>_xll.ciqfunctions.udf.CIQ(C339,"IQ_Company_Name")</f>
        <v>(Invalid Identifier)</v>
      </c>
      <c r="E339" s="328">
        <f>$F$10</f>
        <v>2023</v>
      </c>
      <c r="F339" s="330" t="str">
        <f t="shared" si="299"/>
        <v>2023-01-01</v>
      </c>
      <c r="G339" s="330" t="str">
        <f t="shared" si="326"/>
        <v>2023-12-31</v>
      </c>
      <c r="H339" s="114">
        <f t="shared" si="306"/>
        <v>12</v>
      </c>
      <c r="I339" s="407" t="str">
        <f>I338</f>
        <v>CAD</v>
      </c>
      <c r="J339" s="461">
        <f t="shared" si="292"/>
        <v>1</v>
      </c>
      <c r="K339" s="468"/>
      <c r="L339" s="465" t="str">
        <f t="shared" ref="L339:N340" si="329">L338</f>
        <v>CEO</v>
      </c>
      <c r="M339" s="123" t="str">
        <f t="shared" si="329"/>
        <v>-</v>
      </c>
      <c r="N339" s="132" t="str">
        <f t="shared" si="329"/>
        <v>-</v>
      </c>
      <c r="O339" s="219" t="s">
        <v>78</v>
      </c>
      <c r="P339" s="125" t="str">
        <f t="shared" si="320"/>
        <v>-</v>
      </c>
      <c r="Q339" s="311" t="s">
        <v>78</v>
      </c>
      <c r="R339" s="126" t="str">
        <f t="shared" si="321"/>
        <v>-</v>
      </c>
      <c r="S339" s="221" t="s">
        <v>78</v>
      </c>
      <c r="T339" s="125" t="str">
        <f t="shared" si="322"/>
        <v>-</v>
      </c>
      <c r="U339" s="127" t="str">
        <f t="shared" si="302"/>
        <v>-</v>
      </c>
      <c r="V339" s="128"/>
      <c r="W339" s="223" t="s">
        <v>78</v>
      </c>
      <c r="X339" s="129" t="str">
        <f t="shared" si="303"/>
        <v>-</v>
      </c>
      <c r="Y339" s="124" t="str">
        <f t="shared" si="307"/>
        <v>-</v>
      </c>
      <c r="Z339" s="130" t="str">
        <f t="shared" si="308"/>
        <v>-</v>
      </c>
      <c r="AA339" s="221" t="s">
        <v>78</v>
      </c>
      <c r="AB339" s="225" t="s">
        <v>78</v>
      </c>
      <c r="AC339" s="225" t="s">
        <v>78</v>
      </c>
      <c r="AD339" s="225" t="s">
        <v>78</v>
      </c>
      <c r="AE339" s="225" t="s">
        <v>78</v>
      </c>
      <c r="AF339" s="125" t="str">
        <f t="shared" si="293"/>
        <v>-</v>
      </c>
      <c r="AG339" s="127" t="str">
        <f t="shared" si="304"/>
        <v>-</v>
      </c>
      <c r="AH339" s="128"/>
      <c r="AI339" s="223" t="s">
        <v>78</v>
      </c>
      <c r="AJ339" s="131" t="str">
        <f t="shared" si="305"/>
        <v>-</v>
      </c>
      <c r="AK339" s="368" t="str">
        <f t="shared" si="324"/>
        <v>-</v>
      </c>
      <c r="AL339" s="375" t="str">
        <f t="shared" si="309"/>
        <v>-</v>
      </c>
      <c r="AM339" s="376" t="str">
        <f t="shared" si="310"/>
        <v>-</v>
      </c>
      <c r="AN339" s="394" t="s">
        <v>78</v>
      </c>
      <c r="AO339" s="395" t="s">
        <v>78</v>
      </c>
      <c r="AP339" s="396" t="str">
        <f t="shared" si="287"/>
        <v>-</v>
      </c>
      <c r="AQ339" s="397"/>
      <c r="AR339" s="401" t="s">
        <v>78</v>
      </c>
      <c r="AS339" s="396" t="str">
        <f t="shared" si="288"/>
        <v>-</v>
      </c>
      <c r="AT339" s="397"/>
      <c r="AU339" s="388" t="str">
        <f t="shared" si="311"/>
        <v>-</v>
      </c>
      <c r="AV339" s="389" t="str">
        <f t="shared" si="312"/>
        <v>-</v>
      </c>
      <c r="AW339" s="353" t="s">
        <v>78</v>
      </c>
      <c r="AX339" s="403"/>
      <c r="AY339" s="404"/>
    </row>
    <row r="340" spans="1:51" ht="15" customHeight="1">
      <c r="A340" s="1" t="str">
        <f t="shared" si="286"/>
        <v>0_2022_</v>
      </c>
      <c r="B340" s="1" t="str">
        <f t="shared" si="290"/>
        <v>0_2022_CEO</v>
      </c>
      <c r="C340" s="114">
        <f t="shared" si="318"/>
        <v>0</v>
      </c>
      <c r="D340" s="133" t="str">
        <f>_xll.ciqfunctions.udf.CIQ(C340,"IQ_Company_Name")</f>
        <v>(Invalid Identifier)</v>
      </c>
      <c r="E340" s="328">
        <f>$F$11</f>
        <v>2022</v>
      </c>
      <c r="F340" s="114" t="str">
        <f t="shared" si="299"/>
        <v>2022-01-01</v>
      </c>
      <c r="G340" s="330" t="str">
        <f t="shared" si="326"/>
        <v>2022-12-31</v>
      </c>
      <c r="H340" s="114">
        <f t="shared" si="306"/>
        <v>12</v>
      </c>
      <c r="I340" s="407" t="str">
        <f>I339</f>
        <v>CAD</v>
      </c>
      <c r="J340" s="461">
        <f t="shared" si="292"/>
        <v>1</v>
      </c>
      <c r="K340" s="468"/>
      <c r="L340" s="465" t="str">
        <f t="shared" si="329"/>
        <v>CEO</v>
      </c>
      <c r="M340" s="123" t="str">
        <f t="shared" si="329"/>
        <v>-</v>
      </c>
      <c r="N340" s="132" t="str">
        <f t="shared" si="329"/>
        <v>-</v>
      </c>
      <c r="O340" s="219" t="s">
        <v>78</v>
      </c>
      <c r="P340" s="125" t="str">
        <f t="shared" si="320"/>
        <v>-</v>
      </c>
      <c r="Q340" s="311" t="s">
        <v>78</v>
      </c>
      <c r="R340" s="126" t="str">
        <f t="shared" si="321"/>
        <v>-</v>
      </c>
      <c r="S340" s="221" t="s">
        <v>78</v>
      </c>
      <c r="T340" s="125" t="str">
        <f t="shared" si="322"/>
        <v>-</v>
      </c>
      <c r="U340" s="127" t="str">
        <f t="shared" si="302"/>
        <v>-</v>
      </c>
      <c r="V340" s="128"/>
      <c r="W340" s="223" t="s">
        <v>78</v>
      </c>
      <c r="X340" s="129" t="str">
        <f t="shared" si="303"/>
        <v>-</v>
      </c>
      <c r="Y340" s="124" t="str">
        <f t="shared" si="307"/>
        <v>-</v>
      </c>
      <c r="Z340" s="130" t="str">
        <f t="shared" si="308"/>
        <v>-</v>
      </c>
      <c r="AA340" s="221" t="s">
        <v>78</v>
      </c>
      <c r="AB340" s="225" t="s">
        <v>78</v>
      </c>
      <c r="AC340" s="225" t="s">
        <v>78</v>
      </c>
      <c r="AD340" s="225" t="s">
        <v>78</v>
      </c>
      <c r="AE340" s="225" t="s">
        <v>78</v>
      </c>
      <c r="AF340" s="125" t="str">
        <f t="shared" si="293"/>
        <v>-</v>
      </c>
      <c r="AG340" s="127" t="str">
        <f t="shared" si="304"/>
        <v>-</v>
      </c>
      <c r="AH340" s="128"/>
      <c r="AI340" s="223" t="s">
        <v>78</v>
      </c>
      <c r="AJ340" s="131" t="str">
        <f t="shared" si="305"/>
        <v>-</v>
      </c>
      <c r="AK340" s="368" t="str">
        <f t="shared" si="324"/>
        <v>-</v>
      </c>
      <c r="AL340" s="375" t="str">
        <f t="shared" si="309"/>
        <v>-</v>
      </c>
      <c r="AM340" s="376" t="str">
        <f t="shared" si="310"/>
        <v>-</v>
      </c>
      <c r="AN340" s="394" t="s">
        <v>78</v>
      </c>
      <c r="AO340" s="395" t="s">
        <v>78</v>
      </c>
      <c r="AP340" s="396" t="str">
        <f t="shared" si="287"/>
        <v>-</v>
      </c>
      <c r="AQ340" s="397"/>
      <c r="AR340" s="401" t="s">
        <v>78</v>
      </c>
      <c r="AS340" s="396" t="str">
        <f t="shared" si="288"/>
        <v>-</v>
      </c>
      <c r="AT340" s="397"/>
      <c r="AU340" s="388" t="str">
        <f t="shared" si="311"/>
        <v>-</v>
      </c>
      <c r="AV340" s="389" t="str">
        <f t="shared" si="312"/>
        <v>-</v>
      </c>
      <c r="AW340" s="353" t="s">
        <v>78</v>
      </c>
      <c r="AX340" s="403"/>
      <c r="AY340" s="404"/>
    </row>
    <row r="341" spans="1:51" ht="15" customHeight="1">
      <c r="A341" s="1" t="str">
        <f t="shared" si="286"/>
        <v>0_2024_</v>
      </c>
      <c r="B341" s="1" t="str">
        <f t="shared" si="290"/>
        <v>0_2024_CFO</v>
      </c>
      <c r="C341" s="114">
        <f t="shared" si="318"/>
        <v>0</v>
      </c>
      <c r="D341" s="133" t="str">
        <f>_xll.ciqfunctions.udf.CIQ(C341,"IQ_Company_Name")</f>
        <v>(Invalid Identifier)</v>
      </c>
      <c r="E341" s="114">
        <f t="shared" si="314"/>
        <v>2024</v>
      </c>
      <c r="F341" s="114" t="str">
        <f t="shared" si="299"/>
        <v>2024-01-01</v>
      </c>
      <c r="G341" s="330" t="str">
        <f t="shared" si="326"/>
        <v>2024-12-31</v>
      </c>
      <c r="H341" s="114">
        <f t="shared" si="306"/>
        <v>12</v>
      </c>
      <c r="I341" s="407" t="str">
        <f>I340</f>
        <v>CAD</v>
      </c>
      <c r="J341" s="461">
        <f t="shared" si="292"/>
        <v>1</v>
      </c>
      <c r="K341" s="468"/>
      <c r="L341" s="464" t="s">
        <v>106</v>
      </c>
      <c r="M341" s="217" t="s">
        <v>78</v>
      </c>
      <c r="N341" s="218" t="s">
        <v>78</v>
      </c>
      <c r="O341" s="219" t="s">
        <v>78</v>
      </c>
      <c r="P341" s="125" t="str">
        <f t="shared" si="320"/>
        <v>-</v>
      </c>
      <c r="Q341" s="311" t="s">
        <v>78</v>
      </c>
      <c r="R341" s="126" t="str">
        <f t="shared" si="321"/>
        <v>-</v>
      </c>
      <c r="S341" s="221" t="s">
        <v>78</v>
      </c>
      <c r="T341" s="125" t="str">
        <f t="shared" si="322"/>
        <v>-</v>
      </c>
      <c r="U341" s="127" t="str">
        <f t="shared" si="302"/>
        <v>-</v>
      </c>
      <c r="V341" s="128" t="str">
        <f>IFERROR(AVERAGE(U341:U343),"N/A")</f>
        <v>N/A</v>
      </c>
      <c r="W341" s="223" t="s">
        <v>78</v>
      </c>
      <c r="X341" s="129" t="str">
        <f t="shared" si="303"/>
        <v>-</v>
      </c>
      <c r="Y341" s="124" t="str">
        <f t="shared" si="307"/>
        <v>-</v>
      </c>
      <c r="Z341" s="130" t="str">
        <f t="shared" si="308"/>
        <v>-</v>
      </c>
      <c r="AA341" s="221" t="s">
        <v>78</v>
      </c>
      <c r="AB341" s="225" t="s">
        <v>78</v>
      </c>
      <c r="AC341" s="225" t="s">
        <v>78</v>
      </c>
      <c r="AD341" s="225" t="s">
        <v>78</v>
      </c>
      <c r="AE341" s="225" t="s">
        <v>78</v>
      </c>
      <c r="AF341" s="125" t="str">
        <f t="shared" si="293"/>
        <v>-</v>
      </c>
      <c r="AG341" s="127" t="str">
        <f t="shared" si="304"/>
        <v>-</v>
      </c>
      <c r="AH341" s="128" t="str">
        <f>IFERROR(AVERAGE(AG341:AG343),"N/A")</f>
        <v>N/A</v>
      </c>
      <c r="AI341" s="223" t="s">
        <v>78</v>
      </c>
      <c r="AJ341" s="131" t="str">
        <f t="shared" si="305"/>
        <v>-</v>
      </c>
      <c r="AK341" s="368" t="str">
        <f t="shared" si="324"/>
        <v>-</v>
      </c>
      <c r="AL341" s="375" t="str">
        <f t="shared" si="309"/>
        <v>-</v>
      </c>
      <c r="AM341" s="376" t="str">
        <f t="shared" si="310"/>
        <v>-</v>
      </c>
      <c r="AN341" s="394" t="s">
        <v>78</v>
      </c>
      <c r="AO341" s="395" t="s">
        <v>78</v>
      </c>
      <c r="AP341" s="396" t="str">
        <f t="shared" si="287"/>
        <v>-</v>
      </c>
      <c r="AQ341" s="397" t="str">
        <f>IFERROR(AVERAGE(AP341:AP343),"N/A")</f>
        <v>N/A</v>
      </c>
      <c r="AR341" s="401" t="s">
        <v>78</v>
      </c>
      <c r="AS341" s="396" t="str">
        <f t="shared" si="288"/>
        <v>-</v>
      </c>
      <c r="AT341" s="397" t="str">
        <f>IFERROR(AVERAGE(AS341:AS343),"N/A")</f>
        <v>N/A</v>
      </c>
      <c r="AU341" s="388" t="str">
        <f t="shared" si="311"/>
        <v>-</v>
      </c>
      <c r="AV341" s="389" t="str">
        <f t="shared" si="312"/>
        <v>-</v>
      </c>
      <c r="AW341" s="353" t="s">
        <v>78</v>
      </c>
      <c r="AX341" s="403"/>
      <c r="AY341" s="404"/>
    </row>
    <row r="342" spans="1:51" ht="15" customHeight="1">
      <c r="A342" s="1" t="str">
        <f t="shared" si="286"/>
        <v>0_2023_</v>
      </c>
      <c r="B342" s="1" t="str">
        <f t="shared" si="290"/>
        <v>0_2023_CFO</v>
      </c>
      <c r="C342" s="114">
        <f t="shared" si="318"/>
        <v>0</v>
      </c>
      <c r="D342" s="133" t="str">
        <f>_xll.ciqfunctions.udf.CIQ(C342,"IQ_Company_Name")</f>
        <v>(Invalid Identifier)</v>
      </c>
      <c r="E342" s="114">
        <f t="shared" si="314"/>
        <v>2023</v>
      </c>
      <c r="F342" s="114" t="str">
        <f t="shared" si="299"/>
        <v>2023-01-01</v>
      </c>
      <c r="G342" s="330" t="str">
        <f t="shared" si="326"/>
        <v>2023-12-31</v>
      </c>
      <c r="H342" s="114">
        <f t="shared" si="306"/>
        <v>12</v>
      </c>
      <c r="I342" s="407" t="str">
        <f>I341</f>
        <v>CAD</v>
      </c>
      <c r="J342" s="461">
        <f t="shared" si="292"/>
        <v>1</v>
      </c>
      <c r="K342" s="468"/>
      <c r="L342" s="465" t="str">
        <f t="shared" ref="L342:N343" si="330">L341</f>
        <v>CFO</v>
      </c>
      <c r="M342" s="123" t="str">
        <f t="shared" si="330"/>
        <v>-</v>
      </c>
      <c r="N342" s="132" t="str">
        <f t="shared" si="330"/>
        <v>-</v>
      </c>
      <c r="O342" s="219" t="s">
        <v>78</v>
      </c>
      <c r="P342" s="125" t="str">
        <f t="shared" si="320"/>
        <v>-</v>
      </c>
      <c r="Q342" s="311" t="s">
        <v>78</v>
      </c>
      <c r="R342" s="126" t="str">
        <f t="shared" si="321"/>
        <v>-</v>
      </c>
      <c r="S342" s="221" t="s">
        <v>78</v>
      </c>
      <c r="T342" s="125" t="str">
        <f t="shared" si="322"/>
        <v>-</v>
      </c>
      <c r="U342" s="127" t="str">
        <f t="shared" si="302"/>
        <v>-</v>
      </c>
      <c r="V342" s="128"/>
      <c r="W342" s="223" t="s">
        <v>78</v>
      </c>
      <c r="X342" s="129" t="str">
        <f t="shared" si="303"/>
        <v>-</v>
      </c>
      <c r="Y342" s="124" t="str">
        <f t="shared" si="307"/>
        <v>-</v>
      </c>
      <c r="Z342" s="130" t="str">
        <f t="shared" si="308"/>
        <v>-</v>
      </c>
      <c r="AA342" s="221" t="s">
        <v>78</v>
      </c>
      <c r="AB342" s="225" t="s">
        <v>78</v>
      </c>
      <c r="AC342" s="225" t="s">
        <v>78</v>
      </c>
      <c r="AD342" s="225" t="s">
        <v>78</v>
      </c>
      <c r="AE342" s="225" t="s">
        <v>78</v>
      </c>
      <c r="AF342" s="125" t="str">
        <f t="shared" si="293"/>
        <v>-</v>
      </c>
      <c r="AG342" s="127" t="str">
        <f t="shared" si="304"/>
        <v>-</v>
      </c>
      <c r="AH342" s="128"/>
      <c r="AI342" s="223" t="s">
        <v>78</v>
      </c>
      <c r="AJ342" s="131" t="str">
        <f t="shared" si="305"/>
        <v>-</v>
      </c>
      <c r="AK342" s="368" t="str">
        <f t="shared" si="324"/>
        <v>-</v>
      </c>
      <c r="AL342" s="375" t="str">
        <f t="shared" si="309"/>
        <v>-</v>
      </c>
      <c r="AM342" s="376" t="str">
        <f t="shared" si="310"/>
        <v>-</v>
      </c>
      <c r="AN342" s="394" t="s">
        <v>78</v>
      </c>
      <c r="AO342" s="395" t="s">
        <v>78</v>
      </c>
      <c r="AP342" s="396" t="str">
        <f t="shared" si="287"/>
        <v>-</v>
      </c>
      <c r="AQ342" s="397"/>
      <c r="AR342" s="401" t="s">
        <v>78</v>
      </c>
      <c r="AS342" s="396" t="str">
        <f t="shared" si="288"/>
        <v>-</v>
      </c>
      <c r="AT342" s="397"/>
      <c r="AU342" s="388" t="str">
        <f t="shared" si="311"/>
        <v>-</v>
      </c>
      <c r="AV342" s="389" t="str">
        <f t="shared" si="312"/>
        <v>-</v>
      </c>
      <c r="AW342" s="353" t="s">
        <v>78</v>
      </c>
      <c r="AX342" s="403"/>
      <c r="AY342" s="404"/>
    </row>
    <row r="343" spans="1:51" ht="15" customHeight="1">
      <c r="A343" s="1" t="str">
        <f t="shared" si="286"/>
        <v>0_2022_</v>
      </c>
      <c r="B343" s="1" t="str">
        <f t="shared" si="290"/>
        <v>0_2022_CFO</v>
      </c>
      <c r="C343" s="114">
        <f t="shared" si="318"/>
        <v>0</v>
      </c>
      <c r="D343" s="133" t="str">
        <f>_xll.ciqfunctions.udf.CIQ(C343,"IQ_Company_Name")</f>
        <v>(Invalid Identifier)</v>
      </c>
      <c r="E343" s="114">
        <f t="shared" si="314"/>
        <v>2022</v>
      </c>
      <c r="F343" s="114" t="str">
        <f t="shared" si="299"/>
        <v>2022-01-01</v>
      </c>
      <c r="G343" s="330" t="str">
        <f t="shared" si="326"/>
        <v>2022-12-31</v>
      </c>
      <c r="H343" s="114">
        <f t="shared" si="306"/>
        <v>12</v>
      </c>
      <c r="I343" s="407" t="str">
        <f t="shared" si="300"/>
        <v>CAD</v>
      </c>
      <c r="J343" s="461">
        <f t="shared" si="292"/>
        <v>1</v>
      </c>
      <c r="K343" s="468"/>
      <c r="L343" s="465" t="str">
        <f t="shared" si="330"/>
        <v>CFO</v>
      </c>
      <c r="M343" s="123" t="str">
        <f t="shared" si="330"/>
        <v>-</v>
      </c>
      <c r="N343" s="132" t="str">
        <f t="shared" si="330"/>
        <v>-</v>
      </c>
      <c r="O343" s="219" t="s">
        <v>78</v>
      </c>
      <c r="P343" s="125" t="str">
        <f t="shared" si="320"/>
        <v>-</v>
      </c>
      <c r="Q343" s="311" t="s">
        <v>78</v>
      </c>
      <c r="R343" s="126" t="str">
        <f t="shared" si="321"/>
        <v>-</v>
      </c>
      <c r="S343" s="221" t="s">
        <v>78</v>
      </c>
      <c r="T343" s="125" t="str">
        <f t="shared" si="322"/>
        <v>-</v>
      </c>
      <c r="U343" s="127" t="str">
        <f t="shared" si="302"/>
        <v>-</v>
      </c>
      <c r="V343" s="128"/>
      <c r="W343" s="223" t="s">
        <v>78</v>
      </c>
      <c r="X343" s="129" t="str">
        <f t="shared" si="303"/>
        <v>-</v>
      </c>
      <c r="Y343" s="124" t="str">
        <f t="shared" si="307"/>
        <v>-</v>
      </c>
      <c r="Z343" s="130" t="str">
        <f t="shared" si="308"/>
        <v>-</v>
      </c>
      <c r="AA343" s="221" t="s">
        <v>78</v>
      </c>
      <c r="AB343" s="225" t="s">
        <v>78</v>
      </c>
      <c r="AC343" s="225" t="s">
        <v>78</v>
      </c>
      <c r="AD343" s="225" t="s">
        <v>78</v>
      </c>
      <c r="AE343" s="225" t="s">
        <v>78</v>
      </c>
      <c r="AF343" s="125" t="str">
        <f t="shared" si="293"/>
        <v>-</v>
      </c>
      <c r="AG343" s="127" t="str">
        <f t="shared" si="304"/>
        <v>-</v>
      </c>
      <c r="AH343" s="128"/>
      <c r="AI343" s="223" t="s">
        <v>78</v>
      </c>
      <c r="AJ343" s="131" t="str">
        <f t="shared" si="305"/>
        <v>-</v>
      </c>
      <c r="AK343" s="368" t="str">
        <f t="shared" si="324"/>
        <v>-</v>
      </c>
      <c r="AL343" s="375" t="str">
        <f t="shared" si="309"/>
        <v>-</v>
      </c>
      <c r="AM343" s="376" t="str">
        <f t="shared" si="310"/>
        <v>-</v>
      </c>
      <c r="AN343" s="394" t="s">
        <v>78</v>
      </c>
      <c r="AO343" s="395" t="s">
        <v>78</v>
      </c>
      <c r="AP343" s="396" t="str">
        <f t="shared" si="287"/>
        <v>-</v>
      </c>
      <c r="AQ343" s="397"/>
      <c r="AR343" s="401" t="s">
        <v>78</v>
      </c>
      <c r="AS343" s="396" t="str">
        <f t="shared" si="288"/>
        <v>-</v>
      </c>
      <c r="AT343" s="397"/>
      <c r="AU343" s="388" t="str">
        <f t="shared" si="311"/>
        <v>-</v>
      </c>
      <c r="AV343" s="389" t="str">
        <f t="shared" si="312"/>
        <v>-</v>
      </c>
      <c r="AW343" s="353" t="s">
        <v>78</v>
      </c>
      <c r="AX343" s="403"/>
      <c r="AY343" s="404"/>
    </row>
    <row r="344" spans="1:51" ht="15" customHeight="1">
      <c r="A344" s="1" t="str">
        <f t="shared" si="286"/>
        <v>0_2024_</v>
      </c>
      <c r="B344" s="1" t="str">
        <f t="shared" si="290"/>
        <v>0_2024_NEO1</v>
      </c>
      <c r="C344" s="114">
        <f t="shared" si="318"/>
        <v>0</v>
      </c>
      <c r="D344" s="133" t="str">
        <f>_xll.ciqfunctions.udf.CIQ(C344,"IQ_Company_Name")</f>
        <v>(Invalid Identifier)</v>
      </c>
      <c r="E344" s="114">
        <f t="shared" si="314"/>
        <v>2024</v>
      </c>
      <c r="F344" s="330" t="str">
        <f t="shared" si="299"/>
        <v>2024-01-01</v>
      </c>
      <c r="G344" s="330" t="str">
        <f t="shared" si="326"/>
        <v>2024-12-31</v>
      </c>
      <c r="H344" s="114">
        <f t="shared" si="306"/>
        <v>12</v>
      </c>
      <c r="I344" s="407" t="str">
        <f t="shared" si="300"/>
        <v>CAD</v>
      </c>
      <c r="J344" s="461">
        <f t="shared" si="292"/>
        <v>1</v>
      </c>
      <c r="K344" s="468"/>
      <c r="L344" s="464" t="s">
        <v>107</v>
      </c>
      <c r="M344" s="217" t="s">
        <v>78</v>
      </c>
      <c r="N344" s="218" t="s">
        <v>78</v>
      </c>
      <c r="O344" s="219" t="s">
        <v>78</v>
      </c>
      <c r="P344" s="125" t="str">
        <f t="shared" si="320"/>
        <v>-</v>
      </c>
      <c r="Q344" s="311" t="s">
        <v>78</v>
      </c>
      <c r="R344" s="126" t="str">
        <f t="shared" si="321"/>
        <v>-</v>
      </c>
      <c r="S344" s="221" t="s">
        <v>78</v>
      </c>
      <c r="T344" s="125" t="str">
        <f t="shared" si="322"/>
        <v>-</v>
      </c>
      <c r="U344" s="127" t="str">
        <f t="shared" si="302"/>
        <v>-</v>
      </c>
      <c r="V344" s="128" t="str">
        <f>IFERROR(AVERAGE(U344:U346),"N/A")</f>
        <v>N/A</v>
      </c>
      <c r="W344" s="223" t="s">
        <v>78</v>
      </c>
      <c r="X344" s="129" t="str">
        <f t="shared" si="303"/>
        <v>-</v>
      </c>
      <c r="Y344" s="124" t="str">
        <f t="shared" si="307"/>
        <v>-</v>
      </c>
      <c r="Z344" s="130" t="str">
        <f t="shared" si="308"/>
        <v>-</v>
      </c>
      <c r="AA344" s="221" t="s">
        <v>78</v>
      </c>
      <c r="AB344" s="225" t="s">
        <v>78</v>
      </c>
      <c r="AC344" s="225" t="s">
        <v>78</v>
      </c>
      <c r="AD344" s="225" t="s">
        <v>78</v>
      </c>
      <c r="AE344" s="225" t="s">
        <v>78</v>
      </c>
      <c r="AF344" s="125" t="str">
        <f t="shared" si="293"/>
        <v>-</v>
      </c>
      <c r="AG344" s="127" t="str">
        <f t="shared" si="304"/>
        <v>-</v>
      </c>
      <c r="AH344" s="128" t="str">
        <f>IFERROR(AVERAGE(AG344:AG346),"N/A")</f>
        <v>N/A</v>
      </c>
      <c r="AI344" s="223" t="s">
        <v>78</v>
      </c>
      <c r="AJ344" s="131" t="str">
        <f t="shared" si="305"/>
        <v>-</v>
      </c>
      <c r="AK344" s="368" t="str">
        <f t="shared" si="324"/>
        <v>-</v>
      </c>
      <c r="AL344" s="375" t="str">
        <f t="shared" si="309"/>
        <v>-</v>
      </c>
      <c r="AM344" s="376" t="str">
        <f t="shared" si="310"/>
        <v>-</v>
      </c>
      <c r="AN344" s="394" t="s">
        <v>78</v>
      </c>
      <c r="AO344" s="395" t="s">
        <v>78</v>
      </c>
      <c r="AP344" s="396" t="str">
        <f t="shared" si="287"/>
        <v>-</v>
      </c>
      <c r="AQ344" s="397" t="str">
        <f>IFERROR(AVERAGE(AP344:AP346),"N/A")</f>
        <v>N/A</v>
      </c>
      <c r="AR344" s="401" t="s">
        <v>78</v>
      </c>
      <c r="AS344" s="396" t="str">
        <f t="shared" si="288"/>
        <v>-</v>
      </c>
      <c r="AT344" s="397" t="str">
        <f>IFERROR(AVERAGE(AS344:AS346),"N/A")</f>
        <v>N/A</v>
      </c>
      <c r="AU344" s="388" t="str">
        <f t="shared" si="311"/>
        <v>-</v>
      </c>
      <c r="AV344" s="389" t="str">
        <f t="shared" si="312"/>
        <v>-</v>
      </c>
      <c r="AW344" s="353" t="s">
        <v>78</v>
      </c>
      <c r="AX344" s="403"/>
      <c r="AY344" s="404"/>
    </row>
    <row r="345" spans="1:51" ht="15" customHeight="1">
      <c r="A345" s="1" t="str">
        <f t="shared" si="286"/>
        <v>0_2023_</v>
      </c>
      <c r="B345" s="1" t="str">
        <f t="shared" si="290"/>
        <v>0_2023_NEO1</v>
      </c>
      <c r="C345" s="114">
        <f t="shared" si="318"/>
        <v>0</v>
      </c>
      <c r="D345" s="133" t="str">
        <f>_xll.ciqfunctions.udf.CIQ(C345,"IQ_Company_Name")</f>
        <v>(Invalid Identifier)</v>
      </c>
      <c r="E345" s="114">
        <f t="shared" si="314"/>
        <v>2023</v>
      </c>
      <c r="F345" s="330" t="str">
        <f t="shared" si="299"/>
        <v>2023-01-01</v>
      </c>
      <c r="G345" s="330" t="str">
        <f t="shared" si="326"/>
        <v>2023-12-31</v>
      </c>
      <c r="H345" s="114">
        <f t="shared" si="306"/>
        <v>12</v>
      </c>
      <c r="I345" s="407" t="str">
        <f t="shared" si="300"/>
        <v>CAD</v>
      </c>
      <c r="J345" s="461">
        <f t="shared" si="292"/>
        <v>1</v>
      </c>
      <c r="K345" s="468"/>
      <c r="L345" s="465" t="str">
        <f t="shared" ref="L345:N346" si="331">L344</f>
        <v>NEO1</v>
      </c>
      <c r="M345" s="123" t="str">
        <f t="shared" si="331"/>
        <v>-</v>
      </c>
      <c r="N345" s="132" t="str">
        <f t="shared" si="331"/>
        <v>-</v>
      </c>
      <c r="O345" s="219" t="s">
        <v>78</v>
      </c>
      <c r="P345" s="125" t="str">
        <f t="shared" si="320"/>
        <v>-</v>
      </c>
      <c r="Q345" s="311" t="s">
        <v>78</v>
      </c>
      <c r="R345" s="126" t="str">
        <f t="shared" si="321"/>
        <v>-</v>
      </c>
      <c r="S345" s="221" t="s">
        <v>78</v>
      </c>
      <c r="T345" s="125" t="str">
        <f t="shared" si="322"/>
        <v>-</v>
      </c>
      <c r="U345" s="127" t="str">
        <f t="shared" si="302"/>
        <v>-</v>
      </c>
      <c r="V345" s="128"/>
      <c r="W345" s="223" t="s">
        <v>78</v>
      </c>
      <c r="X345" s="129" t="str">
        <f t="shared" si="303"/>
        <v>-</v>
      </c>
      <c r="Y345" s="124" t="str">
        <f t="shared" si="307"/>
        <v>-</v>
      </c>
      <c r="Z345" s="130" t="str">
        <f t="shared" si="308"/>
        <v>-</v>
      </c>
      <c r="AA345" s="221" t="s">
        <v>78</v>
      </c>
      <c r="AB345" s="225" t="s">
        <v>78</v>
      </c>
      <c r="AC345" s="225" t="s">
        <v>78</v>
      </c>
      <c r="AD345" s="225" t="s">
        <v>78</v>
      </c>
      <c r="AE345" s="225" t="s">
        <v>78</v>
      </c>
      <c r="AF345" s="125" t="str">
        <f t="shared" si="293"/>
        <v>-</v>
      </c>
      <c r="AG345" s="127" t="str">
        <f t="shared" si="304"/>
        <v>-</v>
      </c>
      <c r="AH345" s="128"/>
      <c r="AI345" s="223" t="s">
        <v>78</v>
      </c>
      <c r="AJ345" s="131" t="str">
        <f t="shared" si="305"/>
        <v>-</v>
      </c>
      <c r="AK345" s="368" t="str">
        <f t="shared" si="324"/>
        <v>-</v>
      </c>
      <c r="AL345" s="375" t="str">
        <f t="shared" si="309"/>
        <v>-</v>
      </c>
      <c r="AM345" s="376" t="str">
        <f t="shared" si="310"/>
        <v>-</v>
      </c>
      <c r="AN345" s="394" t="s">
        <v>78</v>
      </c>
      <c r="AO345" s="395" t="s">
        <v>78</v>
      </c>
      <c r="AP345" s="396" t="str">
        <f t="shared" si="287"/>
        <v>-</v>
      </c>
      <c r="AQ345" s="397"/>
      <c r="AR345" s="401" t="s">
        <v>78</v>
      </c>
      <c r="AS345" s="396" t="str">
        <f t="shared" si="288"/>
        <v>-</v>
      </c>
      <c r="AT345" s="397"/>
      <c r="AU345" s="388" t="str">
        <f t="shared" si="311"/>
        <v>-</v>
      </c>
      <c r="AV345" s="389" t="str">
        <f t="shared" si="312"/>
        <v>-</v>
      </c>
      <c r="AW345" s="353" t="s">
        <v>78</v>
      </c>
      <c r="AX345" s="403"/>
      <c r="AY345" s="404"/>
    </row>
    <row r="346" spans="1:51" ht="15" customHeight="1">
      <c r="A346" s="1" t="str">
        <f t="shared" si="286"/>
        <v>0_2022_</v>
      </c>
      <c r="B346" s="1" t="str">
        <f t="shared" si="290"/>
        <v>0_2022_NEO1</v>
      </c>
      <c r="C346" s="114">
        <f t="shared" si="318"/>
        <v>0</v>
      </c>
      <c r="D346" s="133" t="str">
        <f>_xll.ciqfunctions.udf.CIQ(C346,"IQ_Company_Name")</f>
        <v>(Invalid Identifier)</v>
      </c>
      <c r="E346" s="114">
        <f t="shared" si="314"/>
        <v>2022</v>
      </c>
      <c r="F346" s="114" t="str">
        <f t="shared" si="299"/>
        <v>2022-01-01</v>
      </c>
      <c r="G346" s="330" t="str">
        <f t="shared" si="326"/>
        <v>2022-12-31</v>
      </c>
      <c r="H346" s="114">
        <f t="shared" si="306"/>
        <v>12</v>
      </c>
      <c r="I346" s="407" t="str">
        <f t="shared" si="300"/>
        <v>CAD</v>
      </c>
      <c r="J346" s="461">
        <f t="shared" si="292"/>
        <v>1</v>
      </c>
      <c r="K346" s="468"/>
      <c r="L346" s="465" t="str">
        <f t="shared" si="331"/>
        <v>NEO1</v>
      </c>
      <c r="M346" s="123" t="str">
        <f t="shared" si="331"/>
        <v>-</v>
      </c>
      <c r="N346" s="132" t="str">
        <f t="shared" si="331"/>
        <v>-</v>
      </c>
      <c r="O346" s="219" t="s">
        <v>78</v>
      </c>
      <c r="P346" s="125" t="str">
        <f t="shared" si="320"/>
        <v>-</v>
      </c>
      <c r="Q346" s="311" t="s">
        <v>78</v>
      </c>
      <c r="R346" s="126" t="str">
        <f t="shared" si="321"/>
        <v>-</v>
      </c>
      <c r="S346" s="221" t="s">
        <v>78</v>
      </c>
      <c r="T346" s="125" t="str">
        <f t="shared" si="322"/>
        <v>-</v>
      </c>
      <c r="U346" s="127" t="str">
        <f t="shared" si="302"/>
        <v>-</v>
      </c>
      <c r="V346" s="128"/>
      <c r="W346" s="223" t="s">
        <v>78</v>
      </c>
      <c r="X346" s="129" t="str">
        <f t="shared" si="303"/>
        <v>-</v>
      </c>
      <c r="Y346" s="124" t="str">
        <f t="shared" si="307"/>
        <v>-</v>
      </c>
      <c r="Z346" s="130" t="str">
        <f t="shared" si="308"/>
        <v>-</v>
      </c>
      <c r="AA346" s="221" t="s">
        <v>78</v>
      </c>
      <c r="AB346" s="225" t="s">
        <v>78</v>
      </c>
      <c r="AC346" s="225" t="s">
        <v>78</v>
      </c>
      <c r="AD346" s="225" t="s">
        <v>78</v>
      </c>
      <c r="AE346" s="225" t="s">
        <v>78</v>
      </c>
      <c r="AF346" s="125" t="str">
        <f t="shared" si="293"/>
        <v>-</v>
      </c>
      <c r="AG346" s="127" t="str">
        <f t="shared" si="304"/>
        <v>-</v>
      </c>
      <c r="AH346" s="128"/>
      <c r="AI346" s="223" t="s">
        <v>78</v>
      </c>
      <c r="AJ346" s="131" t="str">
        <f t="shared" si="305"/>
        <v>-</v>
      </c>
      <c r="AK346" s="368" t="str">
        <f t="shared" si="324"/>
        <v>-</v>
      </c>
      <c r="AL346" s="375" t="str">
        <f t="shared" si="309"/>
        <v>-</v>
      </c>
      <c r="AM346" s="376" t="str">
        <f t="shared" si="310"/>
        <v>-</v>
      </c>
      <c r="AN346" s="394" t="s">
        <v>78</v>
      </c>
      <c r="AO346" s="395" t="s">
        <v>78</v>
      </c>
      <c r="AP346" s="396" t="str">
        <f t="shared" si="287"/>
        <v>-</v>
      </c>
      <c r="AQ346" s="397"/>
      <c r="AR346" s="401" t="s">
        <v>78</v>
      </c>
      <c r="AS346" s="396" t="str">
        <f t="shared" si="288"/>
        <v>-</v>
      </c>
      <c r="AT346" s="397"/>
      <c r="AU346" s="388" t="str">
        <f t="shared" si="311"/>
        <v>-</v>
      </c>
      <c r="AV346" s="389" t="str">
        <f t="shared" si="312"/>
        <v>-</v>
      </c>
      <c r="AW346" s="353" t="s">
        <v>78</v>
      </c>
      <c r="AX346" s="403"/>
      <c r="AY346" s="404"/>
    </row>
    <row r="347" spans="1:51" ht="15" customHeight="1">
      <c r="A347" s="1" t="str">
        <f t="shared" si="286"/>
        <v>0_2024_</v>
      </c>
      <c r="B347" s="1" t="str">
        <f t="shared" si="290"/>
        <v>0_2024_NEO2</v>
      </c>
      <c r="C347" s="114">
        <f t="shared" si="318"/>
        <v>0</v>
      </c>
      <c r="D347" s="133" t="str">
        <f>_xll.ciqfunctions.udf.CIQ(C347,"IQ_Company_Name")</f>
        <v>(Invalid Identifier)</v>
      </c>
      <c r="E347" s="114">
        <f t="shared" si="314"/>
        <v>2024</v>
      </c>
      <c r="F347" s="114" t="str">
        <f t="shared" si="299"/>
        <v>2024-01-01</v>
      </c>
      <c r="G347" s="330" t="str">
        <f t="shared" si="326"/>
        <v>2024-12-31</v>
      </c>
      <c r="H347" s="114">
        <f t="shared" si="306"/>
        <v>12</v>
      </c>
      <c r="I347" s="407" t="str">
        <f t="shared" si="300"/>
        <v>CAD</v>
      </c>
      <c r="J347" s="461">
        <f t="shared" si="292"/>
        <v>1</v>
      </c>
      <c r="K347" s="468"/>
      <c r="L347" s="464" t="s">
        <v>108</v>
      </c>
      <c r="M347" s="217" t="s">
        <v>78</v>
      </c>
      <c r="N347" s="218" t="s">
        <v>78</v>
      </c>
      <c r="O347" s="219" t="s">
        <v>78</v>
      </c>
      <c r="P347" s="125" t="str">
        <f t="shared" si="320"/>
        <v>-</v>
      </c>
      <c r="Q347" s="311" t="s">
        <v>78</v>
      </c>
      <c r="R347" s="126" t="str">
        <f t="shared" si="321"/>
        <v>-</v>
      </c>
      <c r="S347" s="221" t="s">
        <v>78</v>
      </c>
      <c r="T347" s="125" t="str">
        <f t="shared" si="322"/>
        <v>-</v>
      </c>
      <c r="U347" s="127" t="str">
        <f t="shared" si="302"/>
        <v>-</v>
      </c>
      <c r="V347" s="128" t="str">
        <f>IFERROR(AVERAGE(U347:U349),"N/A")</f>
        <v>N/A</v>
      </c>
      <c r="W347" s="223" t="s">
        <v>78</v>
      </c>
      <c r="X347" s="129" t="str">
        <f t="shared" si="303"/>
        <v>-</v>
      </c>
      <c r="Y347" s="124" t="str">
        <f t="shared" si="307"/>
        <v>-</v>
      </c>
      <c r="Z347" s="130" t="str">
        <f t="shared" si="308"/>
        <v>-</v>
      </c>
      <c r="AA347" s="221" t="s">
        <v>78</v>
      </c>
      <c r="AB347" s="225" t="s">
        <v>78</v>
      </c>
      <c r="AC347" s="225" t="s">
        <v>78</v>
      </c>
      <c r="AD347" s="225" t="s">
        <v>78</v>
      </c>
      <c r="AE347" s="225" t="s">
        <v>78</v>
      </c>
      <c r="AF347" s="125" t="str">
        <f t="shared" si="293"/>
        <v>-</v>
      </c>
      <c r="AG347" s="127" t="str">
        <f t="shared" si="304"/>
        <v>-</v>
      </c>
      <c r="AH347" s="128" t="str">
        <f>IFERROR(AVERAGE(AG347:AG349),"N/A")</f>
        <v>N/A</v>
      </c>
      <c r="AI347" s="223" t="s">
        <v>78</v>
      </c>
      <c r="AJ347" s="131" t="str">
        <f t="shared" si="305"/>
        <v>-</v>
      </c>
      <c r="AK347" s="368" t="str">
        <f t="shared" si="324"/>
        <v>-</v>
      </c>
      <c r="AL347" s="375" t="str">
        <f t="shared" si="309"/>
        <v>-</v>
      </c>
      <c r="AM347" s="376" t="str">
        <f t="shared" si="310"/>
        <v>-</v>
      </c>
      <c r="AN347" s="394" t="s">
        <v>78</v>
      </c>
      <c r="AO347" s="395" t="s">
        <v>78</v>
      </c>
      <c r="AP347" s="396" t="str">
        <f t="shared" si="287"/>
        <v>-</v>
      </c>
      <c r="AQ347" s="397" t="str">
        <f>IFERROR(AVERAGE(AP347:AP349),"N/A")</f>
        <v>N/A</v>
      </c>
      <c r="AR347" s="401" t="s">
        <v>78</v>
      </c>
      <c r="AS347" s="396" t="str">
        <f t="shared" si="288"/>
        <v>-</v>
      </c>
      <c r="AT347" s="397" t="str">
        <f>IFERROR(AVERAGE(AS347:AS349),"N/A")</f>
        <v>N/A</v>
      </c>
      <c r="AU347" s="388" t="str">
        <f t="shared" si="311"/>
        <v>-</v>
      </c>
      <c r="AV347" s="389" t="str">
        <f t="shared" si="312"/>
        <v>-</v>
      </c>
      <c r="AW347" s="353" t="s">
        <v>78</v>
      </c>
      <c r="AX347" s="403"/>
      <c r="AY347" s="404"/>
    </row>
    <row r="348" spans="1:51" ht="15" customHeight="1">
      <c r="A348" s="1" t="str">
        <f t="shared" si="286"/>
        <v>0_2023_</v>
      </c>
      <c r="B348" s="1" t="str">
        <f t="shared" si="290"/>
        <v>0_2023_NEO2</v>
      </c>
      <c r="C348" s="114">
        <f t="shared" si="318"/>
        <v>0</v>
      </c>
      <c r="D348" s="133" t="str">
        <f>_xll.ciqfunctions.udf.CIQ(C348,"IQ_Company_Name")</f>
        <v>(Invalid Identifier)</v>
      </c>
      <c r="E348" s="114">
        <f t="shared" si="314"/>
        <v>2023</v>
      </c>
      <c r="F348" s="114" t="str">
        <f t="shared" si="299"/>
        <v>2023-01-01</v>
      </c>
      <c r="G348" s="330" t="str">
        <f t="shared" si="326"/>
        <v>2023-12-31</v>
      </c>
      <c r="H348" s="114">
        <f t="shared" si="306"/>
        <v>12</v>
      </c>
      <c r="I348" s="407" t="str">
        <f t="shared" si="300"/>
        <v>CAD</v>
      </c>
      <c r="J348" s="461">
        <f t="shared" si="292"/>
        <v>1</v>
      </c>
      <c r="K348" s="468"/>
      <c r="L348" s="465" t="str">
        <f t="shared" ref="L348:N349" si="332">L347</f>
        <v>NEO2</v>
      </c>
      <c r="M348" s="123" t="str">
        <f t="shared" si="332"/>
        <v>-</v>
      </c>
      <c r="N348" s="132" t="str">
        <f t="shared" si="332"/>
        <v>-</v>
      </c>
      <c r="O348" s="219" t="s">
        <v>78</v>
      </c>
      <c r="P348" s="125" t="str">
        <f t="shared" si="320"/>
        <v>-</v>
      </c>
      <c r="Q348" s="311" t="s">
        <v>78</v>
      </c>
      <c r="R348" s="126" t="str">
        <f t="shared" si="321"/>
        <v>-</v>
      </c>
      <c r="S348" s="221" t="s">
        <v>78</v>
      </c>
      <c r="T348" s="125" t="str">
        <f t="shared" si="322"/>
        <v>-</v>
      </c>
      <c r="U348" s="127" t="str">
        <f t="shared" si="302"/>
        <v>-</v>
      </c>
      <c r="V348" s="128"/>
      <c r="W348" s="223" t="s">
        <v>78</v>
      </c>
      <c r="X348" s="129" t="str">
        <f t="shared" si="303"/>
        <v>-</v>
      </c>
      <c r="Y348" s="124" t="str">
        <f t="shared" si="307"/>
        <v>-</v>
      </c>
      <c r="Z348" s="130" t="str">
        <f t="shared" si="308"/>
        <v>-</v>
      </c>
      <c r="AA348" s="221" t="s">
        <v>78</v>
      </c>
      <c r="AB348" s="225" t="s">
        <v>78</v>
      </c>
      <c r="AC348" s="225" t="s">
        <v>78</v>
      </c>
      <c r="AD348" s="225" t="s">
        <v>78</v>
      </c>
      <c r="AE348" s="225" t="s">
        <v>78</v>
      </c>
      <c r="AF348" s="125" t="str">
        <f t="shared" si="293"/>
        <v>-</v>
      </c>
      <c r="AG348" s="127" t="str">
        <f t="shared" si="304"/>
        <v>-</v>
      </c>
      <c r="AH348" s="128"/>
      <c r="AI348" s="223" t="s">
        <v>78</v>
      </c>
      <c r="AJ348" s="131" t="str">
        <f t="shared" si="305"/>
        <v>-</v>
      </c>
      <c r="AK348" s="368" t="str">
        <f t="shared" si="324"/>
        <v>-</v>
      </c>
      <c r="AL348" s="375" t="str">
        <f t="shared" si="309"/>
        <v>-</v>
      </c>
      <c r="AM348" s="376" t="str">
        <f t="shared" si="310"/>
        <v>-</v>
      </c>
      <c r="AN348" s="394" t="s">
        <v>78</v>
      </c>
      <c r="AO348" s="395" t="s">
        <v>78</v>
      </c>
      <c r="AP348" s="396" t="str">
        <f t="shared" si="287"/>
        <v>-</v>
      </c>
      <c r="AQ348" s="397"/>
      <c r="AR348" s="401" t="s">
        <v>78</v>
      </c>
      <c r="AS348" s="396" t="str">
        <f t="shared" si="288"/>
        <v>-</v>
      </c>
      <c r="AT348" s="397"/>
      <c r="AU348" s="388" t="str">
        <f t="shared" si="311"/>
        <v>-</v>
      </c>
      <c r="AV348" s="389" t="str">
        <f t="shared" si="312"/>
        <v>-</v>
      </c>
      <c r="AW348" s="353" t="s">
        <v>78</v>
      </c>
      <c r="AX348" s="403"/>
      <c r="AY348" s="404"/>
    </row>
    <row r="349" spans="1:51" ht="15" customHeight="1">
      <c r="A349" s="1" t="str">
        <f t="shared" si="286"/>
        <v>0_2022_</v>
      </c>
      <c r="B349" s="1" t="str">
        <f t="shared" si="290"/>
        <v>0_2022_NEO2</v>
      </c>
      <c r="C349" s="114">
        <f t="shared" si="318"/>
        <v>0</v>
      </c>
      <c r="D349" s="133" t="str">
        <f>_xll.ciqfunctions.udf.CIQ(C349,"IQ_Company_Name")</f>
        <v>(Invalid Identifier)</v>
      </c>
      <c r="E349" s="114">
        <f t="shared" si="314"/>
        <v>2022</v>
      </c>
      <c r="F349" s="114" t="str">
        <f t="shared" si="299"/>
        <v>2022-01-01</v>
      </c>
      <c r="G349" s="330" t="str">
        <f t="shared" si="326"/>
        <v>2022-12-31</v>
      </c>
      <c r="H349" s="114">
        <f t="shared" si="306"/>
        <v>12</v>
      </c>
      <c r="I349" s="407" t="str">
        <f t="shared" si="300"/>
        <v>CAD</v>
      </c>
      <c r="J349" s="461">
        <f t="shared" si="292"/>
        <v>1</v>
      </c>
      <c r="K349" s="468"/>
      <c r="L349" s="465" t="str">
        <f t="shared" si="332"/>
        <v>NEO2</v>
      </c>
      <c r="M349" s="123" t="str">
        <f t="shared" si="332"/>
        <v>-</v>
      </c>
      <c r="N349" s="132" t="str">
        <f t="shared" si="332"/>
        <v>-</v>
      </c>
      <c r="O349" s="219" t="s">
        <v>78</v>
      </c>
      <c r="P349" s="125" t="str">
        <f t="shared" si="320"/>
        <v>-</v>
      </c>
      <c r="Q349" s="311" t="s">
        <v>78</v>
      </c>
      <c r="R349" s="126" t="str">
        <f t="shared" si="321"/>
        <v>-</v>
      </c>
      <c r="S349" s="221" t="s">
        <v>78</v>
      </c>
      <c r="T349" s="125" t="str">
        <f t="shared" si="322"/>
        <v>-</v>
      </c>
      <c r="U349" s="127" t="str">
        <f t="shared" si="302"/>
        <v>-</v>
      </c>
      <c r="V349" s="128"/>
      <c r="W349" s="223" t="s">
        <v>78</v>
      </c>
      <c r="X349" s="129" t="str">
        <f t="shared" si="303"/>
        <v>-</v>
      </c>
      <c r="Y349" s="124" t="str">
        <f t="shared" si="307"/>
        <v>-</v>
      </c>
      <c r="Z349" s="130" t="str">
        <f t="shared" si="308"/>
        <v>-</v>
      </c>
      <c r="AA349" s="221" t="s">
        <v>78</v>
      </c>
      <c r="AB349" s="225" t="s">
        <v>78</v>
      </c>
      <c r="AC349" s="225" t="s">
        <v>78</v>
      </c>
      <c r="AD349" s="225" t="s">
        <v>78</v>
      </c>
      <c r="AE349" s="225" t="s">
        <v>78</v>
      </c>
      <c r="AF349" s="125" t="str">
        <f t="shared" si="293"/>
        <v>-</v>
      </c>
      <c r="AG349" s="127" t="str">
        <f t="shared" si="304"/>
        <v>-</v>
      </c>
      <c r="AH349" s="128"/>
      <c r="AI349" s="223" t="s">
        <v>78</v>
      </c>
      <c r="AJ349" s="131" t="str">
        <f t="shared" si="305"/>
        <v>-</v>
      </c>
      <c r="AK349" s="368" t="str">
        <f t="shared" si="324"/>
        <v>-</v>
      </c>
      <c r="AL349" s="375" t="str">
        <f t="shared" si="309"/>
        <v>-</v>
      </c>
      <c r="AM349" s="376" t="str">
        <f t="shared" si="310"/>
        <v>-</v>
      </c>
      <c r="AN349" s="394" t="s">
        <v>78</v>
      </c>
      <c r="AO349" s="395" t="s">
        <v>78</v>
      </c>
      <c r="AP349" s="396" t="str">
        <f t="shared" si="287"/>
        <v>-</v>
      </c>
      <c r="AQ349" s="397"/>
      <c r="AR349" s="401" t="s">
        <v>78</v>
      </c>
      <c r="AS349" s="396" t="str">
        <f t="shared" si="288"/>
        <v>-</v>
      </c>
      <c r="AT349" s="397"/>
      <c r="AU349" s="388" t="str">
        <f t="shared" si="311"/>
        <v>-</v>
      </c>
      <c r="AV349" s="389" t="str">
        <f t="shared" si="312"/>
        <v>-</v>
      </c>
      <c r="AW349" s="353" t="s">
        <v>78</v>
      </c>
      <c r="AX349" s="403"/>
      <c r="AY349" s="404"/>
    </row>
    <row r="350" spans="1:51" ht="15" customHeight="1">
      <c r="A350" s="1" t="str">
        <f t="shared" si="286"/>
        <v>0_2024_</v>
      </c>
      <c r="B350" s="1" t="str">
        <f t="shared" si="290"/>
        <v>0_2024_NEO3</v>
      </c>
      <c r="C350" s="114">
        <f t="shared" si="318"/>
        <v>0</v>
      </c>
      <c r="D350" s="133" t="str">
        <f>_xll.ciqfunctions.udf.CIQ(C350,"IQ_Company_Name")</f>
        <v>(Invalid Identifier)</v>
      </c>
      <c r="E350" s="114">
        <f t="shared" si="314"/>
        <v>2024</v>
      </c>
      <c r="F350" s="114" t="str">
        <f t="shared" si="299"/>
        <v>2024-01-01</v>
      </c>
      <c r="G350" s="330" t="str">
        <f t="shared" si="326"/>
        <v>2024-12-31</v>
      </c>
      <c r="H350" s="114">
        <f t="shared" si="306"/>
        <v>12</v>
      </c>
      <c r="I350" s="407" t="str">
        <f t="shared" si="300"/>
        <v>CAD</v>
      </c>
      <c r="J350" s="461">
        <f t="shared" si="292"/>
        <v>1</v>
      </c>
      <c r="K350" s="468"/>
      <c r="L350" s="464" t="s">
        <v>109</v>
      </c>
      <c r="M350" s="217" t="s">
        <v>78</v>
      </c>
      <c r="N350" s="218" t="s">
        <v>78</v>
      </c>
      <c r="O350" s="219" t="s">
        <v>78</v>
      </c>
      <c r="P350" s="125" t="str">
        <f t="shared" si="320"/>
        <v>-</v>
      </c>
      <c r="Q350" s="311" t="s">
        <v>78</v>
      </c>
      <c r="R350" s="126" t="str">
        <f t="shared" si="321"/>
        <v>-</v>
      </c>
      <c r="S350" s="221" t="s">
        <v>78</v>
      </c>
      <c r="T350" s="125" t="str">
        <f t="shared" si="322"/>
        <v>-</v>
      </c>
      <c r="U350" s="127" t="str">
        <f t="shared" si="302"/>
        <v>-</v>
      </c>
      <c r="V350" s="128" t="str">
        <f>IFERROR(AVERAGE(U350:U352),"N/A")</f>
        <v>N/A</v>
      </c>
      <c r="W350" s="223" t="s">
        <v>78</v>
      </c>
      <c r="X350" s="129" t="str">
        <f t="shared" si="303"/>
        <v>-</v>
      </c>
      <c r="Y350" s="124" t="str">
        <f t="shared" si="307"/>
        <v>-</v>
      </c>
      <c r="Z350" s="130" t="str">
        <f t="shared" si="308"/>
        <v>-</v>
      </c>
      <c r="AA350" s="221" t="s">
        <v>78</v>
      </c>
      <c r="AB350" s="225" t="s">
        <v>78</v>
      </c>
      <c r="AC350" s="225" t="s">
        <v>78</v>
      </c>
      <c r="AD350" s="225" t="s">
        <v>78</v>
      </c>
      <c r="AE350" s="225" t="s">
        <v>78</v>
      </c>
      <c r="AF350" s="125" t="str">
        <f t="shared" si="293"/>
        <v>-</v>
      </c>
      <c r="AG350" s="127" t="str">
        <f t="shared" si="304"/>
        <v>-</v>
      </c>
      <c r="AH350" s="128" t="str">
        <f>IFERROR(AVERAGE(AG350:AG352),"N/A")</f>
        <v>N/A</v>
      </c>
      <c r="AI350" s="223" t="s">
        <v>78</v>
      </c>
      <c r="AJ350" s="131" t="str">
        <f t="shared" si="305"/>
        <v>-</v>
      </c>
      <c r="AK350" s="368" t="str">
        <f t="shared" si="324"/>
        <v>-</v>
      </c>
      <c r="AL350" s="375" t="str">
        <f t="shared" si="309"/>
        <v>-</v>
      </c>
      <c r="AM350" s="376" t="str">
        <f t="shared" si="310"/>
        <v>-</v>
      </c>
      <c r="AN350" s="394" t="s">
        <v>78</v>
      </c>
      <c r="AO350" s="395" t="s">
        <v>78</v>
      </c>
      <c r="AP350" s="396" t="str">
        <f t="shared" si="287"/>
        <v>-</v>
      </c>
      <c r="AQ350" s="397" t="str">
        <f>IFERROR(AVERAGE(AP350:AP352),"N/A")</f>
        <v>N/A</v>
      </c>
      <c r="AR350" s="401" t="s">
        <v>78</v>
      </c>
      <c r="AS350" s="396" t="str">
        <f t="shared" si="288"/>
        <v>-</v>
      </c>
      <c r="AT350" s="397" t="str">
        <f>IFERROR(AVERAGE(AS350:AS352),"N/A")</f>
        <v>N/A</v>
      </c>
      <c r="AU350" s="388" t="str">
        <f t="shared" si="311"/>
        <v>-</v>
      </c>
      <c r="AV350" s="389" t="str">
        <f t="shared" si="312"/>
        <v>-</v>
      </c>
      <c r="AW350" s="353" t="s">
        <v>78</v>
      </c>
      <c r="AX350" s="403"/>
      <c r="AY350" s="404"/>
    </row>
    <row r="351" spans="1:51" ht="15" customHeight="1">
      <c r="A351" s="1" t="str">
        <f t="shared" si="286"/>
        <v>0_2023_</v>
      </c>
      <c r="B351" s="1" t="str">
        <f t="shared" si="290"/>
        <v>0_2023_NEO3</v>
      </c>
      <c r="C351" s="114">
        <f t="shared" si="318"/>
        <v>0</v>
      </c>
      <c r="D351" s="133" t="str">
        <f>_xll.ciqfunctions.udf.CIQ(C351,"IQ_Company_Name")</f>
        <v>(Invalid Identifier)</v>
      </c>
      <c r="E351" s="114">
        <f t="shared" si="314"/>
        <v>2023</v>
      </c>
      <c r="F351" s="114" t="str">
        <f t="shared" si="299"/>
        <v>2023-01-01</v>
      </c>
      <c r="G351" s="330" t="str">
        <f t="shared" si="326"/>
        <v>2023-12-31</v>
      </c>
      <c r="H351" s="114">
        <f t="shared" si="306"/>
        <v>12</v>
      </c>
      <c r="I351" s="407" t="str">
        <f t="shared" si="300"/>
        <v>CAD</v>
      </c>
      <c r="J351" s="461">
        <f t="shared" si="292"/>
        <v>1</v>
      </c>
      <c r="K351" s="468"/>
      <c r="L351" s="465" t="str">
        <f t="shared" ref="L351:N352" si="333">L350</f>
        <v>NEO3</v>
      </c>
      <c r="M351" s="123" t="str">
        <f t="shared" si="333"/>
        <v>-</v>
      </c>
      <c r="N351" s="132" t="str">
        <f t="shared" si="333"/>
        <v>-</v>
      </c>
      <c r="O351" s="219" t="s">
        <v>78</v>
      </c>
      <c r="P351" s="125" t="str">
        <f t="shared" si="320"/>
        <v>-</v>
      </c>
      <c r="Q351" s="311" t="s">
        <v>78</v>
      </c>
      <c r="R351" s="126" t="str">
        <f t="shared" si="321"/>
        <v>-</v>
      </c>
      <c r="S351" s="221" t="s">
        <v>78</v>
      </c>
      <c r="T351" s="125" t="str">
        <f t="shared" si="322"/>
        <v>-</v>
      </c>
      <c r="U351" s="127" t="str">
        <f t="shared" si="302"/>
        <v>-</v>
      </c>
      <c r="V351" s="128"/>
      <c r="W351" s="223" t="s">
        <v>78</v>
      </c>
      <c r="X351" s="129" t="str">
        <f t="shared" si="303"/>
        <v>-</v>
      </c>
      <c r="Y351" s="124" t="str">
        <f t="shared" si="307"/>
        <v>-</v>
      </c>
      <c r="Z351" s="130" t="str">
        <f t="shared" si="308"/>
        <v>-</v>
      </c>
      <c r="AA351" s="221" t="s">
        <v>78</v>
      </c>
      <c r="AB351" s="225" t="s">
        <v>78</v>
      </c>
      <c r="AC351" s="225" t="s">
        <v>78</v>
      </c>
      <c r="AD351" s="225" t="s">
        <v>78</v>
      </c>
      <c r="AE351" s="225" t="s">
        <v>78</v>
      </c>
      <c r="AF351" s="125" t="str">
        <f t="shared" si="293"/>
        <v>-</v>
      </c>
      <c r="AG351" s="127" t="str">
        <f t="shared" si="304"/>
        <v>-</v>
      </c>
      <c r="AH351" s="128"/>
      <c r="AI351" s="223" t="s">
        <v>78</v>
      </c>
      <c r="AJ351" s="131" t="str">
        <f t="shared" si="305"/>
        <v>-</v>
      </c>
      <c r="AK351" s="368" t="str">
        <f t="shared" si="324"/>
        <v>-</v>
      </c>
      <c r="AL351" s="375" t="str">
        <f t="shared" si="309"/>
        <v>-</v>
      </c>
      <c r="AM351" s="376" t="str">
        <f t="shared" si="310"/>
        <v>-</v>
      </c>
      <c r="AN351" s="394" t="s">
        <v>78</v>
      </c>
      <c r="AO351" s="395" t="s">
        <v>78</v>
      </c>
      <c r="AP351" s="396" t="str">
        <f t="shared" si="287"/>
        <v>-</v>
      </c>
      <c r="AQ351" s="397"/>
      <c r="AR351" s="401" t="s">
        <v>78</v>
      </c>
      <c r="AS351" s="396" t="str">
        <f t="shared" si="288"/>
        <v>-</v>
      </c>
      <c r="AT351" s="397"/>
      <c r="AU351" s="388" t="str">
        <f t="shared" si="311"/>
        <v>-</v>
      </c>
      <c r="AV351" s="389" t="str">
        <f t="shared" si="312"/>
        <v>-</v>
      </c>
      <c r="AW351" s="353" t="s">
        <v>78</v>
      </c>
      <c r="AX351" s="403"/>
      <c r="AY351" s="404"/>
    </row>
    <row r="352" spans="1:51" ht="15" customHeight="1">
      <c r="A352" s="1" t="str">
        <f t="shared" si="286"/>
        <v>0_2022_</v>
      </c>
      <c r="B352" s="1" t="str">
        <f t="shared" si="290"/>
        <v>0_2022_NEO3</v>
      </c>
      <c r="C352" s="203">
        <f t="shared" si="318"/>
        <v>0</v>
      </c>
      <c r="D352" s="205" t="str">
        <f>_xll.ciqfunctions.udf.CIQ(C352,"IQ_Company_Name")</f>
        <v>(Invalid Identifier)</v>
      </c>
      <c r="E352" s="204">
        <f t="shared" si="314"/>
        <v>2022</v>
      </c>
      <c r="F352" s="204" t="str">
        <f t="shared" si="299"/>
        <v>2022-01-01</v>
      </c>
      <c r="G352" s="331" t="str">
        <f t="shared" si="326"/>
        <v>2022-12-31</v>
      </c>
      <c r="H352" s="204">
        <f t="shared" si="306"/>
        <v>12</v>
      </c>
      <c r="I352" s="408" t="str">
        <f t="shared" si="300"/>
        <v>CAD</v>
      </c>
      <c r="J352" s="463">
        <f t="shared" si="292"/>
        <v>1</v>
      </c>
      <c r="K352" s="470"/>
      <c r="L352" s="466" t="str">
        <f t="shared" si="333"/>
        <v>NEO3</v>
      </c>
      <c r="M352" s="206" t="str">
        <f t="shared" si="333"/>
        <v>-</v>
      </c>
      <c r="N352" s="207" t="str">
        <f t="shared" si="333"/>
        <v>-</v>
      </c>
      <c r="O352" s="220" t="s">
        <v>78</v>
      </c>
      <c r="P352" s="209" t="str">
        <f t="shared" si="320"/>
        <v>-</v>
      </c>
      <c r="Q352" s="312" t="s">
        <v>78</v>
      </c>
      <c r="R352" s="329" t="str">
        <f t="shared" si="321"/>
        <v>-</v>
      </c>
      <c r="S352" s="222" t="s">
        <v>78</v>
      </c>
      <c r="T352" s="209" t="str">
        <f t="shared" si="322"/>
        <v>-</v>
      </c>
      <c r="U352" s="211" t="str">
        <f t="shared" si="302"/>
        <v>-</v>
      </c>
      <c r="V352" s="212"/>
      <c r="W352" s="224" t="s">
        <v>78</v>
      </c>
      <c r="X352" s="213" t="str">
        <f t="shared" si="303"/>
        <v>-</v>
      </c>
      <c r="Y352" s="208" t="str">
        <f t="shared" si="307"/>
        <v>-</v>
      </c>
      <c r="Z352" s="214" t="str">
        <f t="shared" si="308"/>
        <v>-</v>
      </c>
      <c r="AA352" s="222" t="s">
        <v>78</v>
      </c>
      <c r="AB352" s="226" t="s">
        <v>78</v>
      </c>
      <c r="AC352" s="226" t="s">
        <v>78</v>
      </c>
      <c r="AD352" s="226" t="s">
        <v>78</v>
      </c>
      <c r="AE352" s="226" t="s">
        <v>78</v>
      </c>
      <c r="AF352" s="420" t="str">
        <f t="shared" si="293"/>
        <v>-</v>
      </c>
      <c r="AG352" s="211" t="str">
        <f t="shared" si="304"/>
        <v>-</v>
      </c>
      <c r="AH352" s="212"/>
      <c r="AI352" s="224" t="s">
        <v>78</v>
      </c>
      <c r="AJ352" s="215" t="str">
        <f t="shared" si="305"/>
        <v>-</v>
      </c>
      <c r="AK352" s="369" t="str">
        <f t="shared" si="324"/>
        <v>-</v>
      </c>
      <c r="AL352" s="377" t="str">
        <f t="shared" si="309"/>
        <v>-</v>
      </c>
      <c r="AM352" s="378" t="str">
        <f t="shared" si="310"/>
        <v>-</v>
      </c>
      <c r="AN352" s="398" t="s">
        <v>78</v>
      </c>
      <c r="AO352" s="399" t="s">
        <v>78</v>
      </c>
      <c r="AP352" s="396" t="str">
        <f t="shared" si="287"/>
        <v>-</v>
      </c>
      <c r="AQ352" s="400"/>
      <c r="AR352" s="402" t="s">
        <v>78</v>
      </c>
      <c r="AS352" s="396" t="str">
        <f t="shared" si="288"/>
        <v>-</v>
      </c>
      <c r="AT352" s="400"/>
      <c r="AU352" s="390" t="str">
        <f t="shared" si="311"/>
        <v>-</v>
      </c>
      <c r="AV352" s="391" t="str">
        <f t="shared" si="312"/>
        <v>-</v>
      </c>
      <c r="AW352" s="354" t="s">
        <v>78</v>
      </c>
      <c r="AX352" s="405"/>
      <c r="AY352" s="406"/>
    </row>
    <row r="353" spans="1:51" ht="15" customHeight="1">
      <c r="A353" s="1" t="str">
        <f t="shared" ref="A353:A412" si="334">$C353&amp;"_"&amp;$E353&amp;"_"&amp;$K353</f>
        <v>0_2024_</v>
      </c>
      <c r="B353" s="1" t="str">
        <f t="shared" si="290"/>
        <v>0_2024_CEO</v>
      </c>
      <c r="C353" s="216">
        <f>D24</f>
        <v>0</v>
      </c>
      <c r="D353" s="133" t="str">
        <f>_xll.ciqfunctions.udf.CIQ(C353,"IQ_Company_Name")</f>
        <v>(Invalid Identifier)</v>
      </c>
      <c r="E353" s="328">
        <f>$F$9</f>
        <v>2024</v>
      </c>
      <c r="F353" s="330" t="str">
        <f t="shared" si="299"/>
        <v>2024-01-01</v>
      </c>
      <c r="G353" s="330" t="str">
        <f t="shared" si="326"/>
        <v>2024-12-31</v>
      </c>
      <c r="H353" s="114">
        <f t="shared" si="306"/>
        <v>12</v>
      </c>
      <c r="I353" s="328" t="str">
        <f>$G$5</f>
        <v>CAD</v>
      </c>
      <c r="J353" s="461">
        <f t="shared" si="292"/>
        <v>1</v>
      </c>
      <c r="K353" s="468"/>
      <c r="L353" s="464" t="s">
        <v>79</v>
      </c>
      <c r="M353" s="217" t="s">
        <v>78</v>
      </c>
      <c r="N353" s="218" t="s">
        <v>78</v>
      </c>
      <c r="O353" s="219" t="s">
        <v>78</v>
      </c>
      <c r="P353" s="125" t="str">
        <f t="shared" si="320"/>
        <v>-</v>
      </c>
      <c r="Q353" s="311" t="s">
        <v>78</v>
      </c>
      <c r="R353" s="126" t="str">
        <f t="shared" si="321"/>
        <v>-</v>
      </c>
      <c r="S353" s="221" t="s">
        <v>78</v>
      </c>
      <c r="T353" s="125" t="str">
        <f t="shared" si="322"/>
        <v>-</v>
      </c>
      <c r="U353" s="127" t="str">
        <f t="shared" si="302"/>
        <v>-</v>
      </c>
      <c r="V353" s="128" t="str">
        <f>IFERROR(AVERAGE(U353:U355),"N/A")</f>
        <v>N/A</v>
      </c>
      <c r="W353" s="223" t="s">
        <v>78</v>
      </c>
      <c r="X353" s="129" t="str">
        <f t="shared" si="303"/>
        <v>-</v>
      </c>
      <c r="Y353" s="124" t="str">
        <f t="shared" si="307"/>
        <v>-</v>
      </c>
      <c r="Z353" s="130" t="str">
        <f t="shared" si="308"/>
        <v>-</v>
      </c>
      <c r="AA353" s="221" t="s">
        <v>78</v>
      </c>
      <c r="AB353" s="225" t="s">
        <v>78</v>
      </c>
      <c r="AC353" s="225" t="s">
        <v>78</v>
      </c>
      <c r="AD353" s="225" t="s">
        <v>78</v>
      </c>
      <c r="AE353" s="225" t="s">
        <v>78</v>
      </c>
      <c r="AF353" s="125" t="str">
        <f t="shared" si="293"/>
        <v>-</v>
      </c>
      <c r="AG353" s="127" t="str">
        <f t="shared" si="304"/>
        <v>-</v>
      </c>
      <c r="AH353" s="128" t="str">
        <f>IFERROR(AVERAGE(AG353:AG355),"N/A")</f>
        <v>N/A</v>
      </c>
      <c r="AI353" s="223" t="s">
        <v>78</v>
      </c>
      <c r="AJ353" s="131" t="str">
        <f t="shared" si="305"/>
        <v>-</v>
      </c>
      <c r="AK353" s="368" t="str">
        <f t="shared" si="324"/>
        <v>-</v>
      </c>
      <c r="AL353" s="375" t="str">
        <f t="shared" si="309"/>
        <v>-</v>
      </c>
      <c r="AM353" s="376" t="str">
        <f t="shared" si="310"/>
        <v>-</v>
      </c>
      <c r="AN353" s="394" t="s">
        <v>78</v>
      </c>
      <c r="AO353" s="395" t="s">
        <v>78</v>
      </c>
      <c r="AP353" s="396" t="str">
        <f t="shared" ref="AP353:AP412" si="335">IFERROR(AN353*(12/$H353)*$J353,"-")</f>
        <v>-</v>
      </c>
      <c r="AQ353" s="409" t="str">
        <f>IFERROR(AVERAGE(AP353:AP355),"N/A")</f>
        <v>N/A</v>
      </c>
      <c r="AR353" s="401" t="s">
        <v>78</v>
      </c>
      <c r="AS353" s="396" t="str">
        <f t="shared" ref="AS353:AS412" si="336">IFERROR(AR353*(12/$H353)*$J353,"-")</f>
        <v>-</v>
      </c>
      <c r="AT353" s="409" t="str">
        <f>IFERROR(AVERAGE(AS353:AS355),"N/A")</f>
        <v>N/A</v>
      </c>
      <c r="AU353" s="388" t="str">
        <f t="shared" si="311"/>
        <v>-</v>
      </c>
      <c r="AV353" s="389" t="str">
        <f t="shared" si="312"/>
        <v>-</v>
      </c>
      <c r="AW353" s="353" t="s">
        <v>78</v>
      </c>
      <c r="AX353" s="403"/>
      <c r="AY353" s="404"/>
    </row>
    <row r="354" spans="1:51" ht="15" customHeight="1">
      <c r="A354" s="1" t="str">
        <f t="shared" si="334"/>
        <v>0_2023_</v>
      </c>
      <c r="B354" s="1" t="str">
        <f t="shared" si="290"/>
        <v>0_2023_CEO</v>
      </c>
      <c r="C354" s="114">
        <f>C353</f>
        <v>0</v>
      </c>
      <c r="D354" s="133" t="str">
        <f>_xll.ciqfunctions.udf.CIQ(C354,"IQ_Company_Name")</f>
        <v>(Invalid Identifier)</v>
      </c>
      <c r="E354" s="328">
        <f>$F$10</f>
        <v>2023</v>
      </c>
      <c r="F354" s="330" t="str">
        <f t="shared" si="299"/>
        <v>2023-01-01</v>
      </c>
      <c r="G354" s="330" t="str">
        <f t="shared" si="326"/>
        <v>2023-12-31</v>
      </c>
      <c r="H354" s="114">
        <f t="shared" si="306"/>
        <v>12</v>
      </c>
      <c r="I354" s="407" t="str">
        <f>I353</f>
        <v>CAD</v>
      </c>
      <c r="J354" s="461">
        <f t="shared" si="292"/>
        <v>1</v>
      </c>
      <c r="K354" s="468"/>
      <c r="L354" s="465" t="str">
        <f t="shared" ref="L354:N355" si="337">L353</f>
        <v>CEO</v>
      </c>
      <c r="M354" s="123" t="str">
        <f t="shared" si="337"/>
        <v>-</v>
      </c>
      <c r="N354" s="132" t="str">
        <f t="shared" si="337"/>
        <v>-</v>
      </c>
      <c r="O354" s="219" t="s">
        <v>78</v>
      </c>
      <c r="P354" s="125" t="str">
        <f t="shared" si="320"/>
        <v>-</v>
      </c>
      <c r="Q354" s="311" t="s">
        <v>78</v>
      </c>
      <c r="R354" s="126" t="str">
        <f t="shared" si="321"/>
        <v>-</v>
      </c>
      <c r="S354" s="221" t="s">
        <v>78</v>
      </c>
      <c r="T354" s="125" t="str">
        <f t="shared" si="322"/>
        <v>-</v>
      </c>
      <c r="U354" s="127" t="str">
        <f t="shared" si="302"/>
        <v>-</v>
      </c>
      <c r="V354" s="128"/>
      <c r="W354" s="223" t="s">
        <v>78</v>
      </c>
      <c r="X354" s="129" t="str">
        <f t="shared" si="303"/>
        <v>-</v>
      </c>
      <c r="Y354" s="124" t="str">
        <f t="shared" si="307"/>
        <v>-</v>
      </c>
      <c r="Z354" s="130" t="str">
        <f t="shared" si="308"/>
        <v>-</v>
      </c>
      <c r="AA354" s="221" t="s">
        <v>78</v>
      </c>
      <c r="AB354" s="225" t="s">
        <v>78</v>
      </c>
      <c r="AC354" s="225" t="s">
        <v>78</v>
      </c>
      <c r="AD354" s="225" t="s">
        <v>78</v>
      </c>
      <c r="AE354" s="225" t="s">
        <v>78</v>
      </c>
      <c r="AF354" s="125" t="str">
        <f t="shared" si="293"/>
        <v>-</v>
      </c>
      <c r="AG354" s="127" t="str">
        <f t="shared" si="304"/>
        <v>-</v>
      </c>
      <c r="AH354" s="128"/>
      <c r="AI354" s="223" t="s">
        <v>78</v>
      </c>
      <c r="AJ354" s="131" t="str">
        <f t="shared" si="305"/>
        <v>-</v>
      </c>
      <c r="AK354" s="368" t="str">
        <f t="shared" si="324"/>
        <v>-</v>
      </c>
      <c r="AL354" s="375" t="str">
        <f t="shared" si="309"/>
        <v>-</v>
      </c>
      <c r="AM354" s="376" t="str">
        <f t="shared" si="310"/>
        <v>-</v>
      </c>
      <c r="AN354" s="394" t="s">
        <v>78</v>
      </c>
      <c r="AO354" s="395" t="s">
        <v>78</v>
      </c>
      <c r="AP354" s="396" t="str">
        <f t="shared" si="335"/>
        <v>-</v>
      </c>
      <c r="AQ354" s="397"/>
      <c r="AR354" s="401" t="s">
        <v>78</v>
      </c>
      <c r="AS354" s="396" t="str">
        <f t="shared" si="336"/>
        <v>-</v>
      </c>
      <c r="AT354" s="397"/>
      <c r="AU354" s="388" t="str">
        <f t="shared" si="311"/>
        <v>-</v>
      </c>
      <c r="AV354" s="389" t="str">
        <f t="shared" si="312"/>
        <v>-</v>
      </c>
      <c r="AW354" s="353" t="s">
        <v>78</v>
      </c>
      <c r="AX354" s="403"/>
      <c r="AY354" s="404"/>
    </row>
    <row r="355" spans="1:51" ht="15" customHeight="1">
      <c r="A355" s="1" t="str">
        <f t="shared" si="334"/>
        <v>0_2022_</v>
      </c>
      <c r="B355" s="1" t="str">
        <f t="shared" si="290"/>
        <v>0_2022_CEO</v>
      </c>
      <c r="C355" s="114">
        <f t="shared" si="318"/>
        <v>0</v>
      </c>
      <c r="D355" s="133" t="str">
        <f>_xll.ciqfunctions.udf.CIQ(C355,"IQ_Company_Name")</f>
        <v>(Invalid Identifier)</v>
      </c>
      <c r="E355" s="328">
        <f>$F$11</f>
        <v>2022</v>
      </c>
      <c r="F355" s="114" t="str">
        <f t="shared" si="299"/>
        <v>2022-01-01</v>
      </c>
      <c r="G355" s="330" t="str">
        <f t="shared" si="326"/>
        <v>2022-12-31</v>
      </c>
      <c r="H355" s="114">
        <f t="shared" si="306"/>
        <v>12</v>
      </c>
      <c r="I355" s="407" t="str">
        <f>I354</f>
        <v>CAD</v>
      </c>
      <c r="J355" s="461">
        <f t="shared" si="292"/>
        <v>1</v>
      </c>
      <c r="K355" s="468"/>
      <c r="L355" s="465" t="str">
        <f t="shared" si="337"/>
        <v>CEO</v>
      </c>
      <c r="M355" s="123" t="str">
        <f t="shared" si="337"/>
        <v>-</v>
      </c>
      <c r="N355" s="132" t="str">
        <f t="shared" si="337"/>
        <v>-</v>
      </c>
      <c r="O355" s="219" t="s">
        <v>78</v>
      </c>
      <c r="P355" s="125" t="str">
        <f t="shared" si="320"/>
        <v>-</v>
      </c>
      <c r="Q355" s="311" t="s">
        <v>78</v>
      </c>
      <c r="R355" s="126" t="str">
        <f t="shared" si="321"/>
        <v>-</v>
      </c>
      <c r="S355" s="221" t="s">
        <v>78</v>
      </c>
      <c r="T355" s="125" t="str">
        <f t="shared" si="322"/>
        <v>-</v>
      </c>
      <c r="U355" s="127" t="str">
        <f t="shared" si="302"/>
        <v>-</v>
      </c>
      <c r="V355" s="128"/>
      <c r="W355" s="223" t="s">
        <v>78</v>
      </c>
      <c r="X355" s="129" t="str">
        <f t="shared" si="303"/>
        <v>-</v>
      </c>
      <c r="Y355" s="124" t="str">
        <f t="shared" si="307"/>
        <v>-</v>
      </c>
      <c r="Z355" s="130" t="str">
        <f t="shared" si="308"/>
        <v>-</v>
      </c>
      <c r="AA355" s="221" t="s">
        <v>78</v>
      </c>
      <c r="AB355" s="225" t="s">
        <v>78</v>
      </c>
      <c r="AC355" s="225" t="s">
        <v>78</v>
      </c>
      <c r="AD355" s="225" t="s">
        <v>78</v>
      </c>
      <c r="AE355" s="225" t="s">
        <v>78</v>
      </c>
      <c r="AF355" s="125" t="str">
        <f t="shared" si="293"/>
        <v>-</v>
      </c>
      <c r="AG355" s="127" t="str">
        <f t="shared" si="304"/>
        <v>-</v>
      </c>
      <c r="AH355" s="128"/>
      <c r="AI355" s="223" t="s">
        <v>78</v>
      </c>
      <c r="AJ355" s="131" t="str">
        <f t="shared" si="305"/>
        <v>-</v>
      </c>
      <c r="AK355" s="368" t="str">
        <f t="shared" si="324"/>
        <v>-</v>
      </c>
      <c r="AL355" s="375" t="str">
        <f t="shared" si="309"/>
        <v>-</v>
      </c>
      <c r="AM355" s="376" t="str">
        <f t="shared" si="310"/>
        <v>-</v>
      </c>
      <c r="AN355" s="394" t="s">
        <v>78</v>
      </c>
      <c r="AO355" s="395" t="s">
        <v>78</v>
      </c>
      <c r="AP355" s="396" t="str">
        <f t="shared" si="335"/>
        <v>-</v>
      </c>
      <c r="AQ355" s="397"/>
      <c r="AR355" s="401" t="s">
        <v>78</v>
      </c>
      <c r="AS355" s="396" t="str">
        <f t="shared" si="336"/>
        <v>-</v>
      </c>
      <c r="AT355" s="397"/>
      <c r="AU355" s="388" t="str">
        <f t="shared" si="311"/>
        <v>-</v>
      </c>
      <c r="AV355" s="389" t="str">
        <f t="shared" si="312"/>
        <v>-</v>
      </c>
      <c r="AW355" s="353" t="s">
        <v>78</v>
      </c>
      <c r="AX355" s="403"/>
      <c r="AY355" s="404"/>
    </row>
    <row r="356" spans="1:51" ht="15" customHeight="1">
      <c r="A356" s="1" t="str">
        <f t="shared" si="334"/>
        <v>0_2024_</v>
      </c>
      <c r="B356" s="1" t="str">
        <f t="shared" si="290"/>
        <v>0_2024_CFO</v>
      </c>
      <c r="C356" s="114">
        <f t="shared" si="318"/>
        <v>0</v>
      </c>
      <c r="D356" s="133" t="str">
        <f>_xll.ciqfunctions.udf.CIQ(C356,"IQ_Company_Name")</f>
        <v>(Invalid Identifier)</v>
      </c>
      <c r="E356" s="114">
        <f t="shared" si="314"/>
        <v>2024</v>
      </c>
      <c r="F356" s="114" t="str">
        <f t="shared" si="299"/>
        <v>2024-01-01</v>
      </c>
      <c r="G356" s="330" t="str">
        <f t="shared" si="326"/>
        <v>2024-12-31</v>
      </c>
      <c r="H356" s="114">
        <f t="shared" si="306"/>
        <v>12</v>
      </c>
      <c r="I356" s="407" t="str">
        <f>I355</f>
        <v>CAD</v>
      </c>
      <c r="J356" s="461">
        <f t="shared" si="292"/>
        <v>1</v>
      </c>
      <c r="K356" s="468"/>
      <c r="L356" s="464" t="s">
        <v>106</v>
      </c>
      <c r="M356" s="217" t="s">
        <v>78</v>
      </c>
      <c r="N356" s="218" t="s">
        <v>78</v>
      </c>
      <c r="O356" s="219" t="s">
        <v>78</v>
      </c>
      <c r="P356" s="125" t="str">
        <f t="shared" si="320"/>
        <v>-</v>
      </c>
      <c r="Q356" s="311" t="s">
        <v>78</v>
      </c>
      <c r="R356" s="126" t="str">
        <f t="shared" si="321"/>
        <v>-</v>
      </c>
      <c r="S356" s="221" t="s">
        <v>78</v>
      </c>
      <c r="T356" s="125" t="str">
        <f t="shared" si="322"/>
        <v>-</v>
      </c>
      <c r="U356" s="127" t="str">
        <f t="shared" si="302"/>
        <v>-</v>
      </c>
      <c r="V356" s="128" t="str">
        <f>IFERROR(AVERAGE(U356:U358),"N/A")</f>
        <v>N/A</v>
      </c>
      <c r="W356" s="223" t="s">
        <v>78</v>
      </c>
      <c r="X356" s="129" t="str">
        <f t="shared" si="303"/>
        <v>-</v>
      </c>
      <c r="Y356" s="124" t="str">
        <f t="shared" si="307"/>
        <v>-</v>
      </c>
      <c r="Z356" s="130" t="str">
        <f t="shared" si="308"/>
        <v>-</v>
      </c>
      <c r="AA356" s="221" t="s">
        <v>78</v>
      </c>
      <c r="AB356" s="225" t="s">
        <v>78</v>
      </c>
      <c r="AC356" s="225" t="s">
        <v>78</v>
      </c>
      <c r="AD356" s="225" t="s">
        <v>78</v>
      </c>
      <c r="AE356" s="225" t="s">
        <v>78</v>
      </c>
      <c r="AF356" s="125" t="str">
        <f t="shared" si="293"/>
        <v>-</v>
      </c>
      <c r="AG356" s="127" t="str">
        <f t="shared" si="304"/>
        <v>-</v>
      </c>
      <c r="AH356" s="128" t="str">
        <f>IFERROR(AVERAGE(AG356:AG358),"N/A")</f>
        <v>N/A</v>
      </c>
      <c r="AI356" s="223" t="s">
        <v>78</v>
      </c>
      <c r="AJ356" s="131" t="str">
        <f t="shared" si="305"/>
        <v>-</v>
      </c>
      <c r="AK356" s="368" t="str">
        <f t="shared" si="324"/>
        <v>-</v>
      </c>
      <c r="AL356" s="375" t="str">
        <f t="shared" si="309"/>
        <v>-</v>
      </c>
      <c r="AM356" s="376" t="str">
        <f t="shared" si="310"/>
        <v>-</v>
      </c>
      <c r="AN356" s="394" t="s">
        <v>78</v>
      </c>
      <c r="AO356" s="395" t="s">
        <v>78</v>
      </c>
      <c r="AP356" s="396" t="str">
        <f t="shared" si="335"/>
        <v>-</v>
      </c>
      <c r="AQ356" s="397" t="str">
        <f>IFERROR(AVERAGE(AP356:AP358),"N/A")</f>
        <v>N/A</v>
      </c>
      <c r="AR356" s="401" t="s">
        <v>78</v>
      </c>
      <c r="AS356" s="396" t="str">
        <f t="shared" si="336"/>
        <v>-</v>
      </c>
      <c r="AT356" s="397" t="str">
        <f>IFERROR(AVERAGE(AS356:AS358),"N/A")</f>
        <v>N/A</v>
      </c>
      <c r="AU356" s="388" t="str">
        <f t="shared" si="311"/>
        <v>-</v>
      </c>
      <c r="AV356" s="389" t="str">
        <f t="shared" si="312"/>
        <v>-</v>
      </c>
      <c r="AW356" s="353" t="s">
        <v>78</v>
      </c>
      <c r="AX356" s="403"/>
      <c r="AY356" s="404"/>
    </row>
    <row r="357" spans="1:51" ht="15" customHeight="1">
      <c r="A357" s="1" t="str">
        <f t="shared" si="334"/>
        <v>0_2023_</v>
      </c>
      <c r="B357" s="1" t="str">
        <f t="shared" si="290"/>
        <v>0_2023_CFO</v>
      </c>
      <c r="C357" s="114">
        <f t="shared" si="318"/>
        <v>0</v>
      </c>
      <c r="D357" s="133" t="str">
        <f>_xll.ciqfunctions.udf.CIQ(C357,"IQ_Company_Name")</f>
        <v>(Invalid Identifier)</v>
      </c>
      <c r="E357" s="114">
        <f t="shared" si="314"/>
        <v>2023</v>
      </c>
      <c r="F357" s="114" t="str">
        <f t="shared" si="299"/>
        <v>2023-01-01</v>
      </c>
      <c r="G357" s="330" t="str">
        <f t="shared" si="326"/>
        <v>2023-12-31</v>
      </c>
      <c r="H357" s="114">
        <f t="shared" si="306"/>
        <v>12</v>
      </c>
      <c r="I357" s="407" t="str">
        <f>I356</f>
        <v>CAD</v>
      </c>
      <c r="J357" s="461">
        <f t="shared" si="292"/>
        <v>1</v>
      </c>
      <c r="K357" s="468"/>
      <c r="L357" s="465" t="str">
        <f t="shared" ref="L357:N358" si="338">L356</f>
        <v>CFO</v>
      </c>
      <c r="M357" s="123" t="str">
        <f t="shared" si="338"/>
        <v>-</v>
      </c>
      <c r="N357" s="132" t="str">
        <f t="shared" si="338"/>
        <v>-</v>
      </c>
      <c r="O357" s="219" t="s">
        <v>78</v>
      </c>
      <c r="P357" s="125" t="str">
        <f t="shared" si="320"/>
        <v>-</v>
      </c>
      <c r="Q357" s="311" t="s">
        <v>78</v>
      </c>
      <c r="R357" s="126" t="str">
        <f t="shared" si="321"/>
        <v>-</v>
      </c>
      <c r="S357" s="221" t="s">
        <v>78</v>
      </c>
      <c r="T357" s="125" t="str">
        <f t="shared" si="322"/>
        <v>-</v>
      </c>
      <c r="U357" s="127" t="str">
        <f t="shared" si="302"/>
        <v>-</v>
      </c>
      <c r="V357" s="128"/>
      <c r="W357" s="223" t="s">
        <v>78</v>
      </c>
      <c r="X357" s="129" t="str">
        <f t="shared" si="303"/>
        <v>-</v>
      </c>
      <c r="Y357" s="124" t="str">
        <f t="shared" si="307"/>
        <v>-</v>
      </c>
      <c r="Z357" s="130" t="str">
        <f t="shared" si="308"/>
        <v>-</v>
      </c>
      <c r="AA357" s="221" t="s">
        <v>78</v>
      </c>
      <c r="AB357" s="225" t="s">
        <v>78</v>
      </c>
      <c r="AC357" s="225" t="s">
        <v>78</v>
      </c>
      <c r="AD357" s="225" t="s">
        <v>78</v>
      </c>
      <c r="AE357" s="225" t="s">
        <v>78</v>
      </c>
      <c r="AF357" s="125" t="str">
        <f t="shared" si="293"/>
        <v>-</v>
      </c>
      <c r="AG357" s="127" t="str">
        <f t="shared" si="304"/>
        <v>-</v>
      </c>
      <c r="AH357" s="128"/>
      <c r="AI357" s="223" t="s">
        <v>78</v>
      </c>
      <c r="AJ357" s="131" t="str">
        <f t="shared" si="305"/>
        <v>-</v>
      </c>
      <c r="AK357" s="368" t="str">
        <f t="shared" si="324"/>
        <v>-</v>
      </c>
      <c r="AL357" s="375" t="str">
        <f t="shared" si="309"/>
        <v>-</v>
      </c>
      <c r="AM357" s="376" t="str">
        <f t="shared" si="310"/>
        <v>-</v>
      </c>
      <c r="AN357" s="394" t="s">
        <v>78</v>
      </c>
      <c r="AO357" s="395" t="s">
        <v>78</v>
      </c>
      <c r="AP357" s="396" t="str">
        <f t="shared" si="335"/>
        <v>-</v>
      </c>
      <c r="AQ357" s="397"/>
      <c r="AR357" s="401" t="s">
        <v>78</v>
      </c>
      <c r="AS357" s="396" t="str">
        <f t="shared" si="336"/>
        <v>-</v>
      </c>
      <c r="AT357" s="397"/>
      <c r="AU357" s="388" t="str">
        <f t="shared" si="311"/>
        <v>-</v>
      </c>
      <c r="AV357" s="389" t="str">
        <f t="shared" si="312"/>
        <v>-</v>
      </c>
      <c r="AW357" s="353" t="s">
        <v>78</v>
      </c>
      <c r="AX357" s="403"/>
      <c r="AY357" s="404"/>
    </row>
    <row r="358" spans="1:51" ht="15" customHeight="1">
      <c r="A358" s="1" t="str">
        <f t="shared" si="334"/>
        <v>0_2022_</v>
      </c>
      <c r="B358" s="1" t="str">
        <f t="shared" ref="B358:B412" si="339">$C358&amp;"_"&amp;$E358&amp;"_"&amp;$L358</f>
        <v>0_2022_CFO</v>
      </c>
      <c r="C358" s="114">
        <f t="shared" si="318"/>
        <v>0</v>
      </c>
      <c r="D358" s="133" t="str">
        <f>_xll.ciqfunctions.udf.CIQ(C358,"IQ_Company_Name")</f>
        <v>(Invalid Identifier)</v>
      </c>
      <c r="E358" s="114">
        <f t="shared" si="314"/>
        <v>2022</v>
      </c>
      <c r="F358" s="114" t="str">
        <f t="shared" si="299"/>
        <v>2022-01-01</v>
      </c>
      <c r="G358" s="330" t="str">
        <f t="shared" si="326"/>
        <v>2022-12-31</v>
      </c>
      <c r="H358" s="114">
        <f t="shared" si="306"/>
        <v>12</v>
      </c>
      <c r="I358" s="407" t="str">
        <f t="shared" si="300"/>
        <v>CAD</v>
      </c>
      <c r="J358" s="461">
        <f t="shared" si="292"/>
        <v>1</v>
      </c>
      <c r="K358" s="468"/>
      <c r="L358" s="465" t="str">
        <f t="shared" si="338"/>
        <v>CFO</v>
      </c>
      <c r="M358" s="123" t="str">
        <f t="shared" si="338"/>
        <v>-</v>
      </c>
      <c r="N358" s="132" t="str">
        <f t="shared" si="338"/>
        <v>-</v>
      </c>
      <c r="O358" s="219" t="s">
        <v>78</v>
      </c>
      <c r="P358" s="125" t="str">
        <f t="shared" si="320"/>
        <v>-</v>
      </c>
      <c r="Q358" s="311" t="s">
        <v>78</v>
      </c>
      <c r="R358" s="126" t="str">
        <f t="shared" si="321"/>
        <v>-</v>
      </c>
      <c r="S358" s="221" t="s">
        <v>78</v>
      </c>
      <c r="T358" s="125" t="str">
        <f t="shared" si="322"/>
        <v>-</v>
      </c>
      <c r="U358" s="127" t="str">
        <f t="shared" si="302"/>
        <v>-</v>
      </c>
      <c r="V358" s="128"/>
      <c r="W358" s="223" t="s">
        <v>78</v>
      </c>
      <c r="X358" s="129" t="str">
        <f t="shared" si="303"/>
        <v>-</v>
      </c>
      <c r="Y358" s="124" t="str">
        <f t="shared" si="307"/>
        <v>-</v>
      </c>
      <c r="Z358" s="130" t="str">
        <f t="shared" si="308"/>
        <v>-</v>
      </c>
      <c r="AA358" s="221" t="s">
        <v>78</v>
      </c>
      <c r="AB358" s="225" t="s">
        <v>78</v>
      </c>
      <c r="AC358" s="225" t="s">
        <v>78</v>
      </c>
      <c r="AD358" s="225" t="s">
        <v>78</v>
      </c>
      <c r="AE358" s="225" t="s">
        <v>78</v>
      </c>
      <c r="AF358" s="125" t="str">
        <f t="shared" si="293"/>
        <v>-</v>
      </c>
      <c r="AG358" s="127" t="str">
        <f t="shared" si="304"/>
        <v>-</v>
      </c>
      <c r="AH358" s="128"/>
      <c r="AI358" s="223" t="s">
        <v>78</v>
      </c>
      <c r="AJ358" s="131" t="str">
        <f t="shared" si="305"/>
        <v>-</v>
      </c>
      <c r="AK358" s="368" t="str">
        <f t="shared" si="324"/>
        <v>-</v>
      </c>
      <c r="AL358" s="375" t="str">
        <f t="shared" si="309"/>
        <v>-</v>
      </c>
      <c r="AM358" s="376" t="str">
        <f t="shared" si="310"/>
        <v>-</v>
      </c>
      <c r="AN358" s="394" t="s">
        <v>78</v>
      </c>
      <c r="AO358" s="395" t="s">
        <v>78</v>
      </c>
      <c r="AP358" s="396" t="str">
        <f t="shared" si="335"/>
        <v>-</v>
      </c>
      <c r="AQ358" s="397"/>
      <c r="AR358" s="401" t="s">
        <v>78</v>
      </c>
      <c r="AS358" s="396" t="str">
        <f t="shared" si="336"/>
        <v>-</v>
      </c>
      <c r="AT358" s="397"/>
      <c r="AU358" s="388" t="str">
        <f t="shared" si="311"/>
        <v>-</v>
      </c>
      <c r="AV358" s="389" t="str">
        <f t="shared" si="312"/>
        <v>-</v>
      </c>
      <c r="AW358" s="353" t="s">
        <v>78</v>
      </c>
      <c r="AX358" s="403"/>
      <c r="AY358" s="404"/>
    </row>
    <row r="359" spans="1:51" ht="15" customHeight="1">
      <c r="A359" s="1" t="str">
        <f t="shared" si="334"/>
        <v>0_2024_</v>
      </c>
      <c r="B359" s="1" t="str">
        <f t="shared" si="339"/>
        <v>0_2024_NEO1</v>
      </c>
      <c r="C359" s="114">
        <f t="shared" si="318"/>
        <v>0</v>
      </c>
      <c r="D359" s="133" t="str">
        <f>_xll.ciqfunctions.udf.CIQ(C359,"IQ_Company_Name")</f>
        <v>(Invalid Identifier)</v>
      </c>
      <c r="E359" s="114">
        <f t="shared" si="314"/>
        <v>2024</v>
      </c>
      <c r="F359" s="330" t="str">
        <f t="shared" si="299"/>
        <v>2024-01-01</v>
      </c>
      <c r="G359" s="330" t="str">
        <f t="shared" si="326"/>
        <v>2024-12-31</v>
      </c>
      <c r="H359" s="114">
        <f t="shared" si="306"/>
        <v>12</v>
      </c>
      <c r="I359" s="407" t="str">
        <f t="shared" si="300"/>
        <v>CAD</v>
      </c>
      <c r="J359" s="461">
        <f t="shared" ref="J359:J412" si="340">IF($I359="CAD",1,IF($I359="USD",VLOOKUP($E359,$F$9:$G$11,2,FALSE),"N/A"))</f>
        <v>1</v>
      </c>
      <c r="K359" s="468"/>
      <c r="L359" s="464" t="s">
        <v>107</v>
      </c>
      <c r="M359" s="217" t="s">
        <v>78</v>
      </c>
      <c r="N359" s="218" t="s">
        <v>78</v>
      </c>
      <c r="O359" s="219" t="s">
        <v>78</v>
      </c>
      <c r="P359" s="125" t="str">
        <f t="shared" si="320"/>
        <v>-</v>
      </c>
      <c r="Q359" s="311" t="s">
        <v>78</v>
      </c>
      <c r="R359" s="126" t="str">
        <f t="shared" si="321"/>
        <v>-</v>
      </c>
      <c r="S359" s="221" t="s">
        <v>78</v>
      </c>
      <c r="T359" s="125" t="str">
        <f t="shared" si="322"/>
        <v>-</v>
      </c>
      <c r="U359" s="127" t="str">
        <f t="shared" si="302"/>
        <v>-</v>
      </c>
      <c r="V359" s="128" t="str">
        <f>IFERROR(AVERAGE(U359:U361),"N/A")</f>
        <v>N/A</v>
      </c>
      <c r="W359" s="223" t="s">
        <v>78</v>
      </c>
      <c r="X359" s="129" t="str">
        <f t="shared" si="303"/>
        <v>-</v>
      </c>
      <c r="Y359" s="124" t="str">
        <f t="shared" si="307"/>
        <v>-</v>
      </c>
      <c r="Z359" s="130" t="str">
        <f t="shared" si="308"/>
        <v>-</v>
      </c>
      <c r="AA359" s="221" t="s">
        <v>78</v>
      </c>
      <c r="AB359" s="225" t="s">
        <v>78</v>
      </c>
      <c r="AC359" s="225" t="s">
        <v>78</v>
      </c>
      <c r="AD359" s="225" t="s">
        <v>78</v>
      </c>
      <c r="AE359" s="225" t="s">
        <v>78</v>
      </c>
      <c r="AF359" s="125" t="str">
        <f t="shared" ref="AF359:AF412" si="341">IFERROR(IF(SUM(AA359:AE359)=0,IF(COUNTIF($AA359:$AE359,"=0")&gt;0,"$0","-"),SUM(AA359:AE359)),"-")</f>
        <v>-</v>
      </c>
      <c r="AG359" s="127" t="str">
        <f t="shared" si="304"/>
        <v>-</v>
      </c>
      <c r="AH359" s="128" t="str">
        <f>IFERROR(AVERAGE(AG359:AG361),"N/A")</f>
        <v>N/A</v>
      </c>
      <c r="AI359" s="223" t="s">
        <v>78</v>
      </c>
      <c r="AJ359" s="131" t="str">
        <f t="shared" si="305"/>
        <v>-</v>
      </c>
      <c r="AK359" s="368" t="str">
        <f t="shared" ref="AK359:AK390" si="342">IFERROR($AF359*$J359,"-")</f>
        <v>-</v>
      </c>
      <c r="AL359" s="375" t="str">
        <f t="shared" si="309"/>
        <v>-</v>
      </c>
      <c r="AM359" s="376" t="str">
        <f t="shared" si="310"/>
        <v>-</v>
      </c>
      <c r="AN359" s="394" t="s">
        <v>78</v>
      </c>
      <c r="AO359" s="395" t="s">
        <v>78</v>
      </c>
      <c r="AP359" s="396" t="str">
        <f t="shared" si="335"/>
        <v>-</v>
      </c>
      <c r="AQ359" s="397" t="str">
        <f>IFERROR(AVERAGE(AP359:AP361),"N/A")</f>
        <v>N/A</v>
      </c>
      <c r="AR359" s="401" t="s">
        <v>78</v>
      </c>
      <c r="AS359" s="396" t="str">
        <f t="shared" si="336"/>
        <v>-</v>
      </c>
      <c r="AT359" s="397" t="str">
        <f>IFERROR(AVERAGE(AS359:AS361),"N/A")</f>
        <v>N/A</v>
      </c>
      <c r="AU359" s="388" t="str">
        <f t="shared" si="311"/>
        <v>-</v>
      </c>
      <c r="AV359" s="389" t="str">
        <f t="shared" si="312"/>
        <v>-</v>
      </c>
      <c r="AW359" s="353" t="s">
        <v>78</v>
      </c>
      <c r="AX359" s="403"/>
      <c r="AY359" s="404"/>
    </row>
    <row r="360" spans="1:51" ht="15" customHeight="1">
      <c r="A360" s="1" t="str">
        <f t="shared" si="334"/>
        <v>0_2023_</v>
      </c>
      <c r="B360" s="1" t="str">
        <f t="shared" si="339"/>
        <v>0_2023_NEO1</v>
      </c>
      <c r="C360" s="114">
        <f t="shared" si="318"/>
        <v>0</v>
      </c>
      <c r="D360" s="133" t="str">
        <f>_xll.ciqfunctions.udf.CIQ(C360,"IQ_Company_Name")</f>
        <v>(Invalid Identifier)</v>
      </c>
      <c r="E360" s="114">
        <f t="shared" si="314"/>
        <v>2023</v>
      </c>
      <c r="F360" s="330" t="str">
        <f t="shared" si="299"/>
        <v>2023-01-01</v>
      </c>
      <c r="G360" s="330" t="str">
        <f t="shared" si="326"/>
        <v>2023-12-31</v>
      </c>
      <c r="H360" s="114">
        <f t="shared" si="306"/>
        <v>12</v>
      </c>
      <c r="I360" s="407" t="str">
        <f t="shared" si="300"/>
        <v>CAD</v>
      </c>
      <c r="J360" s="461">
        <f t="shared" si="340"/>
        <v>1</v>
      </c>
      <c r="K360" s="468"/>
      <c r="L360" s="465" t="str">
        <f t="shared" ref="L360:N361" si="343">L359</f>
        <v>NEO1</v>
      </c>
      <c r="M360" s="123" t="str">
        <f t="shared" si="343"/>
        <v>-</v>
      </c>
      <c r="N360" s="132" t="str">
        <f t="shared" si="343"/>
        <v>-</v>
      </c>
      <c r="O360" s="219" t="s">
        <v>78</v>
      </c>
      <c r="P360" s="125" t="str">
        <f t="shared" si="320"/>
        <v>-</v>
      </c>
      <c r="Q360" s="311" t="s">
        <v>78</v>
      </c>
      <c r="R360" s="126" t="str">
        <f t="shared" si="321"/>
        <v>-</v>
      </c>
      <c r="S360" s="221" t="s">
        <v>78</v>
      </c>
      <c r="T360" s="125" t="str">
        <f t="shared" si="322"/>
        <v>-</v>
      </c>
      <c r="U360" s="127" t="str">
        <f t="shared" si="302"/>
        <v>-</v>
      </c>
      <c r="V360" s="128"/>
      <c r="W360" s="223" t="s">
        <v>78</v>
      </c>
      <c r="X360" s="129" t="str">
        <f t="shared" si="303"/>
        <v>-</v>
      </c>
      <c r="Y360" s="124" t="str">
        <f t="shared" si="307"/>
        <v>-</v>
      </c>
      <c r="Z360" s="130" t="str">
        <f t="shared" si="308"/>
        <v>-</v>
      </c>
      <c r="AA360" s="221" t="s">
        <v>78</v>
      </c>
      <c r="AB360" s="225" t="s">
        <v>78</v>
      </c>
      <c r="AC360" s="225" t="s">
        <v>78</v>
      </c>
      <c r="AD360" s="225" t="s">
        <v>78</v>
      </c>
      <c r="AE360" s="225" t="s">
        <v>78</v>
      </c>
      <c r="AF360" s="125" t="str">
        <f t="shared" si="341"/>
        <v>-</v>
      </c>
      <c r="AG360" s="127" t="str">
        <f t="shared" si="304"/>
        <v>-</v>
      </c>
      <c r="AH360" s="128"/>
      <c r="AI360" s="223" t="s">
        <v>78</v>
      </c>
      <c r="AJ360" s="131" t="str">
        <f t="shared" si="305"/>
        <v>-</v>
      </c>
      <c r="AK360" s="368" t="str">
        <f t="shared" si="342"/>
        <v>-</v>
      </c>
      <c r="AL360" s="375" t="str">
        <f t="shared" si="309"/>
        <v>-</v>
      </c>
      <c r="AM360" s="376" t="str">
        <f t="shared" si="310"/>
        <v>-</v>
      </c>
      <c r="AN360" s="394" t="s">
        <v>78</v>
      </c>
      <c r="AO360" s="395" t="s">
        <v>78</v>
      </c>
      <c r="AP360" s="396" t="str">
        <f t="shared" si="335"/>
        <v>-</v>
      </c>
      <c r="AQ360" s="397"/>
      <c r="AR360" s="401" t="s">
        <v>78</v>
      </c>
      <c r="AS360" s="396" t="str">
        <f t="shared" si="336"/>
        <v>-</v>
      </c>
      <c r="AT360" s="397"/>
      <c r="AU360" s="388" t="str">
        <f t="shared" si="311"/>
        <v>-</v>
      </c>
      <c r="AV360" s="389" t="str">
        <f t="shared" si="312"/>
        <v>-</v>
      </c>
      <c r="AW360" s="353" t="s">
        <v>78</v>
      </c>
      <c r="AX360" s="403"/>
      <c r="AY360" s="404"/>
    </row>
    <row r="361" spans="1:51" ht="15" customHeight="1">
      <c r="A361" s="1" t="str">
        <f t="shared" si="334"/>
        <v>0_2022_</v>
      </c>
      <c r="B361" s="1" t="str">
        <f t="shared" si="339"/>
        <v>0_2022_NEO1</v>
      </c>
      <c r="C361" s="114">
        <f t="shared" si="318"/>
        <v>0</v>
      </c>
      <c r="D361" s="133" t="str">
        <f>_xll.ciqfunctions.udf.CIQ(C361,"IQ_Company_Name")</f>
        <v>(Invalid Identifier)</v>
      </c>
      <c r="E361" s="114">
        <f t="shared" si="314"/>
        <v>2022</v>
      </c>
      <c r="F361" s="114" t="str">
        <f t="shared" si="299"/>
        <v>2022-01-01</v>
      </c>
      <c r="G361" s="330" t="str">
        <f t="shared" si="326"/>
        <v>2022-12-31</v>
      </c>
      <c r="H361" s="114">
        <f t="shared" si="306"/>
        <v>12</v>
      </c>
      <c r="I361" s="407" t="str">
        <f t="shared" si="300"/>
        <v>CAD</v>
      </c>
      <c r="J361" s="461">
        <f t="shared" si="340"/>
        <v>1</v>
      </c>
      <c r="K361" s="468"/>
      <c r="L361" s="465" t="str">
        <f t="shared" si="343"/>
        <v>NEO1</v>
      </c>
      <c r="M361" s="123" t="str">
        <f t="shared" si="343"/>
        <v>-</v>
      </c>
      <c r="N361" s="132" t="str">
        <f t="shared" si="343"/>
        <v>-</v>
      </c>
      <c r="O361" s="219" t="s">
        <v>78</v>
      </c>
      <c r="P361" s="125" t="str">
        <f t="shared" si="320"/>
        <v>-</v>
      </c>
      <c r="Q361" s="311" t="s">
        <v>78</v>
      </c>
      <c r="R361" s="126" t="str">
        <f t="shared" si="321"/>
        <v>-</v>
      </c>
      <c r="S361" s="221" t="s">
        <v>78</v>
      </c>
      <c r="T361" s="125" t="str">
        <f t="shared" si="322"/>
        <v>-</v>
      </c>
      <c r="U361" s="127" t="str">
        <f t="shared" si="302"/>
        <v>-</v>
      </c>
      <c r="V361" s="128"/>
      <c r="W361" s="223" t="s">
        <v>78</v>
      </c>
      <c r="X361" s="129" t="str">
        <f t="shared" si="303"/>
        <v>-</v>
      </c>
      <c r="Y361" s="124" t="str">
        <f t="shared" si="307"/>
        <v>-</v>
      </c>
      <c r="Z361" s="130" t="str">
        <f t="shared" si="308"/>
        <v>-</v>
      </c>
      <c r="AA361" s="221" t="s">
        <v>78</v>
      </c>
      <c r="AB361" s="225" t="s">
        <v>78</v>
      </c>
      <c r="AC361" s="225" t="s">
        <v>78</v>
      </c>
      <c r="AD361" s="225" t="s">
        <v>78</v>
      </c>
      <c r="AE361" s="225" t="s">
        <v>78</v>
      </c>
      <c r="AF361" s="125" t="str">
        <f t="shared" si="341"/>
        <v>-</v>
      </c>
      <c r="AG361" s="127" t="str">
        <f t="shared" si="304"/>
        <v>-</v>
      </c>
      <c r="AH361" s="128"/>
      <c r="AI361" s="223" t="s">
        <v>78</v>
      </c>
      <c r="AJ361" s="131" t="str">
        <f t="shared" si="305"/>
        <v>-</v>
      </c>
      <c r="AK361" s="368" t="str">
        <f t="shared" si="342"/>
        <v>-</v>
      </c>
      <c r="AL361" s="375" t="str">
        <f t="shared" si="309"/>
        <v>-</v>
      </c>
      <c r="AM361" s="376" t="str">
        <f t="shared" si="310"/>
        <v>-</v>
      </c>
      <c r="AN361" s="394" t="s">
        <v>78</v>
      </c>
      <c r="AO361" s="395" t="s">
        <v>78</v>
      </c>
      <c r="AP361" s="396" t="str">
        <f t="shared" si="335"/>
        <v>-</v>
      </c>
      <c r="AQ361" s="397"/>
      <c r="AR361" s="401" t="s">
        <v>78</v>
      </c>
      <c r="AS361" s="396" t="str">
        <f t="shared" si="336"/>
        <v>-</v>
      </c>
      <c r="AT361" s="397"/>
      <c r="AU361" s="388" t="str">
        <f t="shared" si="311"/>
        <v>-</v>
      </c>
      <c r="AV361" s="389" t="str">
        <f t="shared" si="312"/>
        <v>-</v>
      </c>
      <c r="AW361" s="353" t="s">
        <v>78</v>
      </c>
      <c r="AX361" s="403"/>
      <c r="AY361" s="404"/>
    </row>
    <row r="362" spans="1:51" ht="15" customHeight="1">
      <c r="A362" s="1" t="str">
        <f t="shared" si="334"/>
        <v>0_2024_</v>
      </c>
      <c r="B362" s="1" t="str">
        <f t="shared" si="339"/>
        <v>0_2024_NEO2</v>
      </c>
      <c r="C362" s="114">
        <f t="shared" si="318"/>
        <v>0</v>
      </c>
      <c r="D362" s="133" t="str">
        <f>_xll.ciqfunctions.udf.CIQ(C362,"IQ_Company_Name")</f>
        <v>(Invalid Identifier)</v>
      </c>
      <c r="E362" s="114">
        <f t="shared" si="314"/>
        <v>2024</v>
      </c>
      <c r="F362" s="114" t="str">
        <f t="shared" si="299"/>
        <v>2024-01-01</v>
      </c>
      <c r="G362" s="330" t="str">
        <f t="shared" si="326"/>
        <v>2024-12-31</v>
      </c>
      <c r="H362" s="114">
        <f t="shared" si="306"/>
        <v>12</v>
      </c>
      <c r="I362" s="407" t="str">
        <f t="shared" si="300"/>
        <v>CAD</v>
      </c>
      <c r="J362" s="461">
        <f t="shared" si="340"/>
        <v>1</v>
      </c>
      <c r="K362" s="468"/>
      <c r="L362" s="464" t="s">
        <v>108</v>
      </c>
      <c r="M362" s="217" t="s">
        <v>78</v>
      </c>
      <c r="N362" s="218" t="s">
        <v>78</v>
      </c>
      <c r="O362" s="219" t="s">
        <v>78</v>
      </c>
      <c r="P362" s="125" t="str">
        <f t="shared" si="320"/>
        <v>-</v>
      </c>
      <c r="Q362" s="311" t="s">
        <v>78</v>
      </c>
      <c r="R362" s="126" t="str">
        <f t="shared" si="321"/>
        <v>-</v>
      </c>
      <c r="S362" s="221" t="s">
        <v>78</v>
      </c>
      <c r="T362" s="125" t="str">
        <f t="shared" si="322"/>
        <v>-</v>
      </c>
      <c r="U362" s="127" t="str">
        <f t="shared" si="302"/>
        <v>-</v>
      </c>
      <c r="V362" s="128" t="str">
        <f>IFERROR(AVERAGE(U362:U364),"N/A")</f>
        <v>N/A</v>
      </c>
      <c r="W362" s="223" t="s">
        <v>78</v>
      </c>
      <c r="X362" s="129" t="str">
        <f t="shared" si="303"/>
        <v>-</v>
      </c>
      <c r="Y362" s="124" t="str">
        <f t="shared" si="307"/>
        <v>-</v>
      </c>
      <c r="Z362" s="130" t="str">
        <f t="shared" si="308"/>
        <v>-</v>
      </c>
      <c r="AA362" s="221" t="s">
        <v>78</v>
      </c>
      <c r="AB362" s="225" t="s">
        <v>78</v>
      </c>
      <c r="AC362" s="225" t="s">
        <v>78</v>
      </c>
      <c r="AD362" s="225" t="s">
        <v>78</v>
      </c>
      <c r="AE362" s="225" t="s">
        <v>78</v>
      </c>
      <c r="AF362" s="125" t="str">
        <f t="shared" si="341"/>
        <v>-</v>
      </c>
      <c r="AG362" s="127" t="str">
        <f t="shared" si="304"/>
        <v>-</v>
      </c>
      <c r="AH362" s="128" t="str">
        <f>IFERROR(AVERAGE(AG362:AG364),"N/A")</f>
        <v>N/A</v>
      </c>
      <c r="AI362" s="223" t="s">
        <v>78</v>
      </c>
      <c r="AJ362" s="131" t="str">
        <f t="shared" si="305"/>
        <v>-</v>
      </c>
      <c r="AK362" s="368" t="str">
        <f t="shared" si="342"/>
        <v>-</v>
      </c>
      <c r="AL362" s="375" t="str">
        <f t="shared" si="309"/>
        <v>-</v>
      </c>
      <c r="AM362" s="376" t="str">
        <f t="shared" si="310"/>
        <v>-</v>
      </c>
      <c r="AN362" s="394" t="s">
        <v>78</v>
      </c>
      <c r="AO362" s="395" t="s">
        <v>78</v>
      </c>
      <c r="AP362" s="396" t="str">
        <f t="shared" si="335"/>
        <v>-</v>
      </c>
      <c r="AQ362" s="397" t="str">
        <f>IFERROR(AVERAGE(AP362:AP364),"N/A")</f>
        <v>N/A</v>
      </c>
      <c r="AR362" s="401" t="s">
        <v>78</v>
      </c>
      <c r="AS362" s="396" t="str">
        <f t="shared" si="336"/>
        <v>-</v>
      </c>
      <c r="AT362" s="397" t="str">
        <f>IFERROR(AVERAGE(AS362:AS364),"N/A")</f>
        <v>N/A</v>
      </c>
      <c r="AU362" s="388" t="str">
        <f t="shared" si="311"/>
        <v>-</v>
      </c>
      <c r="AV362" s="389" t="str">
        <f t="shared" si="312"/>
        <v>-</v>
      </c>
      <c r="AW362" s="353" t="s">
        <v>78</v>
      </c>
      <c r="AX362" s="403"/>
      <c r="AY362" s="404"/>
    </row>
    <row r="363" spans="1:51" ht="15" customHeight="1">
      <c r="A363" s="1" t="str">
        <f t="shared" si="334"/>
        <v>0_2023_</v>
      </c>
      <c r="B363" s="1" t="str">
        <f t="shared" si="339"/>
        <v>0_2023_NEO2</v>
      </c>
      <c r="C363" s="114">
        <f t="shared" si="318"/>
        <v>0</v>
      </c>
      <c r="D363" s="133" t="str">
        <f>_xll.ciqfunctions.udf.CIQ(C363,"IQ_Company_Name")</f>
        <v>(Invalid Identifier)</v>
      </c>
      <c r="E363" s="114">
        <f t="shared" si="314"/>
        <v>2023</v>
      </c>
      <c r="F363" s="114" t="str">
        <f t="shared" si="299"/>
        <v>2023-01-01</v>
      </c>
      <c r="G363" s="330" t="str">
        <f t="shared" si="326"/>
        <v>2023-12-31</v>
      </c>
      <c r="H363" s="114">
        <f t="shared" si="306"/>
        <v>12</v>
      </c>
      <c r="I363" s="407" t="str">
        <f t="shared" si="300"/>
        <v>CAD</v>
      </c>
      <c r="J363" s="461">
        <f t="shared" si="340"/>
        <v>1</v>
      </c>
      <c r="K363" s="468"/>
      <c r="L363" s="465" t="str">
        <f t="shared" ref="L363:N364" si="344">L362</f>
        <v>NEO2</v>
      </c>
      <c r="M363" s="123" t="str">
        <f t="shared" si="344"/>
        <v>-</v>
      </c>
      <c r="N363" s="132" t="str">
        <f t="shared" si="344"/>
        <v>-</v>
      </c>
      <c r="O363" s="219" t="s">
        <v>78</v>
      </c>
      <c r="P363" s="125" t="str">
        <f t="shared" si="320"/>
        <v>-</v>
      </c>
      <c r="Q363" s="311" t="s">
        <v>78</v>
      </c>
      <c r="R363" s="126" t="str">
        <f t="shared" si="321"/>
        <v>-</v>
      </c>
      <c r="S363" s="221" t="s">
        <v>78</v>
      </c>
      <c r="T363" s="125" t="str">
        <f t="shared" si="322"/>
        <v>-</v>
      </c>
      <c r="U363" s="127" t="str">
        <f t="shared" si="302"/>
        <v>-</v>
      </c>
      <c r="V363" s="128"/>
      <c r="W363" s="223" t="s">
        <v>78</v>
      </c>
      <c r="X363" s="129" t="str">
        <f t="shared" si="303"/>
        <v>-</v>
      </c>
      <c r="Y363" s="124" t="str">
        <f t="shared" si="307"/>
        <v>-</v>
      </c>
      <c r="Z363" s="130" t="str">
        <f t="shared" si="308"/>
        <v>-</v>
      </c>
      <c r="AA363" s="221" t="s">
        <v>78</v>
      </c>
      <c r="AB363" s="225" t="s">
        <v>78</v>
      </c>
      <c r="AC363" s="225" t="s">
        <v>78</v>
      </c>
      <c r="AD363" s="225" t="s">
        <v>78</v>
      </c>
      <c r="AE363" s="225" t="s">
        <v>78</v>
      </c>
      <c r="AF363" s="125" t="str">
        <f t="shared" si="341"/>
        <v>-</v>
      </c>
      <c r="AG363" s="127" t="str">
        <f t="shared" si="304"/>
        <v>-</v>
      </c>
      <c r="AH363" s="128"/>
      <c r="AI363" s="223" t="s">
        <v>78</v>
      </c>
      <c r="AJ363" s="131" t="str">
        <f t="shared" si="305"/>
        <v>-</v>
      </c>
      <c r="AK363" s="368" t="str">
        <f t="shared" si="342"/>
        <v>-</v>
      </c>
      <c r="AL363" s="375" t="str">
        <f t="shared" si="309"/>
        <v>-</v>
      </c>
      <c r="AM363" s="376" t="str">
        <f t="shared" si="310"/>
        <v>-</v>
      </c>
      <c r="AN363" s="394" t="s">
        <v>78</v>
      </c>
      <c r="AO363" s="395" t="s">
        <v>78</v>
      </c>
      <c r="AP363" s="396" t="str">
        <f t="shared" si="335"/>
        <v>-</v>
      </c>
      <c r="AQ363" s="397"/>
      <c r="AR363" s="401" t="s">
        <v>78</v>
      </c>
      <c r="AS363" s="396" t="str">
        <f t="shared" si="336"/>
        <v>-</v>
      </c>
      <c r="AT363" s="397"/>
      <c r="AU363" s="388" t="str">
        <f t="shared" si="311"/>
        <v>-</v>
      </c>
      <c r="AV363" s="389" t="str">
        <f t="shared" si="312"/>
        <v>-</v>
      </c>
      <c r="AW363" s="353" t="s">
        <v>78</v>
      </c>
      <c r="AX363" s="403"/>
      <c r="AY363" s="404"/>
    </row>
    <row r="364" spans="1:51" ht="15" customHeight="1">
      <c r="A364" s="1" t="str">
        <f t="shared" si="334"/>
        <v>0_2022_</v>
      </c>
      <c r="B364" s="1" t="str">
        <f t="shared" si="339"/>
        <v>0_2022_NEO2</v>
      </c>
      <c r="C364" s="114">
        <f t="shared" si="318"/>
        <v>0</v>
      </c>
      <c r="D364" s="133" t="str">
        <f>_xll.ciqfunctions.udf.CIQ(C364,"IQ_Company_Name")</f>
        <v>(Invalid Identifier)</v>
      </c>
      <c r="E364" s="114">
        <f t="shared" si="314"/>
        <v>2022</v>
      </c>
      <c r="F364" s="114" t="str">
        <f t="shared" si="299"/>
        <v>2022-01-01</v>
      </c>
      <c r="G364" s="330" t="str">
        <f t="shared" si="326"/>
        <v>2022-12-31</v>
      </c>
      <c r="H364" s="114">
        <f t="shared" si="306"/>
        <v>12</v>
      </c>
      <c r="I364" s="407" t="str">
        <f t="shared" si="300"/>
        <v>CAD</v>
      </c>
      <c r="J364" s="461">
        <f t="shared" si="340"/>
        <v>1</v>
      </c>
      <c r="K364" s="468"/>
      <c r="L364" s="465" t="str">
        <f t="shared" si="344"/>
        <v>NEO2</v>
      </c>
      <c r="M364" s="123" t="str">
        <f t="shared" si="344"/>
        <v>-</v>
      </c>
      <c r="N364" s="132" t="str">
        <f t="shared" si="344"/>
        <v>-</v>
      </c>
      <c r="O364" s="219" t="s">
        <v>78</v>
      </c>
      <c r="P364" s="125" t="str">
        <f t="shared" si="320"/>
        <v>-</v>
      </c>
      <c r="Q364" s="311" t="s">
        <v>78</v>
      </c>
      <c r="R364" s="126" t="str">
        <f t="shared" si="321"/>
        <v>-</v>
      </c>
      <c r="S364" s="221" t="s">
        <v>78</v>
      </c>
      <c r="T364" s="125" t="str">
        <f t="shared" si="322"/>
        <v>-</v>
      </c>
      <c r="U364" s="127" t="str">
        <f t="shared" si="302"/>
        <v>-</v>
      </c>
      <c r="V364" s="128"/>
      <c r="W364" s="223" t="s">
        <v>78</v>
      </c>
      <c r="X364" s="129" t="str">
        <f t="shared" si="303"/>
        <v>-</v>
      </c>
      <c r="Y364" s="124" t="str">
        <f t="shared" si="307"/>
        <v>-</v>
      </c>
      <c r="Z364" s="130" t="str">
        <f t="shared" si="308"/>
        <v>-</v>
      </c>
      <c r="AA364" s="221" t="s">
        <v>78</v>
      </c>
      <c r="AB364" s="225" t="s">
        <v>78</v>
      </c>
      <c r="AC364" s="225" t="s">
        <v>78</v>
      </c>
      <c r="AD364" s="225" t="s">
        <v>78</v>
      </c>
      <c r="AE364" s="225" t="s">
        <v>78</v>
      </c>
      <c r="AF364" s="125" t="str">
        <f t="shared" si="341"/>
        <v>-</v>
      </c>
      <c r="AG364" s="127" t="str">
        <f t="shared" si="304"/>
        <v>-</v>
      </c>
      <c r="AH364" s="128"/>
      <c r="AI364" s="223" t="s">
        <v>78</v>
      </c>
      <c r="AJ364" s="131" t="str">
        <f t="shared" si="305"/>
        <v>-</v>
      </c>
      <c r="AK364" s="368" t="str">
        <f t="shared" si="342"/>
        <v>-</v>
      </c>
      <c r="AL364" s="375" t="str">
        <f t="shared" si="309"/>
        <v>-</v>
      </c>
      <c r="AM364" s="376" t="str">
        <f t="shared" si="310"/>
        <v>-</v>
      </c>
      <c r="AN364" s="394" t="s">
        <v>78</v>
      </c>
      <c r="AO364" s="395" t="s">
        <v>78</v>
      </c>
      <c r="AP364" s="396" t="str">
        <f t="shared" si="335"/>
        <v>-</v>
      </c>
      <c r="AQ364" s="397"/>
      <c r="AR364" s="401" t="s">
        <v>78</v>
      </c>
      <c r="AS364" s="396" t="str">
        <f t="shared" si="336"/>
        <v>-</v>
      </c>
      <c r="AT364" s="397"/>
      <c r="AU364" s="388" t="str">
        <f t="shared" si="311"/>
        <v>-</v>
      </c>
      <c r="AV364" s="389" t="str">
        <f t="shared" si="312"/>
        <v>-</v>
      </c>
      <c r="AW364" s="353" t="s">
        <v>78</v>
      </c>
      <c r="AX364" s="403"/>
      <c r="AY364" s="404"/>
    </row>
    <row r="365" spans="1:51" ht="15" customHeight="1">
      <c r="A365" s="1" t="str">
        <f t="shared" si="334"/>
        <v>0_2024_</v>
      </c>
      <c r="B365" s="1" t="str">
        <f t="shared" si="339"/>
        <v>0_2024_NEO3</v>
      </c>
      <c r="C365" s="114">
        <f t="shared" si="318"/>
        <v>0</v>
      </c>
      <c r="D365" s="133" t="str">
        <f>_xll.ciqfunctions.udf.CIQ(C365,"IQ_Company_Name")</f>
        <v>(Invalid Identifier)</v>
      </c>
      <c r="E365" s="114">
        <f t="shared" si="314"/>
        <v>2024</v>
      </c>
      <c r="F365" s="114" t="str">
        <f t="shared" si="299"/>
        <v>2024-01-01</v>
      </c>
      <c r="G365" s="330" t="str">
        <f t="shared" si="326"/>
        <v>2024-12-31</v>
      </c>
      <c r="H365" s="114">
        <f t="shared" si="306"/>
        <v>12</v>
      </c>
      <c r="I365" s="407" t="str">
        <f t="shared" si="300"/>
        <v>CAD</v>
      </c>
      <c r="J365" s="461">
        <f t="shared" si="340"/>
        <v>1</v>
      </c>
      <c r="K365" s="468"/>
      <c r="L365" s="464" t="s">
        <v>109</v>
      </c>
      <c r="M365" s="217" t="s">
        <v>78</v>
      </c>
      <c r="N365" s="218" t="s">
        <v>78</v>
      </c>
      <c r="O365" s="219" t="s">
        <v>78</v>
      </c>
      <c r="P365" s="125" t="str">
        <f t="shared" si="320"/>
        <v>-</v>
      </c>
      <c r="Q365" s="311" t="s">
        <v>78</v>
      </c>
      <c r="R365" s="126" t="str">
        <f t="shared" si="321"/>
        <v>-</v>
      </c>
      <c r="S365" s="221" t="s">
        <v>78</v>
      </c>
      <c r="T365" s="125" t="str">
        <f t="shared" si="322"/>
        <v>-</v>
      </c>
      <c r="U365" s="127" t="str">
        <f t="shared" si="302"/>
        <v>-</v>
      </c>
      <c r="V365" s="128" t="str">
        <f>IFERROR(AVERAGE(U365:U367),"N/A")</f>
        <v>N/A</v>
      </c>
      <c r="W365" s="223" t="s">
        <v>78</v>
      </c>
      <c r="X365" s="129" t="str">
        <f t="shared" si="303"/>
        <v>-</v>
      </c>
      <c r="Y365" s="124" t="str">
        <f t="shared" si="307"/>
        <v>-</v>
      </c>
      <c r="Z365" s="130" t="str">
        <f t="shared" si="308"/>
        <v>-</v>
      </c>
      <c r="AA365" s="221" t="s">
        <v>78</v>
      </c>
      <c r="AB365" s="225" t="s">
        <v>78</v>
      </c>
      <c r="AC365" s="225" t="s">
        <v>78</v>
      </c>
      <c r="AD365" s="225" t="s">
        <v>78</v>
      </c>
      <c r="AE365" s="225" t="s">
        <v>78</v>
      </c>
      <c r="AF365" s="125" t="str">
        <f t="shared" si="341"/>
        <v>-</v>
      </c>
      <c r="AG365" s="127" t="str">
        <f t="shared" si="304"/>
        <v>-</v>
      </c>
      <c r="AH365" s="128" t="str">
        <f>IFERROR(AVERAGE(AG365:AG367),"N/A")</f>
        <v>N/A</v>
      </c>
      <c r="AI365" s="223" t="s">
        <v>78</v>
      </c>
      <c r="AJ365" s="131" t="str">
        <f t="shared" si="305"/>
        <v>-</v>
      </c>
      <c r="AK365" s="368" t="str">
        <f t="shared" si="342"/>
        <v>-</v>
      </c>
      <c r="AL365" s="375" t="str">
        <f t="shared" si="309"/>
        <v>-</v>
      </c>
      <c r="AM365" s="376" t="str">
        <f t="shared" si="310"/>
        <v>-</v>
      </c>
      <c r="AN365" s="394" t="s">
        <v>78</v>
      </c>
      <c r="AO365" s="395" t="s">
        <v>78</v>
      </c>
      <c r="AP365" s="396" t="str">
        <f t="shared" si="335"/>
        <v>-</v>
      </c>
      <c r="AQ365" s="397" t="str">
        <f>IFERROR(AVERAGE(AP365:AP367),"N/A")</f>
        <v>N/A</v>
      </c>
      <c r="AR365" s="401" t="s">
        <v>78</v>
      </c>
      <c r="AS365" s="396" t="str">
        <f t="shared" si="336"/>
        <v>-</v>
      </c>
      <c r="AT365" s="397" t="str">
        <f>IFERROR(AVERAGE(AS365:AS367),"N/A")</f>
        <v>N/A</v>
      </c>
      <c r="AU365" s="388" t="str">
        <f t="shared" si="311"/>
        <v>-</v>
      </c>
      <c r="AV365" s="389" t="str">
        <f t="shared" si="312"/>
        <v>-</v>
      </c>
      <c r="AW365" s="353" t="s">
        <v>78</v>
      </c>
      <c r="AX365" s="403"/>
      <c r="AY365" s="404"/>
    </row>
    <row r="366" spans="1:51" ht="15" customHeight="1">
      <c r="A366" s="1" t="str">
        <f t="shared" si="334"/>
        <v>0_2023_</v>
      </c>
      <c r="B366" s="1" t="str">
        <f t="shared" si="339"/>
        <v>0_2023_NEO3</v>
      </c>
      <c r="C366" s="114">
        <f t="shared" si="318"/>
        <v>0</v>
      </c>
      <c r="D366" s="133" t="str">
        <f>_xll.ciqfunctions.udf.CIQ(C366,"IQ_Company_Name")</f>
        <v>(Invalid Identifier)</v>
      </c>
      <c r="E366" s="114">
        <f t="shared" si="314"/>
        <v>2023</v>
      </c>
      <c r="F366" s="114" t="str">
        <f t="shared" si="299"/>
        <v>2023-01-01</v>
      </c>
      <c r="G366" s="330" t="str">
        <f t="shared" si="326"/>
        <v>2023-12-31</v>
      </c>
      <c r="H366" s="114">
        <f t="shared" si="306"/>
        <v>12</v>
      </c>
      <c r="I366" s="407" t="str">
        <f t="shared" si="300"/>
        <v>CAD</v>
      </c>
      <c r="J366" s="461">
        <f t="shared" si="340"/>
        <v>1</v>
      </c>
      <c r="K366" s="468"/>
      <c r="L366" s="465" t="str">
        <f t="shared" ref="L366:N367" si="345">L365</f>
        <v>NEO3</v>
      </c>
      <c r="M366" s="123" t="str">
        <f t="shared" si="345"/>
        <v>-</v>
      </c>
      <c r="N366" s="132" t="str">
        <f t="shared" si="345"/>
        <v>-</v>
      </c>
      <c r="O366" s="219" t="s">
        <v>78</v>
      </c>
      <c r="P366" s="125" t="str">
        <f t="shared" si="320"/>
        <v>-</v>
      </c>
      <c r="Q366" s="311" t="s">
        <v>78</v>
      </c>
      <c r="R366" s="126" t="str">
        <f t="shared" si="321"/>
        <v>-</v>
      </c>
      <c r="S366" s="221" t="s">
        <v>78</v>
      </c>
      <c r="T366" s="125" t="str">
        <f t="shared" si="322"/>
        <v>-</v>
      </c>
      <c r="U366" s="127" t="str">
        <f t="shared" si="302"/>
        <v>-</v>
      </c>
      <c r="V366" s="128"/>
      <c r="W366" s="223" t="s">
        <v>78</v>
      </c>
      <c r="X366" s="129" t="str">
        <f t="shared" si="303"/>
        <v>-</v>
      </c>
      <c r="Y366" s="124" t="str">
        <f t="shared" si="307"/>
        <v>-</v>
      </c>
      <c r="Z366" s="130" t="str">
        <f t="shared" si="308"/>
        <v>-</v>
      </c>
      <c r="AA366" s="221" t="s">
        <v>78</v>
      </c>
      <c r="AB366" s="225" t="s">
        <v>78</v>
      </c>
      <c r="AC366" s="225" t="s">
        <v>78</v>
      </c>
      <c r="AD366" s="225" t="s">
        <v>78</v>
      </c>
      <c r="AE366" s="225" t="s">
        <v>78</v>
      </c>
      <c r="AF366" s="125" t="str">
        <f t="shared" si="341"/>
        <v>-</v>
      </c>
      <c r="AG366" s="127" t="str">
        <f t="shared" si="304"/>
        <v>-</v>
      </c>
      <c r="AH366" s="128"/>
      <c r="AI366" s="223" t="s">
        <v>78</v>
      </c>
      <c r="AJ366" s="131" t="str">
        <f t="shared" si="305"/>
        <v>-</v>
      </c>
      <c r="AK366" s="368" t="str">
        <f t="shared" si="342"/>
        <v>-</v>
      </c>
      <c r="AL366" s="375" t="str">
        <f t="shared" si="309"/>
        <v>-</v>
      </c>
      <c r="AM366" s="376" t="str">
        <f t="shared" si="310"/>
        <v>-</v>
      </c>
      <c r="AN366" s="394" t="s">
        <v>78</v>
      </c>
      <c r="AO366" s="395" t="s">
        <v>78</v>
      </c>
      <c r="AP366" s="396" t="str">
        <f t="shared" si="335"/>
        <v>-</v>
      </c>
      <c r="AQ366" s="397"/>
      <c r="AR366" s="401" t="s">
        <v>78</v>
      </c>
      <c r="AS366" s="396" t="str">
        <f t="shared" si="336"/>
        <v>-</v>
      </c>
      <c r="AT366" s="397"/>
      <c r="AU366" s="388" t="str">
        <f t="shared" si="311"/>
        <v>-</v>
      </c>
      <c r="AV366" s="389" t="str">
        <f t="shared" si="312"/>
        <v>-</v>
      </c>
      <c r="AW366" s="353" t="s">
        <v>78</v>
      </c>
      <c r="AX366" s="403"/>
      <c r="AY366" s="404"/>
    </row>
    <row r="367" spans="1:51" ht="15" customHeight="1">
      <c r="A367" s="1" t="str">
        <f t="shared" si="334"/>
        <v>0_2022_</v>
      </c>
      <c r="B367" s="1" t="str">
        <f t="shared" si="339"/>
        <v>0_2022_NEO3</v>
      </c>
      <c r="C367" s="203">
        <f t="shared" si="318"/>
        <v>0</v>
      </c>
      <c r="D367" s="205" t="str">
        <f>_xll.ciqfunctions.udf.CIQ(C367,"IQ_Company_Name")</f>
        <v>(Invalid Identifier)</v>
      </c>
      <c r="E367" s="204">
        <f t="shared" si="314"/>
        <v>2022</v>
      </c>
      <c r="F367" s="204" t="str">
        <f t="shared" si="299"/>
        <v>2022-01-01</v>
      </c>
      <c r="G367" s="331" t="str">
        <f t="shared" si="326"/>
        <v>2022-12-31</v>
      </c>
      <c r="H367" s="204">
        <f t="shared" si="306"/>
        <v>12</v>
      </c>
      <c r="I367" s="408" t="str">
        <f t="shared" si="300"/>
        <v>CAD</v>
      </c>
      <c r="J367" s="463">
        <f t="shared" si="340"/>
        <v>1</v>
      </c>
      <c r="K367" s="470"/>
      <c r="L367" s="466" t="str">
        <f t="shared" si="345"/>
        <v>NEO3</v>
      </c>
      <c r="M367" s="206" t="str">
        <f t="shared" si="345"/>
        <v>-</v>
      </c>
      <c r="N367" s="207" t="str">
        <f t="shared" si="345"/>
        <v>-</v>
      </c>
      <c r="O367" s="220" t="s">
        <v>78</v>
      </c>
      <c r="P367" s="209" t="str">
        <f t="shared" si="320"/>
        <v>-</v>
      </c>
      <c r="Q367" s="312" t="s">
        <v>78</v>
      </c>
      <c r="R367" s="329" t="str">
        <f t="shared" si="321"/>
        <v>-</v>
      </c>
      <c r="S367" s="222" t="s">
        <v>78</v>
      </c>
      <c r="T367" s="209" t="str">
        <f t="shared" si="322"/>
        <v>-</v>
      </c>
      <c r="U367" s="211" t="str">
        <f t="shared" si="302"/>
        <v>-</v>
      </c>
      <c r="V367" s="212"/>
      <c r="W367" s="224" t="s">
        <v>78</v>
      </c>
      <c r="X367" s="213" t="str">
        <f t="shared" si="303"/>
        <v>-</v>
      </c>
      <c r="Y367" s="208" t="str">
        <f t="shared" si="307"/>
        <v>-</v>
      </c>
      <c r="Z367" s="214" t="str">
        <f t="shared" si="308"/>
        <v>-</v>
      </c>
      <c r="AA367" s="222" t="s">
        <v>78</v>
      </c>
      <c r="AB367" s="226" t="s">
        <v>78</v>
      </c>
      <c r="AC367" s="226" t="s">
        <v>78</v>
      </c>
      <c r="AD367" s="226" t="s">
        <v>78</v>
      </c>
      <c r="AE367" s="226" t="s">
        <v>78</v>
      </c>
      <c r="AF367" s="420" t="str">
        <f t="shared" si="341"/>
        <v>-</v>
      </c>
      <c r="AG367" s="211" t="str">
        <f t="shared" si="304"/>
        <v>-</v>
      </c>
      <c r="AH367" s="212"/>
      <c r="AI367" s="224" t="s">
        <v>78</v>
      </c>
      <c r="AJ367" s="215" t="str">
        <f t="shared" si="305"/>
        <v>-</v>
      </c>
      <c r="AK367" s="369" t="str">
        <f t="shared" si="342"/>
        <v>-</v>
      </c>
      <c r="AL367" s="377" t="str">
        <f t="shared" si="309"/>
        <v>-</v>
      </c>
      <c r="AM367" s="378" t="str">
        <f t="shared" si="310"/>
        <v>-</v>
      </c>
      <c r="AN367" s="398" t="s">
        <v>78</v>
      </c>
      <c r="AO367" s="399" t="s">
        <v>78</v>
      </c>
      <c r="AP367" s="396" t="str">
        <f t="shared" si="335"/>
        <v>-</v>
      </c>
      <c r="AQ367" s="400"/>
      <c r="AR367" s="402" t="s">
        <v>78</v>
      </c>
      <c r="AS367" s="396" t="str">
        <f t="shared" si="336"/>
        <v>-</v>
      </c>
      <c r="AT367" s="400"/>
      <c r="AU367" s="390" t="str">
        <f t="shared" si="311"/>
        <v>-</v>
      </c>
      <c r="AV367" s="391" t="str">
        <f t="shared" si="312"/>
        <v>-</v>
      </c>
      <c r="AW367" s="354" t="s">
        <v>78</v>
      </c>
      <c r="AX367" s="405"/>
      <c r="AY367" s="406"/>
    </row>
    <row r="368" spans="1:51" ht="15" customHeight="1">
      <c r="A368" s="1" t="str">
        <f t="shared" si="334"/>
        <v>0_2024_</v>
      </c>
      <c r="B368" s="1" t="str">
        <f t="shared" si="339"/>
        <v>0_2024_CEO</v>
      </c>
      <c r="C368" s="216">
        <f>D25</f>
        <v>0</v>
      </c>
      <c r="D368" s="133" t="str">
        <f>_xll.ciqfunctions.udf.CIQ(C368,"IQ_Company_Name")</f>
        <v>(Invalid Identifier)</v>
      </c>
      <c r="E368" s="328">
        <f>$F$9</f>
        <v>2024</v>
      </c>
      <c r="F368" s="330" t="str">
        <f t="shared" ref="F368:F382" si="346">E368&amp;"-01-01"</f>
        <v>2024-01-01</v>
      </c>
      <c r="G368" s="330" t="str">
        <f t="shared" ref="G368:G382" si="347">E368&amp;"-12-31"</f>
        <v>2024-12-31</v>
      </c>
      <c r="H368" s="114">
        <f t="shared" ref="H368:H382" si="348">_xlfn.DAYS(G368,F368)/_xlfn.DAYS(E368&amp;"-12-31",E368&amp;"-01-01")*12</f>
        <v>12</v>
      </c>
      <c r="I368" s="328" t="str">
        <f>$G$5</f>
        <v>CAD</v>
      </c>
      <c r="J368" s="461">
        <f t="shared" si="340"/>
        <v>1</v>
      </c>
      <c r="K368" s="468"/>
      <c r="L368" s="464" t="s">
        <v>79</v>
      </c>
      <c r="M368" s="217" t="s">
        <v>78</v>
      </c>
      <c r="N368" s="218" t="s">
        <v>78</v>
      </c>
      <c r="O368" s="219" t="s">
        <v>78</v>
      </c>
      <c r="P368" s="125" t="str">
        <f t="shared" ref="P368:P382" si="349">IFERROR(O368*(12/$H368)*$J368,"-")</f>
        <v>-</v>
      </c>
      <c r="Q368" s="311" t="s">
        <v>78</v>
      </c>
      <c r="R368" s="126" t="str">
        <f t="shared" ref="R368:R382" si="350">IFERROR(IF((Q368*$J368)=0,"-",(Q368*$J368)),"-")</f>
        <v>-</v>
      </c>
      <c r="S368" s="221" t="s">
        <v>78</v>
      </c>
      <c r="T368" s="125" t="str">
        <f t="shared" ref="T368:T382" si="351">IFERROR(S368*(12/$H368)*$J368,"-")</f>
        <v>-</v>
      </c>
      <c r="U368" s="127" t="str">
        <f t="shared" si="302"/>
        <v>-</v>
      </c>
      <c r="V368" s="128" t="str">
        <f>IFERROR(AVERAGE(U368:U370),"N/A")</f>
        <v>N/A</v>
      </c>
      <c r="W368" s="223" t="s">
        <v>78</v>
      </c>
      <c r="X368" s="129" t="str">
        <f t="shared" si="303"/>
        <v>-</v>
      </c>
      <c r="Y368" s="124" t="str">
        <f t="shared" si="307"/>
        <v>-</v>
      </c>
      <c r="Z368" s="130" t="str">
        <f t="shared" si="308"/>
        <v>-</v>
      </c>
      <c r="AA368" s="221" t="s">
        <v>78</v>
      </c>
      <c r="AB368" s="225" t="s">
        <v>78</v>
      </c>
      <c r="AC368" s="225" t="s">
        <v>78</v>
      </c>
      <c r="AD368" s="225" t="s">
        <v>78</v>
      </c>
      <c r="AE368" s="225" t="s">
        <v>78</v>
      </c>
      <c r="AF368" s="125" t="str">
        <f t="shared" si="341"/>
        <v>-</v>
      </c>
      <c r="AG368" s="127" t="str">
        <f t="shared" si="304"/>
        <v>-</v>
      </c>
      <c r="AH368" s="128" t="str">
        <f>IFERROR(AVERAGE(AG368:AG370),"N/A")</f>
        <v>N/A</v>
      </c>
      <c r="AI368" s="223" t="s">
        <v>78</v>
      </c>
      <c r="AJ368" s="131" t="str">
        <f t="shared" si="305"/>
        <v>-</v>
      </c>
      <c r="AK368" s="368" t="str">
        <f t="shared" si="342"/>
        <v>-</v>
      </c>
      <c r="AL368" s="375" t="str">
        <f t="shared" si="309"/>
        <v>-</v>
      </c>
      <c r="AM368" s="376" t="str">
        <f t="shared" si="310"/>
        <v>-</v>
      </c>
      <c r="AN368" s="394" t="s">
        <v>78</v>
      </c>
      <c r="AO368" s="395" t="s">
        <v>78</v>
      </c>
      <c r="AP368" s="396" t="str">
        <f t="shared" si="335"/>
        <v>-</v>
      </c>
      <c r="AQ368" s="409" t="str">
        <f>IFERROR(AVERAGE(AP368:AP370),"N/A")</f>
        <v>N/A</v>
      </c>
      <c r="AR368" s="401" t="s">
        <v>78</v>
      </c>
      <c r="AS368" s="396" t="str">
        <f t="shared" si="336"/>
        <v>-</v>
      </c>
      <c r="AT368" s="409" t="str">
        <f>IFERROR(AVERAGE(AS368:AS370),"N/A")</f>
        <v>N/A</v>
      </c>
      <c r="AU368" s="388" t="str">
        <f t="shared" si="311"/>
        <v>-</v>
      </c>
      <c r="AV368" s="389" t="str">
        <f t="shared" si="312"/>
        <v>-</v>
      </c>
      <c r="AW368" s="353" t="s">
        <v>78</v>
      </c>
      <c r="AX368" s="403"/>
      <c r="AY368" s="404"/>
    </row>
    <row r="369" spans="1:51" ht="15" customHeight="1">
      <c r="A369" s="1" t="str">
        <f t="shared" si="334"/>
        <v>0_2023_</v>
      </c>
      <c r="B369" s="1" t="str">
        <f t="shared" si="339"/>
        <v>0_2023_CEO</v>
      </c>
      <c r="C369" s="114">
        <f>C368</f>
        <v>0</v>
      </c>
      <c r="D369" s="133" t="str">
        <f>_xll.ciqfunctions.udf.CIQ(C369,"IQ_Company_Name")</f>
        <v>(Invalid Identifier)</v>
      </c>
      <c r="E369" s="328">
        <f>$F$10</f>
        <v>2023</v>
      </c>
      <c r="F369" s="330" t="str">
        <f t="shared" si="346"/>
        <v>2023-01-01</v>
      </c>
      <c r="G369" s="330" t="str">
        <f t="shared" si="347"/>
        <v>2023-12-31</v>
      </c>
      <c r="H369" s="114">
        <f t="shared" si="348"/>
        <v>12</v>
      </c>
      <c r="I369" s="407" t="str">
        <f t="shared" ref="I369:I412" si="352">I368</f>
        <v>CAD</v>
      </c>
      <c r="J369" s="461">
        <f t="shared" si="340"/>
        <v>1</v>
      </c>
      <c r="K369" s="468"/>
      <c r="L369" s="465" t="str">
        <f t="shared" ref="L369:N370" si="353">L368</f>
        <v>CEO</v>
      </c>
      <c r="M369" s="123" t="str">
        <f t="shared" si="353"/>
        <v>-</v>
      </c>
      <c r="N369" s="132" t="str">
        <f t="shared" si="353"/>
        <v>-</v>
      </c>
      <c r="O369" s="219" t="s">
        <v>78</v>
      </c>
      <c r="P369" s="125" t="str">
        <f t="shared" si="349"/>
        <v>-</v>
      </c>
      <c r="Q369" s="311" t="s">
        <v>78</v>
      </c>
      <c r="R369" s="126" t="str">
        <f t="shared" si="350"/>
        <v>-</v>
      </c>
      <c r="S369" s="221" t="s">
        <v>78</v>
      </c>
      <c r="T369" s="125" t="str">
        <f t="shared" si="351"/>
        <v>-</v>
      </c>
      <c r="U369" s="127" t="str">
        <f t="shared" si="302"/>
        <v>-</v>
      </c>
      <c r="V369" s="128"/>
      <c r="W369" s="223" t="s">
        <v>78</v>
      </c>
      <c r="X369" s="129" t="str">
        <f t="shared" si="303"/>
        <v>-</v>
      </c>
      <c r="Y369" s="124" t="str">
        <f t="shared" si="307"/>
        <v>-</v>
      </c>
      <c r="Z369" s="130" t="str">
        <f t="shared" si="308"/>
        <v>-</v>
      </c>
      <c r="AA369" s="221" t="s">
        <v>78</v>
      </c>
      <c r="AB369" s="225" t="s">
        <v>78</v>
      </c>
      <c r="AC369" s="225" t="s">
        <v>78</v>
      </c>
      <c r="AD369" s="225" t="s">
        <v>78</v>
      </c>
      <c r="AE369" s="225" t="s">
        <v>78</v>
      </c>
      <c r="AF369" s="125" t="str">
        <f t="shared" si="341"/>
        <v>-</v>
      </c>
      <c r="AG369" s="127" t="str">
        <f t="shared" si="304"/>
        <v>-</v>
      </c>
      <c r="AH369" s="128"/>
      <c r="AI369" s="223" t="s">
        <v>78</v>
      </c>
      <c r="AJ369" s="131" t="str">
        <f t="shared" si="305"/>
        <v>-</v>
      </c>
      <c r="AK369" s="368" t="str">
        <f t="shared" si="342"/>
        <v>-</v>
      </c>
      <c r="AL369" s="375" t="str">
        <f t="shared" si="309"/>
        <v>-</v>
      </c>
      <c r="AM369" s="376" t="str">
        <f t="shared" si="310"/>
        <v>-</v>
      </c>
      <c r="AN369" s="394" t="s">
        <v>78</v>
      </c>
      <c r="AO369" s="395" t="s">
        <v>78</v>
      </c>
      <c r="AP369" s="396" t="str">
        <f t="shared" si="335"/>
        <v>-</v>
      </c>
      <c r="AQ369" s="397"/>
      <c r="AR369" s="401" t="s">
        <v>78</v>
      </c>
      <c r="AS369" s="396" t="str">
        <f t="shared" si="336"/>
        <v>-</v>
      </c>
      <c r="AT369" s="397"/>
      <c r="AU369" s="388" t="str">
        <f t="shared" si="311"/>
        <v>-</v>
      </c>
      <c r="AV369" s="389" t="str">
        <f t="shared" si="312"/>
        <v>-</v>
      </c>
      <c r="AW369" s="353" t="s">
        <v>78</v>
      </c>
      <c r="AX369" s="403"/>
      <c r="AY369" s="404"/>
    </row>
    <row r="370" spans="1:51" ht="15" customHeight="1">
      <c r="A370" s="1" t="str">
        <f t="shared" si="334"/>
        <v>0_2022_</v>
      </c>
      <c r="B370" s="1" t="str">
        <f t="shared" si="339"/>
        <v>0_2022_CEO</v>
      </c>
      <c r="C370" s="114">
        <f t="shared" si="318"/>
        <v>0</v>
      </c>
      <c r="D370" s="133" t="str">
        <f>_xll.ciqfunctions.udf.CIQ(C370,"IQ_Company_Name")</f>
        <v>(Invalid Identifier)</v>
      </c>
      <c r="E370" s="328">
        <f>$F$11</f>
        <v>2022</v>
      </c>
      <c r="F370" s="114" t="str">
        <f t="shared" si="346"/>
        <v>2022-01-01</v>
      </c>
      <c r="G370" s="330" t="str">
        <f t="shared" si="347"/>
        <v>2022-12-31</v>
      </c>
      <c r="H370" s="114">
        <f t="shared" si="348"/>
        <v>12</v>
      </c>
      <c r="I370" s="407" t="str">
        <f t="shared" si="352"/>
        <v>CAD</v>
      </c>
      <c r="J370" s="461">
        <f t="shared" si="340"/>
        <v>1</v>
      </c>
      <c r="K370" s="468"/>
      <c r="L370" s="465" t="str">
        <f t="shared" si="353"/>
        <v>CEO</v>
      </c>
      <c r="M370" s="123" t="str">
        <f t="shared" si="353"/>
        <v>-</v>
      </c>
      <c r="N370" s="132" t="str">
        <f t="shared" si="353"/>
        <v>-</v>
      </c>
      <c r="O370" s="219" t="s">
        <v>78</v>
      </c>
      <c r="P370" s="125" t="str">
        <f t="shared" si="349"/>
        <v>-</v>
      </c>
      <c r="Q370" s="311" t="s">
        <v>78</v>
      </c>
      <c r="R370" s="126" t="str">
        <f t="shared" si="350"/>
        <v>-</v>
      </c>
      <c r="S370" s="221" t="s">
        <v>78</v>
      </c>
      <c r="T370" s="125" t="str">
        <f t="shared" si="351"/>
        <v>-</v>
      </c>
      <c r="U370" s="127" t="str">
        <f t="shared" si="302"/>
        <v>-</v>
      </c>
      <c r="V370" s="128"/>
      <c r="W370" s="223" t="s">
        <v>78</v>
      </c>
      <c r="X370" s="129" t="str">
        <f t="shared" si="303"/>
        <v>-</v>
      </c>
      <c r="Y370" s="124" t="str">
        <f t="shared" si="307"/>
        <v>-</v>
      </c>
      <c r="Z370" s="130" t="str">
        <f t="shared" si="308"/>
        <v>-</v>
      </c>
      <c r="AA370" s="221" t="s">
        <v>78</v>
      </c>
      <c r="AB370" s="225" t="s">
        <v>78</v>
      </c>
      <c r="AC370" s="225" t="s">
        <v>78</v>
      </c>
      <c r="AD370" s="225" t="s">
        <v>78</v>
      </c>
      <c r="AE370" s="225" t="s">
        <v>78</v>
      </c>
      <c r="AF370" s="125" t="str">
        <f t="shared" si="341"/>
        <v>-</v>
      </c>
      <c r="AG370" s="127" t="str">
        <f t="shared" si="304"/>
        <v>-</v>
      </c>
      <c r="AH370" s="128"/>
      <c r="AI370" s="223" t="s">
        <v>78</v>
      </c>
      <c r="AJ370" s="131" t="str">
        <f t="shared" si="305"/>
        <v>-</v>
      </c>
      <c r="AK370" s="368" t="str">
        <f t="shared" si="342"/>
        <v>-</v>
      </c>
      <c r="AL370" s="375" t="str">
        <f t="shared" si="309"/>
        <v>-</v>
      </c>
      <c r="AM370" s="376" t="str">
        <f t="shared" si="310"/>
        <v>-</v>
      </c>
      <c r="AN370" s="394" t="s">
        <v>78</v>
      </c>
      <c r="AO370" s="395" t="s">
        <v>78</v>
      </c>
      <c r="AP370" s="396" t="str">
        <f t="shared" si="335"/>
        <v>-</v>
      </c>
      <c r="AQ370" s="397"/>
      <c r="AR370" s="401" t="s">
        <v>78</v>
      </c>
      <c r="AS370" s="396" t="str">
        <f t="shared" si="336"/>
        <v>-</v>
      </c>
      <c r="AT370" s="397"/>
      <c r="AU370" s="388" t="str">
        <f t="shared" si="311"/>
        <v>-</v>
      </c>
      <c r="AV370" s="389" t="str">
        <f t="shared" si="312"/>
        <v>-</v>
      </c>
      <c r="AW370" s="353" t="s">
        <v>78</v>
      </c>
      <c r="AX370" s="403"/>
      <c r="AY370" s="404"/>
    </row>
    <row r="371" spans="1:51" ht="15" customHeight="1">
      <c r="A371" s="1" t="str">
        <f t="shared" si="334"/>
        <v>0_2024_</v>
      </c>
      <c r="B371" s="1" t="str">
        <f t="shared" si="339"/>
        <v>0_2024_CFO</v>
      </c>
      <c r="C371" s="114">
        <f t="shared" si="318"/>
        <v>0</v>
      </c>
      <c r="D371" s="133" t="str">
        <f>_xll.ciqfunctions.udf.CIQ(C371,"IQ_Company_Name")</f>
        <v>(Invalid Identifier)</v>
      </c>
      <c r="E371" s="114">
        <f t="shared" si="314"/>
        <v>2024</v>
      </c>
      <c r="F371" s="114" t="str">
        <f t="shared" si="346"/>
        <v>2024-01-01</v>
      </c>
      <c r="G371" s="330" t="str">
        <f t="shared" si="347"/>
        <v>2024-12-31</v>
      </c>
      <c r="H371" s="114">
        <f t="shared" si="348"/>
        <v>12</v>
      </c>
      <c r="I371" s="407" t="str">
        <f t="shared" si="352"/>
        <v>CAD</v>
      </c>
      <c r="J371" s="461">
        <f t="shared" si="340"/>
        <v>1</v>
      </c>
      <c r="K371" s="468"/>
      <c r="L371" s="464" t="s">
        <v>106</v>
      </c>
      <c r="M371" s="217" t="s">
        <v>78</v>
      </c>
      <c r="N371" s="218" t="s">
        <v>78</v>
      </c>
      <c r="O371" s="219" t="s">
        <v>78</v>
      </c>
      <c r="P371" s="125" t="str">
        <f t="shared" si="349"/>
        <v>-</v>
      </c>
      <c r="Q371" s="311" t="s">
        <v>78</v>
      </c>
      <c r="R371" s="126" t="str">
        <f t="shared" si="350"/>
        <v>-</v>
      </c>
      <c r="S371" s="221" t="s">
        <v>78</v>
      </c>
      <c r="T371" s="125" t="str">
        <f t="shared" si="351"/>
        <v>-</v>
      </c>
      <c r="U371" s="127" t="str">
        <f t="shared" si="302"/>
        <v>-</v>
      </c>
      <c r="V371" s="128" t="str">
        <f>IFERROR(AVERAGE(U371:U373),"N/A")</f>
        <v>N/A</v>
      </c>
      <c r="W371" s="223" t="s">
        <v>78</v>
      </c>
      <c r="X371" s="129" t="str">
        <f t="shared" si="303"/>
        <v>-</v>
      </c>
      <c r="Y371" s="124" t="str">
        <f t="shared" si="307"/>
        <v>-</v>
      </c>
      <c r="Z371" s="130" t="str">
        <f t="shared" si="308"/>
        <v>-</v>
      </c>
      <c r="AA371" s="221" t="s">
        <v>78</v>
      </c>
      <c r="AB371" s="225" t="s">
        <v>78</v>
      </c>
      <c r="AC371" s="225" t="s">
        <v>78</v>
      </c>
      <c r="AD371" s="225" t="s">
        <v>78</v>
      </c>
      <c r="AE371" s="225" t="s">
        <v>78</v>
      </c>
      <c r="AF371" s="125" t="str">
        <f t="shared" si="341"/>
        <v>-</v>
      </c>
      <c r="AG371" s="127" t="str">
        <f t="shared" si="304"/>
        <v>-</v>
      </c>
      <c r="AH371" s="128" t="str">
        <f>IFERROR(AVERAGE(AG371:AG373),"N/A")</f>
        <v>N/A</v>
      </c>
      <c r="AI371" s="223" t="s">
        <v>78</v>
      </c>
      <c r="AJ371" s="131" t="str">
        <f t="shared" si="305"/>
        <v>-</v>
      </c>
      <c r="AK371" s="368" t="str">
        <f t="shared" si="342"/>
        <v>-</v>
      </c>
      <c r="AL371" s="375" t="str">
        <f t="shared" si="309"/>
        <v>-</v>
      </c>
      <c r="AM371" s="376" t="str">
        <f t="shared" si="310"/>
        <v>-</v>
      </c>
      <c r="AN371" s="394" t="s">
        <v>78</v>
      </c>
      <c r="AO371" s="395" t="s">
        <v>78</v>
      </c>
      <c r="AP371" s="396" t="str">
        <f t="shared" si="335"/>
        <v>-</v>
      </c>
      <c r="AQ371" s="397" t="str">
        <f>IFERROR(AVERAGE(AP371:AP373),"N/A")</f>
        <v>N/A</v>
      </c>
      <c r="AR371" s="401" t="s">
        <v>78</v>
      </c>
      <c r="AS371" s="396" t="str">
        <f t="shared" si="336"/>
        <v>-</v>
      </c>
      <c r="AT371" s="397" t="str">
        <f>IFERROR(AVERAGE(AS371:AS373),"N/A")</f>
        <v>N/A</v>
      </c>
      <c r="AU371" s="388" t="str">
        <f t="shared" si="311"/>
        <v>-</v>
      </c>
      <c r="AV371" s="389" t="str">
        <f t="shared" si="312"/>
        <v>-</v>
      </c>
      <c r="AW371" s="353" t="s">
        <v>78</v>
      </c>
      <c r="AX371" s="403"/>
      <c r="AY371" s="404"/>
    </row>
    <row r="372" spans="1:51" ht="15" customHeight="1">
      <c r="A372" s="1" t="str">
        <f t="shared" si="334"/>
        <v>0_2023_</v>
      </c>
      <c r="B372" s="1" t="str">
        <f t="shared" si="339"/>
        <v>0_2023_CFO</v>
      </c>
      <c r="C372" s="114">
        <f t="shared" si="318"/>
        <v>0</v>
      </c>
      <c r="D372" s="133" t="str">
        <f>_xll.ciqfunctions.udf.CIQ(C372,"IQ_Company_Name")</f>
        <v>(Invalid Identifier)</v>
      </c>
      <c r="E372" s="114">
        <f t="shared" si="314"/>
        <v>2023</v>
      </c>
      <c r="F372" s="114" t="str">
        <f t="shared" si="346"/>
        <v>2023-01-01</v>
      </c>
      <c r="G372" s="330" t="str">
        <f t="shared" si="347"/>
        <v>2023-12-31</v>
      </c>
      <c r="H372" s="114">
        <f t="shared" si="348"/>
        <v>12</v>
      </c>
      <c r="I372" s="407" t="str">
        <f t="shared" si="352"/>
        <v>CAD</v>
      </c>
      <c r="J372" s="461">
        <f t="shared" si="340"/>
        <v>1</v>
      </c>
      <c r="K372" s="468"/>
      <c r="L372" s="465" t="str">
        <f t="shared" ref="L372:N373" si="354">L371</f>
        <v>CFO</v>
      </c>
      <c r="M372" s="123" t="str">
        <f t="shared" si="354"/>
        <v>-</v>
      </c>
      <c r="N372" s="132" t="str">
        <f t="shared" si="354"/>
        <v>-</v>
      </c>
      <c r="O372" s="219" t="s">
        <v>78</v>
      </c>
      <c r="P372" s="125" t="str">
        <f t="shared" si="349"/>
        <v>-</v>
      </c>
      <c r="Q372" s="311" t="s">
        <v>78</v>
      </c>
      <c r="R372" s="126" t="str">
        <f t="shared" si="350"/>
        <v>-</v>
      </c>
      <c r="S372" s="221" t="s">
        <v>78</v>
      </c>
      <c r="T372" s="125" t="str">
        <f t="shared" si="351"/>
        <v>-</v>
      </c>
      <c r="U372" s="127" t="str">
        <f t="shared" si="302"/>
        <v>-</v>
      </c>
      <c r="V372" s="128"/>
      <c r="W372" s="223" t="s">
        <v>78</v>
      </c>
      <c r="X372" s="129" t="str">
        <f t="shared" si="303"/>
        <v>-</v>
      </c>
      <c r="Y372" s="124" t="str">
        <f t="shared" si="307"/>
        <v>-</v>
      </c>
      <c r="Z372" s="130" t="str">
        <f t="shared" si="308"/>
        <v>-</v>
      </c>
      <c r="AA372" s="221" t="s">
        <v>78</v>
      </c>
      <c r="AB372" s="225" t="s">
        <v>78</v>
      </c>
      <c r="AC372" s="225" t="s">
        <v>78</v>
      </c>
      <c r="AD372" s="225" t="s">
        <v>78</v>
      </c>
      <c r="AE372" s="225" t="s">
        <v>78</v>
      </c>
      <c r="AF372" s="125" t="str">
        <f t="shared" si="341"/>
        <v>-</v>
      </c>
      <c r="AG372" s="127" t="str">
        <f t="shared" si="304"/>
        <v>-</v>
      </c>
      <c r="AH372" s="128"/>
      <c r="AI372" s="223" t="s">
        <v>78</v>
      </c>
      <c r="AJ372" s="131" t="str">
        <f t="shared" si="305"/>
        <v>-</v>
      </c>
      <c r="AK372" s="368" t="str">
        <f t="shared" si="342"/>
        <v>-</v>
      </c>
      <c r="AL372" s="375" t="str">
        <f t="shared" si="309"/>
        <v>-</v>
      </c>
      <c r="AM372" s="376" t="str">
        <f t="shared" si="310"/>
        <v>-</v>
      </c>
      <c r="AN372" s="394" t="s">
        <v>78</v>
      </c>
      <c r="AO372" s="395" t="s">
        <v>78</v>
      </c>
      <c r="AP372" s="396" t="str">
        <f t="shared" si="335"/>
        <v>-</v>
      </c>
      <c r="AQ372" s="397"/>
      <c r="AR372" s="401" t="s">
        <v>78</v>
      </c>
      <c r="AS372" s="396" t="str">
        <f t="shared" si="336"/>
        <v>-</v>
      </c>
      <c r="AT372" s="397"/>
      <c r="AU372" s="388" t="str">
        <f t="shared" si="311"/>
        <v>-</v>
      </c>
      <c r="AV372" s="389" t="str">
        <f t="shared" si="312"/>
        <v>-</v>
      </c>
      <c r="AW372" s="353" t="s">
        <v>78</v>
      </c>
      <c r="AX372" s="403"/>
      <c r="AY372" s="404"/>
    </row>
    <row r="373" spans="1:51" ht="15" customHeight="1">
      <c r="A373" s="1" t="str">
        <f t="shared" si="334"/>
        <v>0_2022_</v>
      </c>
      <c r="B373" s="1" t="str">
        <f t="shared" si="339"/>
        <v>0_2022_CFO</v>
      </c>
      <c r="C373" s="114">
        <f t="shared" si="318"/>
        <v>0</v>
      </c>
      <c r="D373" s="133" t="str">
        <f>_xll.ciqfunctions.udf.CIQ(C373,"IQ_Company_Name")</f>
        <v>(Invalid Identifier)</v>
      </c>
      <c r="E373" s="114">
        <f t="shared" si="314"/>
        <v>2022</v>
      </c>
      <c r="F373" s="114" t="str">
        <f t="shared" si="346"/>
        <v>2022-01-01</v>
      </c>
      <c r="G373" s="330" t="str">
        <f t="shared" si="347"/>
        <v>2022-12-31</v>
      </c>
      <c r="H373" s="114">
        <f t="shared" si="348"/>
        <v>12</v>
      </c>
      <c r="I373" s="407" t="str">
        <f t="shared" si="352"/>
        <v>CAD</v>
      </c>
      <c r="J373" s="461">
        <f t="shared" si="340"/>
        <v>1</v>
      </c>
      <c r="K373" s="468"/>
      <c r="L373" s="465" t="str">
        <f t="shared" si="354"/>
        <v>CFO</v>
      </c>
      <c r="M373" s="123" t="str">
        <f t="shared" si="354"/>
        <v>-</v>
      </c>
      <c r="N373" s="132" t="str">
        <f t="shared" si="354"/>
        <v>-</v>
      </c>
      <c r="O373" s="219" t="s">
        <v>78</v>
      </c>
      <c r="P373" s="125" t="str">
        <f t="shared" si="349"/>
        <v>-</v>
      </c>
      <c r="Q373" s="311" t="s">
        <v>78</v>
      </c>
      <c r="R373" s="126" t="str">
        <f t="shared" si="350"/>
        <v>-</v>
      </c>
      <c r="S373" s="221" t="s">
        <v>78</v>
      </c>
      <c r="T373" s="125" t="str">
        <f t="shared" si="351"/>
        <v>-</v>
      </c>
      <c r="U373" s="127" t="str">
        <f t="shared" ref="U373:U412" si="355">IFERROR($T373/$P373,"-")</f>
        <v>-</v>
      </c>
      <c r="V373" s="128"/>
      <c r="W373" s="223" t="s">
        <v>78</v>
      </c>
      <c r="X373" s="129" t="str">
        <f t="shared" ref="X373:X412" si="356">IFERROR(IF(ISNUMBER($W373)=TRUE, $W373*$P373,$V373*$P373),"-")</f>
        <v>-</v>
      </c>
      <c r="Y373" s="124" t="str">
        <f t="shared" si="307"/>
        <v>-</v>
      </c>
      <c r="Z373" s="130" t="str">
        <f t="shared" si="308"/>
        <v>-</v>
      </c>
      <c r="AA373" s="221" t="s">
        <v>78</v>
      </c>
      <c r="AB373" s="225" t="s">
        <v>78</v>
      </c>
      <c r="AC373" s="225" t="s">
        <v>78</v>
      </c>
      <c r="AD373" s="225" t="s">
        <v>78</v>
      </c>
      <c r="AE373" s="225" t="s">
        <v>78</v>
      </c>
      <c r="AF373" s="125" t="str">
        <f t="shared" si="341"/>
        <v>-</v>
      </c>
      <c r="AG373" s="127" t="str">
        <f t="shared" ref="AG373:AG412" si="357">IFERROR($AK373/$P373,"-")</f>
        <v>-</v>
      </c>
      <c r="AH373" s="128"/>
      <c r="AI373" s="223" t="s">
        <v>78</v>
      </c>
      <c r="AJ373" s="131" t="str">
        <f t="shared" ref="AJ373:AJ412" si="358">IFERROR(IF(ISNUMBER($AI373)=TRUE, $AI373*$P373, $AH373*$P373), "-")</f>
        <v>-</v>
      </c>
      <c r="AK373" s="368" t="str">
        <f t="shared" si="342"/>
        <v>-</v>
      </c>
      <c r="AL373" s="375" t="str">
        <f t="shared" si="309"/>
        <v>-</v>
      </c>
      <c r="AM373" s="376" t="str">
        <f t="shared" si="310"/>
        <v>-</v>
      </c>
      <c r="AN373" s="394" t="s">
        <v>78</v>
      </c>
      <c r="AO373" s="395" t="s">
        <v>78</v>
      </c>
      <c r="AP373" s="396" t="str">
        <f t="shared" si="335"/>
        <v>-</v>
      </c>
      <c r="AQ373" s="397"/>
      <c r="AR373" s="401" t="s">
        <v>78</v>
      </c>
      <c r="AS373" s="396" t="str">
        <f t="shared" si="336"/>
        <v>-</v>
      </c>
      <c r="AT373" s="397"/>
      <c r="AU373" s="388" t="str">
        <f t="shared" si="311"/>
        <v>-</v>
      </c>
      <c r="AV373" s="389" t="str">
        <f t="shared" si="312"/>
        <v>-</v>
      </c>
      <c r="AW373" s="353" t="s">
        <v>78</v>
      </c>
      <c r="AX373" s="403"/>
      <c r="AY373" s="404"/>
    </row>
    <row r="374" spans="1:51" ht="15" customHeight="1">
      <c r="A374" s="1" t="str">
        <f t="shared" si="334"/>
        <v>0_2024_</v>
      </c>
      <c r="B374" s="1" t="str">
        <f t="shared" si="339"/>
        <v>0_2024_NEO1</v>
      </c>
      <c r="C374" s="114">
        <f t="shared" si="318"/>
        <v>0</v>
      </c>
      <c r="D374" s="133" t="str">
        <f>_xll.ciqfunctions.udf.CIQ(C374,"IQ_Company_Name")</f>
        <v>(Invalid Identifier)</v>
      </c>
      <c r="E374" s="114">
        <f t="shared" si="314"/>
        <v>2024</v>
      </c>
      <c r="F374" s="330" t="str">
        <f t="shared" si="346"/>
        <v>2024-01-01</v>
      </c>
      <c r="G374" s="330" t="str">
        <f t="shared" si="347"/>
        <v>2024-12-31</v>
      </c>
      <c r="H374" s="114">
        <f t="shared" si="348"/>
        <v>12</v>
      </c>
      <c r="I374" s="407" t="str">
        <f t="shared" si="352"/>
        <v>CAD</v>
      </c>
      <c r="J374" s="461">
        <f t="shared" si="340"/>
        <v>1</v>
      </c>
      <c r="K374" s="468"/>
      <c r="L374" s="464" t="s">
        <v>107</v>
      </c>
      <c r="M374" s="217" t="s">
        <v>78</v>
      </c>
      <c r="N374" s="218" t="s">
        <v>78</v>
      </c>
      <c r="O374" s="219" t="s">
        <v>78</v>
      </c>
      <c r="P374" s="125" t="str">
        <f t="shared" si="349"/>
        <v>-</v>
      </c>
      <c r="Q374" s="311" t="s">
        <v>78</v>
      </c>
      <c r="R374" s="126" t="str">
        <f t="shared" si="350"/>
        <v>-</v>
      </c>
      <c r="S374" s="221" t="s">
        <v>78</v>
      </c>
      <c r="T374" s="125" t="str">
        <f t="shared" si="351"/>
        <v>-</v>
      </c>
      <c r="U374" s="127" t="str">
        <f t="shared" si="355"/>
        <v>-</v>
      </c>
      <c r="V374" s="128" t="str">
        <f>IFERROR(AVERAGE(U374:U376),"N/A")</f>
        <v>N/A</v>
      </c>
      <c r="W374" s="223" t="s">
        <v>78</v>
      </c>
      <c r="X374" s="129" t="str">
        <f t="shared" si="356"/>
        <v>-</v>
      </c>
      <c r="Y374" s="124" t="str">
        <f t="shared" ref="Y374:Y412" si="359">IFERROR(IF(SUM(P374,T374)=0,"-",SUM(P374,T374)),"-")</f>
        <v>-</v>
      </c>
      <c r="Z374" s="130" t="str">
        <f t="shared" ref="Z374:Z412" si="360">IFERROR(IF(SUM(P374,X374)=0,"-",SUM(P374,X374)),"-")</f>
        <v>-</v>
      </c>
      <c r="AA374" s="221" t="s">
        <v>78</v>
      </c>
      <c r="AB374" s="225" t="s">
        <v>78</v>
      </c>
      <c r="AC374" s="225" t="s">
        <v>78</v>
      </c>
      <c r="AD374" s="225" t="s">
        <v>78</v>
      </c>
      <c r="AE374" s="225" t="s">
        <v>78</v>
      </c>
      <c r="AF374" s="125" t="str">
        <f t="shared" si="341"/>
        <v>-</v>
      </c>
      <c r="AG374" s="127" t="str">
        <f t="shared" si="357"/>
        <v>-</v>
      </c>
      <c r="AH374" s="128" t="str">
        <f>IFERROR(AVERAGE(AG374:AG376),"N/A")</f>
        <v>N/A</v>
      </c>
      <c r="AI374" s="223" t="s">
        <v>78</v>
      </c>
      <c r="AJ374" s="131" t="str">
        <f t="shared" si="358"/>
        <v>-</v>
      </c>
      <c r="AK374" s="368" t="str">
        <f t="shared" si="342"/>
        <v>-</v>
      </c>
      <c r="AL374" s="375" t="str">
        <f t="shared" ref="AL374:AL412" si="361">IFERROR(IF(SUM(Y374,AK374)=0,"-",SUM(Y374,AK374)),"-")</f>
        <v>-</v>
      </c>
      <c r="AM374" s="376" t="str">
        <f t="shared" ref="AM374:AM412" si="362">IFERROR(IF(SUM($Z374,$AJ374)=0,"-",SUM($Z374,$AJ374)),"-")</f>
        <v>-</v>
      </c>
      <c r="AN374" s="394" t="s">
        <v>78</v>
      </c>
      <c r="AO374" s="395" t="s">
        <v>78</v>
      </c>
      <c r="AP374" s="396" t="str">
        <f t="shared" si="335"/>
        <v>-</v>
      </c>
      <c r="AQ374" s="397" t="str">
        <f>IFERROR(AVERAGE(AP374:AP376),"N/A")</f>
        <v>N/A</v>
      </c>
      <c r="AR374" s="401" t="s">
        <v>78</v>
      </c>
      <c r="AS374" s="396" t="str">
        <f t="shared" si="336"/>
        <v>-</v>
      </c>
      <c r="AT374" s="397" t="str">
        <f>IFERROR(AVERAGE(AS374:AS376),"N/A")</f>
        <v>N/A</v>
      </c>
      <c r="AU374" s="388" t="str">
        <f t="shared" ref="AU374:AU412" si="363">IFERROR(IF(SUM(AL374,AP374,AS374)=0,"-",SUM(AL374,AP374,AS374)),"-")</f>
        <v>-</v>
      </c>
      <c r="AV374" s="389" t="str">
        <f t="shared" ref="AV374:AV412" si="364">IFERROR(IF(SUM(AM374,AP374,AS374)=0,"-",SUM(AM374,AP374,AS374)),"-")</f>
        <v>-</v>
      </c>
      <c r="AW374" s="353" t="s">
        <v>78</v>
      </c>
      <c r="AX374" s="403"/>
      <c r="AY374" s="404"/>
    </row>
    <row r="375" spans="1:51" ht="15" customHeight="1">
      <c r="A375" s="1" t="str">
        <f t="shared" si="334"/>
        <v>0_2023_</v>
      </c>
      <c r="B375" s="1" t="str">
        <f t="shared" si="339"/>
        <v>0_2023_NEO1</v>
      </c>
      <c r="C375" s="114">
        <f t="shared" si="318"/>
        <v>0</v>
      </c>
      <c r="D375" s="133" t="str">
        <f>_xll.ciqfunctions.udf.CIQ(C375,"IQ_Company_Name")</f>
        <v>(Invalid Identifier)</v>
      </c>
      <c r="E375" s="114">
        <f t="shared" si="314"/>
        <v>2023</v>
      </c>
      <c r="F375" s="330" t="str">
        <f t="shared" si="346"/>
        <v>2023-01-01</v>
      </c>
      <c r="G375" s="330" t="str">
        <f t="shared" si="347"/>
        <v>2023-12-31</v>
      </c>
      <c r="H375" s="114">
        <f t="shared" si="348"/>
        <v>12</v>
      </c>
      <c r="I375" s="407" t="str">
        <f t="shared" si="352"/>
        <v>CAD</v>
      </c>
      <c r="J375" s="461">
        <f t="shared" si="340"/>
        <v>1</v>
      </c>
      <c r="K375" s="468"/>
      <c r="L375" s="465" t="str">
        <f t="shared" ref="L375:N376" si="365">L374</f>
        <v>NEO1</v>
      </c>
      <c r="M375" s="123" t="str">
        <f t="shared" si="365"/>
        <v>-</v>
      </c>
      <c r="N375" s="132" t="str">
        <f t="shared" si="365"/>
        <v>-</v>
      </c>
      <c r="O375" s="219" t="s">
        <v>78</v>
      </c>
      <c r="P375" s="125" t="str">
        <f t="shared" si="349"/>
        <v>-</v>
      </c>
      <c r="Q375" s="311" t="s">
        <v>78</v>
      </c>
      <c r="R375" s="126" t="str">
        <f t="shared" si="350"/>
        <v>-</v>
      </c>
      <c r="S375" s="221" t="s">
        <v>78</v>
      </c>
      <c r="T375" s="125" t="str">
        <f t="shared" si="351"/>
        <v>-</v>
      </c>
      <c r="U375" s="127" t="str">
        <f t="shared" si="355"/>
        <v>-</v>
      </c>
      <c r="V375" s="128"/>
      <c r="W375" s="223" t="s">
        <v>78</v>
      </c>
      <c r="X375" s="129" t="str">
        <f t="shared" si="356"/>
        <v>-</v>
      </c>
      <c r="Y375" s="124" t="str">
        <f t="shared" si="359"/>
        <v>-</v>
      </c>
      <c r="Z375" s="130" t="str">
        <f t="shared" si="360"/>
        <v>-</v>
      </c>
      <c r="AA375" s="221" t="s">
        <v>78</v>
      </c>
      <c r="AB375" s="225" t="s">
        <v>78</v>
      </c>
      <c r="AC375" s="225" t="s">
        <v>78</v>
      </c>
      <c r="AD375" s="225" t="s">
        <v>78</v>
      </c>
      <c r="AE375" s="225" t="s">
        <v>78</v>
      </c>
      <c r="AF375" s="125" t="str">
        <f t="shared" si="341"/>
        <v>-</v>
      </c>
      <c r="AG375" s="127" t="str">
        <f t="shared" si="357"/>
        <v>-</v>
      </c>
      <c r="AH375" s="128"/>
      <c r="AI375" s="223" t="s">
        <v>78</v>
      </c>
      <c r="AJ375" s="131" t="str">
        <f t="shared" si="358"/>
        <v>-</v>
      </c>
      <c r="AK375" s="368" t="str">
        <f t="shared" si="342"/>
        <v>-</v>
      </c>
      <c r="AL375" s="375" t="str">
        <f t="shared" si="361"/>
        <v>-</v>
      </c>
      <c r="AM375" s="376" t="str">
        <f t="shared" si="362"/>
        <v>-</v>
      </c>
      <c r="AN375" s="394" t="s">
        <v>78</v>
      </c>
      <c r="AO375" s="395" t="s">
        <v>78</v>
      </c>
      <c r="AP375" s="396" t="str">
        <f t="shared" si="335"/>
        <v>-</v>
      </c>
      <c r="AQ375" s="397"/>
      <c r="AR375" s="401" t="s">
        <v>78</v>
      </c>
      <c r="AS375" s="396" t="str">
        <f t="shared" si="336"/>
        <v>-</v>
      </c>
      <c r="AT375" s="397"/>
      <c r="AU375" s="388" t="str">
        <f t="shared" si="363"/>
        <v>-</v>
      </c>
      <c r="AV375" s="389" t="str">
        <f t="shared" si="364"/>
        <v>-</v>
      </c>
      <c r="AW375" s="353" t="s">
        <v>78</v>
      </c>
      <c r="AX375" s="403"/>
      <c r="AY375" s="404"/>
    </row>
    <row r="376" spans="1:51" ht="15" customHeight="1">
      <c r="A376" s="1" t="str">
        <f t="shared" si="334"/>
        <v>0_2022_</v>
      </c>
      <c r="B376" s="1" t="str">
        <f t="shared" si="339"/>
        <v>0_2022_NEO1</v>
      </c>
      <c r="C376" s="114">
        <f t="shared" si="318"/>
        <v>0</v>
      </c>
      <c r="D376" s="133" t="str">
        <f>_xll.ciqfunctions.udf.CIQ(C376,"IQ_Company_Name")</f>
        <v>(Invalid Identifier)</v>
      </c>
      <c r="E376" s="114">
        <f t="shared" si="314"/>
        <v>2022</v>
      </c>
      <c r="F376" s="114" t="str">
        <f t="shared" si="346"/>
        <v>2022-01-01</v>
      </c>
      <c r="G376" s="330" t="str">
        <f t="shared" si="347"/>
        <v>2022-12-31</v>
      </c>
      <c r="H376" s="114">
        <f t="shared" si="348"/>
        <v>12</v>
      </c>
      <c r="I376" s="407" t="str">
        <f t="shared" si="352"/>
        <v>CAD</v>
      </c>
      <c r="J376" s="461">
        <f t="shared" si="340"/>
        <v>1</v>
      </c>
      <c r="K376" s="468"/>
      <c r="L376" s="465" t="str">
        <f t="shared" si="365"/>
        <v>NEO1</v>
      </c>
      <c r="M376" s="123" t="str">
        <f t="shared" si="365"/>
        <v>-</v>
      </c>
      <c r="N376" s="132" t="str">
        <f t="shared" si="365"/>
        <v>-</v>
      </c>
      <c r="O376" s="219" t="s">
        <v>78</v>
      </c>
      <c r="P376" s="125" t="str">
        <f t="shared" si="349"/>
        <v>-</v>
      </c>
      <c r="Q376" s="311" t="s">
        <v>78</v>
      </c>
      <c r="R376" s="126" t="str">
        <f t="shared" si="350"/>
        <v>-</v>
      </c>
      <c r="S376" s="221" t="s">
        <v>78</v>
      </c>
      <c r="T376" s="125" t="str">
        <f t="shared" si="351"/>
        <v>-</v>
      </c>
      <c r="U376" s="127" t="str">
        <f t="shared" si="355"/>
        <v>-</v>
      </c>
      <c r="V376" s="128"/>
      <c r="W376" s="223" t="s">
        <v>78</v>
      </c>
      <c r="X376" s="129" t="str">
        <f t="shared" si="356"/>
        <v>-</v>
      </c>
      <c r="Y376" s="124" t="str">
        <f t="shared" si="359"/>
        <v>-</v>
      </c>
      <c r="Z376" s="130" t="str">
        <f t="shared" si="360"/>
        <v>-</v>
      </c>
      <c r="AA376" s="221" t="s">
        <v>78</v>
      </c>
      <c r="AB376" s="225" t="s">
        <v>78</v>
      </c>
      <c r="AC376" s="225" t="s">
        <v>78</v>
      </c>
      <c r="AD376" s="225" t="s">
        <v>78</v>
      </c>
      <c r="AE376" s="225" t="s">
        <v>78</v>
      </c>
      <c r="AF376" s="125" t="str">
        <f t="shared" si="341"/>
        <v>-</v>
      </c>
      <c r="AG376" s="127" t="str">
        <f t="shared" si="357"/>
        <v>-</v>
      </c>
      <c r="AH376" s="128"/>
      <c r="AI376" s="223" t="s">
        <v>78</v>
      </c>
      <c r="AJ376" s="131" t="str">
        <f t="shared" si="358"/>
        <v>-</v>
      </c>
      <c r="AK376" s="368" t="str">
        <f t="shared" si="342"/>
        <v>-</v>
      </c>
      <c r="AL376" s="375" t="str">
        <f t="shared" si="361"/>
        <v>-</v>
      </c>
      <c r="AM376" s="376" t="str">
        <f t="shared" si="362"/>
        <v>-</v>
      </c>
      <c r="AN376" s="394" t="s">
        <v>78</v>
      </c>
      <c r="AO376" s="395" t="s">
        <v>78</v>
      </c>
      <c r="AP376" s="396" t="str">
        <f t="shared" si="335"/>
        <v>-</v>
      </c>
      <c r="AQ376" s="397"/>
      <c r="AR376" s="401" t="s">
        <v>78</v>
      </c>
      <c r="AS376" s="396" t="str">
        <f t="shared" si="336"/>
        <v>-</v>
      </c>
      <c r="AT376" s="397"/>
      <c r="AU376" s="388" t="str">
        <f t="shared" si="363"/>
        <v>-</v>
      </c>
      <c r="AV376" s="389" t="str">
        <f t="shared" si="364"/>
        <v>-</v>
      </c>
      <c r="AW376" s="353" t="s">
        <v>78</v>
      </c>
      <c r="AX376" s="403"/>
      <c r="AY376" s="404"/>
    </row>
    <row r="377" spans="1:51" ht="15" customHeight="1">
      <c r="A377" s="1" t="str">
        <f t="shared" si="334"/>
        <v>0_2024_</v>
      </c>
      <c r="B377" s="1" t="str">
        <f t="shared" si="339"/>
        <v>0_2024_NEO2</v>
      </c>
      <c r="C377" s="114">
        <f t="shared" si="318"/>
        <v>0</v>
      </c>
      <c r="D377" s="133" t="str">
        <f>_xll.ciqfunctions.udf.CIQ(C377,"IQ_Company_Name")</f>
        <v>(Invalid Identifier)</v>
      </c>
      <c r="E377" s="114">
        <f t="shared" si="314"/>
        <v>2024</v>
      </c>
      <c r="F377" s="114" t="str">
        <f t="shared" si="346"/>
        <v>2024-01-01</v>
      </c>
      <c r="G377" s="330" t="str">
        <f t="shared" si="347"/>
        <v>2024-12-31</v>
      </c>
      <c r="H377" s="114">
        <f t="shared" si="348"/>
        <v>12</v>
      </c>
      <c r="I377" s="407" t="str">
        <f t="shared" si="352"/>
        <v>CAD</v>
      </c>
      <c r="J377" s="461">
        <f t="shared" si="340"/>
        <v>1</v>
      </c>
      <c r="K377" s="468"/>
      <c r="L377" s="464" t="s">
        <v>108</v>
      </c>
      <c r="M377" s="217" t="s">
        <v>78</v>
      </c>
      <c r="N377" s="218" t="s">
        <v>78</v>
      </c>
      <c r="O377" s="219" t="s">
        <v>78</v>
      </c>
      <c r="P377" s="125" t="str">
        <f t="shared" si="349"/>
        <v>-</v>
      </c>
      <c r="Q377" s="311" t="s">
        <v>78</v>
      </c>
      <c r="R377" s="126" t="str">
        <f t="shared" si="350"/>
        <v>-</v>
      </c>
      <c r="S377" s="221" t="s">
        <v>78</v>
      </c>
      <c r="T377" s="125" t="str">
        <f t="shared" si="351"/>
        <v>-</v>
      </c>
      <c r="U377" s="127" t="str">
        <f t="shared" si="355"/>
        <v>-</v>
      </c>
      <c r="V377" s="128" t="str">
        <f>IFERROR(AVERAGE(U377:U379),"N/A")</f>
        <v>N/A</v>
      </c>
      <c r="W377" s="223" t="s">
        <v>78</v>
      </c>
      <c r="X377" s="129" t="str">
        <f t="shared" si="356"/>
        <v>-</v>
      </c>
      <c r="Y377" s="124" t="str">
        <f t="shared" si="359"/>
        <v>-</v>
      </c>
      <c r="Z377" s="130" t="str">
        <f t="shared" si="360"/>
        <v>-</v>
      </c>
      <c r="AA377" s="221" t="s">
        <v>78</v>
      </c>
      <c r="AB377" s="225" t="s">
        <v>78</v>
      </c>
      <c r="AC377" s="225" t="s">
        <v>78</v>
      </c>
      <c r="AD377" s="225" t="s">
        <v>78</v>
      </c>
      <c r="AE377" s="225" t="s">
        <v>78</v>
      </c>
      <c r="AF377" s="125" t="str">
        <f t="shared" si="341"/>
        <v>-</v>
      </c>
      <c r="AG377" s="127" t="str">
        <f t="shared" si="357"/>
        <v>-</v>
      </c>
      <c r="AH377" s="128" t="str">
        <f>IFERROR(AVERAGE(AG377:AG379),"N/A")</f>
        <v>N/A</v>
      </c>
      <c r="AI377" s="223" t="s">
        <v>78</v>
      </c>
      <c r="AJ377" s="131" t="str">
        <f t="shared" si="358"/>
        <v>-</v>
      </c>
      <c r="AK377" s="368" t="str">
        <f t="shared" si="342"/>
        <v>-</v>
      </c>
      <c r="AL377" s="375" t="str">
        <f t="shared" si="361"/>
        <v>-</v>
      </c>
      <c r="AM377" s="376" t="str">
        <f t="shared" si="362"/>
        <v>-</v>
      </c>
      <c r="AN377" s="394" t="s">
        <v>78</v>
      </c>
      <c r="AO377" s="395" t="s">
        <v>78</v>
      </c>
      <c r="AP377" s="396" t="str">
        <f t="shared" si="335"/>
        <v>-</v>
      </c>
      <c r="AQ377" s="397" t="str">
        <f>IFERROR(AVERAGE(AP377:AP379),"N/A")</f>
        <v>N/A</v>
      </c>
      <c r="AR377" s="401" t="s">
        <v>78</v>
      </c>
      <c r="AS377" s="396" t="str">
        <f t="shared" si="336"/>
        <v>-</v>
      </c>
      <c r="AT377" s="397" t="str">
        <f>IFERROR(AVERAGE(AS377:AS379),"N/A")</f>
        <v>N/A</v>
      </c>
      <c r="AU377" s="388" t="str">
        <f t="shared" si="363"/>
        <v>-</v>
      </c>
      <c r="AV377" s="389" t="str">
        <f t="shared" si="364"/>
        <v>-</v>
      </c>
      <c r="AW377" s="353" t="s">
        <v>78</v>
      </c>
      <c r="AX377" s="403"/>
      <c r="AY377" s="404"/>
    </row>
    <row r="378" spans="1:51" ht="15" customHeight="1">
      <c r="A378" s="1" t="str">
        <f t="shared" si="334"/>
        <v>0_2023_</v>
      </c>
      <c r="B378" s="1" t="str">
        <f t="shared" si="339"/>
        <v>0_2023_NEO2</v>
      </c>
      <c r="C378" s="114">
        <f t="shared" si="318"/>
        <v>0</v>
      </c>
      <c r="D378" s="133" t="str">
        <f>_xll.ciqfunctions.udf.CIQ(C378,"IQ_Company_Name")</f>
        <v>(Invalid Identifier)</v>
      </c>
      <c r="E378" s="114">
        <f t="shared" si="314"/>
        <v>2023</v>
      </c>
      <c r="F378" s="114" t="str">
        <f t="shared" si="346"/>
        <v>2023-01-01</v>
      </c>
      <c r="G378" s="330" t="str">
        <f t="shared" si="347"/>
        <v>2023-12-31</v>
      </c>
      <c r="H378" s="114">
        <f t="shared" si="348"/>
        <v>12</v>
      </c>
      <c r="I378" s="407" t="str">
        <f t="shared" si="352"/>
        <v>CAD</v>
      </c>
      <c r="J378" s="461">
        <f t="shared" si="340"/>
        <v>1</v>
      </c>
      <c r="K378" s="468"/>
      <c r="L378" s="465" t="str">
        <f t="shared" ref="L378:N379" si="366">L377</f>
        <v>NEO2</v>
      </c>
      <c r="M378" s="123" t="str">
        <f t="shared" si="366"/>
        <v>-</v>
      </c>
      <c r="N378" s="132" t="str">
        <f t="shared" si="366"/>
        <v>-</v>
      </c>
      <c r="O378" s="219" t="s">
        <v>78</v>
      </c>
      <c r="P378" s="125" t="str">
        <f t="shared" si="349"/>
        <v>-</v>
      </c>
      <c r="Q378" s="311" t="s">
        <v>78</v>
      </c>
      <c r="R378" s="126" t="str">
        <f t="shared" si="350"/>
        <v>-</v>
      </c>
      <c r="S378" s="221" t="s">
        <v>78</v>
      </c>
      <c r="T378" s="125" t="str">
        <f t="shared" si="351"/>
        <v>-</v>
      </c>
      <c r="U378" s="127" t="str">
        <f t="shared" si="355"/>
        <v>-</v>
      </c>
      <c r="V378" s="128"/>
      <c r="W378" s="223" t="s">
        <v>78</v>
      </c>
      <c r="X378" s="129" t="str">
        <f t="shared" si="356"/>
        <v>-</v>
      </c>
      <c r="Y378" s="124" t="str">
        <f t="shared" si="359"/>
        <v>-</v>
      </c>
      <c r="Z378" s="130" t="str">
        <f t="shared" si="360"/>
        <v>-</v>
      </c>
      <c r="AA378" s="221" t="s">
        <v>78</v>
      </c>
      <c r="AB378" s="225" t="s">
        <v>78</v>
      </c>
      <c r="AC378" s="225" t="s">
        <v>78</v>
      </c>
      <c r="AD378" s="225" t="s">
        <v>78</v>
      </c>
      <c r="AE378" s="225" t="s">
        <v>78</v>
      </c>
      <c r="AF378" s="125" t="str">
        <f t="shared" si="341"/>
        <v>-</v>
      </c>
      <c r="AG378" s="127" t="str">
        <f t="shared" si="357"/>
        <v>-</v>
      </c>
      <c r="AH378" s="128"/>
      <c r="AI378" s="223" t="s">
        <v>78</v>
      </c>
      <c r="AJ378" s="131" t="str">
        <f t="shared" si="358"/>
        <v>-</v>
      </c>
      <c r="AK378" s="368" t="str">
        <f t="shared" si="342"/>
        <v>-</v>
      </c>
      <c r="AL378" s="375" t="str">
        <f t="shared" si="361"/>
        <v>-</v>
      </c>
      <c r="AM378" s="376" t="str">
        <f t="shared" si="362"/>
        <v>-</v>
      </c>
      <c r="AN378" s="394" t="s">
        <v>78</v>
      </c>
      <c r="AO378" s="395" t="s">
        <v>78</v>
      </c>
      <c r="AP378" s="396" t="str">
        <f t="shared" si="335"/>
        <v>-</v>
      </c>
      <c r="AQ378" s="397"/>
      <c r="AR378" s="401" t="s">
        <v>78</v>
      </c>
      <c r="AS378" s="396" t="str">
        <f t="shared" si="336"/>
        <v>-</v>
      </c>
      <c r="AT378" s="397"/>
      <c r="AU378" s="388" t="str">
        <f t="shared" si="363"/>
        <v>-</v>
      </c>
      <c r="AV378" s="389" t="str">
        <f t="shared" si="364"/>
        <v>-</v>
      </c>
      <c r="AW378" s="353" t="s">
        <v>78</v>
      </c>
      <c r="AX378" s="403"/>
      <c r="AY378" s="404"/>
    </row>
    <row r="379" spans="1:51" ht="15" customHeight="1">
      <c r="A379" s="1" t="str">
        <f t="shared" si="334"/>
        <v>0_2022_</v>
      </c>
      <c r="B379" s="1" t="str">
        <f t="shared" si="339"/>
        <v>0_2022_NEO2</v>
      </c>
      <c r="C379" s="114">
        <f t="shared" si="318"/>
        <v>0</v>
      </c>
      <c r="D379" s="133" t="str">
        <f>_xll.ciqfunctions.udf.CIQ(C379,"IQ_Company_Name")</f>
        <v>(Invalid Identifier)</v>
      </c>
      <c r="E379" s="114">
        <f t="shared" ref="E379:E412" si="367">E376</f>
        <v>2022</v>
      </c>
      <c r="F379" s="114" t="str">
        <f t="shared" si="346"/>
        <v>2022-01-01</v>
      </c>
      <c r="G379" s="330" t="str">
        <f t="shared" si="347"/>
        <v>2022-12-31</v>
      </c>
      <c r="H379" s="114">
        <f t="shared" si="348"/>
        <v>12</v>
      </c>
      <c r="I379" s="407" t="str">
        <f t="shared" si="352"/>
        <v>CAD</v>
      </c>
      <c r="J379" s="461">
        <f t="shared" si="340"/>
        <v>1</v>
      </c>
      <c r="K379" s="468"/>
      <c r="L379" s="465" t="str">
        <f t="shared" si="366"/>
        <v>NEO2</v>
      </c>
      <c r="M379" s="123" t="str">
        <f t="shared" si="366"/>
        <v>-</v>
      </c>
      <c r="N379" s="132" t="str">
        <f t="shared" si="366"/>
        <v>-</v>
      </c>
      <c r="O379" s="219" t="s">
        <v>78</v>
      </c>
      <c r="P379" s="125" t="str">
        <f t="shared" si="349"/>
        <v>-</v>
      </c>
      <c r="Q379" s="311" t="s">
        <v>78</v>
      </c>
      <c r="R379" s="126" t="str">
        <f t="shared" si="350"/>
        <v>-</v>
      </c>
      <c r="S379" s="221" t="s">
        <v>78</v>
      </c>
      <c r="T379" s="125" t="str">
        <f t="shared" si="351"/>
        <v>-</v>
      </c>
      <c r="U379" s="127" t="str">
        <f t="shared" si="355"/>
        <v>-</v>
      </c>
      <c r="V379" s="128"/>
      <c r="W379" s="223" t="s">
        <v>78</v>
      </c>
      <c r="X379" s="129" t="str">
        <f t="shared" si="356"/>
        <v>-</v>
      </c>
      <c r="Y379" s="124" t="str">
        <f t="shared" si="359"/>
        <v>-</v>
      </c>
      <c r="Z379" s="130" t="str">
        <f t="shared" si="360"/>
        <v>-</v>
      </c>
      <c r="AA379" s="221" t="s">
        <v>78</v>
      </c>
      <c r="AB379" s="225" t="s">
        <v>78</v>
      </c>
      <c r="AC379" s="225" t="s">
        <v>78</v>
      </c>
      <c r="AD379" s="225" t="s">
        <v>78</v>
      </c>
      <c r="AE379" s="225" t="s">
        <v>78</v>
      </c>
      <c r="AF379" s="125" t="str">
        <f t="shared" si="341"/>
        <v>-</v>
      </c>
      <c r="AG379" s="127" t="str">
        <f t="shared" si="357"/>
        <v>-</v>
      </c>
      <c r="AH379" s="128"/>
      <c r="AI379" s="223" t="s">
        <v>78</v>
      </c>
      <c r="AJ379" s="131" t="str">
        <f t="shared" si="358"/>
        <v>-</v>
      </c>
      <c r="AK379" s="368" t="str">
        <f t="shared" si="342"/>
        <v>-</v>
      </c>
      <c r="AL379" s="375" t="str">
        <f t="shared" si="361"/>
        <v>-</v>
      </c>
      <c r="AM379" s="376" t="str">
        <f t="shared" si="362"/>
        <v>-</v>
      </c>
      <c r="AN379" s="394" t="s">
        <v>78</v>
      </c>
      <c r="AO379" s="395" t="s">
        <v>78</v>
      </c>
      <c r="AP379" s="396" t="str">
        <f t="shared" si="335"/>
        <v>-</v>
      </c>
      <c r="AQ379" s="397"/>
      <c r="AR379" s="401" t="s">
        <v>78</v>
      </c>
      <c r="AS379" s="396" t="str">
        <f t="shared" si="336"/>
        <v>-</v>
      </c>
      <c r="AT379" s="397"/>
      <c r="AU379" s="388" t="str">
        <f t="shared" si="363"/>
        <v>-</v>
      </c>
      <c r="AV379" s="389" t="str">
        <f t="shared" si="364"/>
        <v>-</v>
      </c>
      <c r="AW379" s="353" t="s">
        <v>78</v>
      </c>
      <c r="AX379" s="403"/>
      <c r="AY379" s="404"/>
    </row>
    <row r="380" spans="1:51" ht="15" customHeight="1">
      <c r="A380" s="1" t="str">
        <f t="shared" si="334"/>
        <v>0_2024_</v>
      </c>
      <c r="B380" s="1" t="str">
        <f t="shared" si="339"/>
        <v>0_2024_NEO3</v>
      </c>
      <c r="C380" s="114">
        <f t="shared" si="318"/>
        <v>0</v>
      </c>
      <c r="D380" s="133" t="str">
        <f>_xll.ciqfunctions.udf.CIQ(C380,"IQ_Company_Name")</f>
        <v>(Invalid Identifier)</v>
      </c>
      <c r="E380" s="114">
        <f t="shared" si="367"/>
        <v>2024</v>
      </c>
      <c r="F380" s="114" t="str">
        <f t="shared" si="346"/>
        <v>2024-01-01</v>
      </c>
      <c r="G380" s="330" t="str">
        <f t="shared" si="347"/>
        <v>2024-12-31</v>
      </c>
      <c r="H380" s="114">
        <f t="shared" si="348"/>
        <v>12</v>
      </c>
      <c r="I380" s="407" t="str">
        <f t="shared" si="352"/>
        <v>CAD</v>
      </c>
      <c r="J380" s="461">
        <f t="shared" si="340"/>
        <v>1</v>
      </c>
      <c r="K380" s="468"/>
      <c r="L380" s="464" t="s">
        <v>109</v>
      </c>
      <c r="M380" s="217" t="s">
        <v>78</v>
      </c>
      <c r="N380" s="218" t="s">
        <v>78</v>
      </c>
      <c r="O380" s="219" t="s">
        <v>78</v>
      </c>
      <c r="P380" s="125" t="str">
        <f t="shared" si="349"/>
        <v>-</v>
      </c>
      <c r="Q380" s="311" t="s">
        <v>78</v>
      </c>
      <c r="R380" s="126" t="str">
        <f t="shared" si="350"/>
        <v>-</v>
      </c>
      <c r="S380" s="221" t="s">
        <v>78</v>
      </c>
      <c r="T380" s="125" t="str">
        <f t="shared" si="351"/>
        <v>-</v>
      </c>
      <c r="U380" s="127" t="str">
        <f t="shared" si="355"/>
        <v>-</v>
      </c>
      <c r="V380" s="128" t="str">
        <f>IFERROR(AVERAGE(U380:U382),"N/A")</f>
        <v>N/A</v>
      </c>
      <c r="W380" s="223" t="s">
        <v>78</v>
      </c>
      <c r="X380" s="129" t="str">
        <f t="shared" si="356"/>
        <v>-</v>
      </c>
      <c r="Y380" s="124" t="str">
        <f t="shared" si="359"/>
        <v>-</v>
      </c>
      <c r="Z380" s="130" t="str">
        <f t="shared" si="360"/>
        <v>-</v>
      </c>
      <c r="AA380" s="221" t="s">
        <v>78</v>
      </c>
      <c r="AB380" s="225" t="s">
        <v>78</v>
      </c>
      <c r="AC380" s="225" t="s">
        <v>78</v>
      </c>
      <c r="AD380" s="225" t="s">
        <v>78</v>
      </c>
      <c r="AE380" s="225" t="s">
        <v>78</v>
      </c>
      <c r="AF380" s="125" t="str">
        <f t="shared" si="341"/>
        <v>-</v>
      </c>
      <c r="AG380" s="127" t="str">
        <f t="shared" si="357"/>
        <v>-</v>
      </c>
      <c r="AH380" s="128" t="str">
        <f>IFERROR(AVERAGE(AG380:AG382),"N/A")</f>
        <v>N/A</v>
      </c>
      <c r="AI380" s="223" t="s">
        <v>78</v>
      </c>
      <c r="AJ380" s="131" t="str">
        <f t="shared" si="358"/>
        <v>-</v>
      </c>
      <c r="AK380" s="368" t="str">
        <f t="shared" si="342"/>
        <v>-</v>
      </c>
      <c r="AL380" s="375" t="str">
        <f t="shared" si="361"/>
        <v>-</v>
      </c>
      <c r="AM380" s="376" t="str">
        <f t="shared" si="362"/>
        <v>-</v>
      </c>
      <c r="AN380" s="394" t="s">
        <v>78</v>
      </c>
      <c r="AO380" s="395" t="s">
        <v>78</v>
      </c>
      <c r="AP380" s="396" t="str">
        <f t="shared" si="335"/>
        <v>-</v>
      </c>
      <c r="AQ380" s="397" t="str">
        <f>IFERROR(AVERAGE(AP380:AP382),"N/A")</f>
        <v>N/A</v>
      </c>
      <c r="AR380" s="401" t="s">
        <v>78</v>
      </c>
      <c r="AS380" s="396" t="str">
        <f t="shared" si="336"/>
        <v>-</v>
      </c>
      <c r="AT380" s="397" t="str">
        <f>IFERROR(AVERAGE(AS380:AS382),"N/A")</f>
        <v>N/A</v>
      </c>
      <c r="AU380" s="388" t="str">
        <f t="shared" si="363"/>
        <v>-</v>
      </c>
      <c r="AV380" s="389" t="str">
        <f t="shared" si="364"/>
        <v>-</v>
      </c>
      <c r="AW380" s="353" t="s">
        <v>78</v>
      </c>
      <c r="AX380" s="403"/>
      <c r="AY380" s="404"/>
    </row>
    <row r="381" spans="1:51" ht="15" customHeight="1">
      <c r="A381" s="1" t="str">
        <f t="shared" si="334"/>
        <v>0_2023_</v>
      </c>
      <c r="B381" s="1" t="str">
        <f t="shared" si="339"/>
        <v>0_2023_NEO3</v>
      </c>
      <c r="C381" s="114">
        <f t="shared" si="318"/>
        <v>0</v>
      </c>
      <c r="D381" s="133" t="str">
        <f>_xll.ciqfunctions.udf.CIQ(C381,"IQ_Company_Name")</f>
        <v>(Invalid Identifier)</v>
      </c>
      <c r="E381" s="114">
        <f t="shared" si="367"/>
        <v>2023</v>
      </c>
      <c r="F381" s="114" t="str">
        <f t="shared" si="346"/>
        <v>2023-01-01</v>
      </c>
      <c r="G381" s="330" t="str">
        <f t="shared" si="347"/>
        <v>2023-12-31</v>
      </c>
      <c r="H381" s="114">
        <f t="shared" si="348"/>
        <v>12</v>
      </c>
      <c r="I381" s="407" t="str">
        <f t="shared" si="352"/>
        <v>CAD</v>
      </c>
      <c r="J381" s="461">
        <f t="shared" si="340"/>
        <v>1</v>
      </c>
      <c r="K381" s="468"/>
      <c r="L381" s="465" t="str">
        <f t="shared" ref="L381:N382" si="368">L380</f>
        <v>NEO3</v>
      </c>
      <c r="M381" s="123" t="str">
        <f t="shared" si="368"/>
        <v>-</v>
      </c>
      <c r="N381" s="132" t="str">
        <f t="shared" si="368"/>
        <v>-</v>
      </c>
      <c r="O381" s="219" t="s">
        <v>78</v>
      </c>
      <c r="P381" s="125" t="str">
        <f t="shared" si="349"/>
        <v>-</v>
      </c>
      <c r="Q381" s="311" t="s">
        <v>78</v>
      </c>
      <c r="R381" s="126" t="str">
        <f t="shared" si="350"/>
        <v>-</v>
      </c>
      <c r="S381" s="221" t="s">
        <v>78</v>
      </c>
      <c r="T381" s="125" t="str">
        <f t="shared" si="351"/>
        <v>-</v>
      </c>
      <c r="U381" s="127" t="str">
        <f t="shared" si="355"/>
        <v>-</v>
      </c>
      <c r="V381" s="128"/>
      <c r="W381" s="223" t="s">
        <v>78</v>
      </c>
      <c r="X381" s="129" t="str">
        <f t="shared" si="356"/>
        <v>-</v>
      </c>
      <c r="Y381" s="124" t="str">
        <f t="shared" si="359"/>
        <v>-</v>
      </c>
      <c r="Z381" s="130" t="str">
        <f t="shared" si="360"/>
        <v>-</v>
      </c>
      <c r="AA381" s="221" t="s">
        <v>78</v>
      </c>
      <c r="AB381" s="225" t="s">
        <v>78</v>
      </c>
      <c r="AC381" s="225" t="s">
        <v>78</v>
      </c>
      <c r="AD381" s="225" t="s">
        <v>78</v>
      </c>
      <c r="AE381" s="225" t="s">
        <v>78</v>
      </c>
      <c r="AF381" s="125" t="str">
        <f t="shared" si="341"/>
        <v>-</v>
      </c>
      <c r="AG381" s="127" t="str">
        <f t="shared" si="357"/>
        <v>-</v>
      </c>
      <c r="AH381" s="128"/>
      <c r="AI381" s="223" t="s">
        <v>78</v>
      </c>
      <c r="AJ381" s="131" t="str">
        <f t="shared" si="358"/>
        <v>-</v>
      </c>
      <c r="AK381" s="368" t="str">
        <f t="shared" si="342"/>
        <v>-</v>
      </c>
      <c r="AL381" s="375" t="str">
        <f t="shared" si="361"/>
        <v>-</v>
      </c>
      <c r="AM381" s="376" t="str">
        <f t="shared" si="362"/>
        <v>-</v>
      </c>
      <c r="AN381" s="394" t="s">
        <v>78</v>
      </c>
      <c r="AO381" s="395" t="s">
        <v>78</v>
      </c>
      <c r="AP381" s="396" t="str">
        <f t="shared" si="335"/>
        <v>-</v>
      </c>
      <c r="AQ381" s="397"/>
      <c r="AR381" s="401" t="s">
        <v>78</v>
      </c>
      <c r="AS381" s="396" t="str">
        <f t="shared" si="336"/>
        <v>-</v>
      </c>
      <c r="AT381" s="397"/>
      <c r="AU381" s="388" t="str">
        <f t="shared" si="363"/>
        <v>-</v>
      </c>
      <c r="AV381" s="389" t="str">
        <f t="shared" si="364"/>
        <v>-</v>
      </c>
      <c r="AW381" s="353" t="s">
        <v>78</v>
      </c>
      <c r="AX381" s="403"/>
      <c r="AY381" s="404"/>
    </row>
    <row r="382" spans="1:51" ht="15" customHeight="1">
      <c r="A382" s="1" t="str">
        <f t="shared" si="334"/>
        <v>0_2022_</v>
      </c>
      <c r="B382" s="1" t="str">
        <f t="shared" si="339"/>
        <v>0_2022_NEO3</v>
      </c>
      <c r="C382" s="203">
        <f t="shared" si="318"/>
        <v>0</v>
      </c>
      <c r="D382" s="205" t="str">
        <f>_xll.ciqfunctions.udf.CIQ(C382,"IQ_Company_Name")</f>
        <v>(Invalid Identifier)</v>
      </c>
      <c r="E382" s="204">
        <f t="shared" si="367"/>
        <v>2022</v>
      </c>
      <c r="F382" s="204" t="str">
        <f t="shared" si="346"/>
        <v>2022-01-01</v>
      </c>
      <c r="G382" s="331" t="str">
        <f t="shared" si="347"/>
        <v>2022-12-31</v>
      </c>
      <c r="H382" s="204">
        <f t="shared" si="348"/>
        <v>12</v>
      </c>
      <c r="I382" s="408" t="str">
        <f t="shared" si="352"/>
        <v>CAD</v>
      </c>
      <c r="J382" s="463">
        <f t="shared" si="340"/>
        <v>1</v>
      </c>
      <c r="K382" s="470"/>
      <c r="L382" s="466" t="str">
        <f t="shared" si="368"/>
        <v>NEO3</v>
      </c>
      <c r="M382" s="206" t="str">
        <f t="shared" si="368"/>
        <v>-</v>
      </c>
      <c r="N382" s="207" t="str">
        <f t="shared" si="368"/>
        <v>-</v>
      </c>
      <c r="O382" s="220" t="s">
        <v>78</v>
      </c>
      <c r="P382" s="209" t="str">
        <f t="shared" si="349"/>
        <v>-</v>
      </c>
      <c r="Q382" s="312" t="s">
        <v>78</v>
      </c>
      <c r="R382" s="329" t="str">
        <f t="shared" si="350"/>
        <v>-</v>
      </c>
      <c r="S382" s="222" t="s">
        <v>78</v>
      </c>
      <c r="T382" s="209" t="str">
        <f t="shared" si="351"/>
        <v>-</v>
      </c>
      <c r="U382" s="211" t="str">
        <f t="shared" si="355"/>
        <v>-</v>
      </c>
      <c r="V382" s="212"/>
      <c r="W382" s="224" t="s">
        <v>78</v>
      </c>
      <c r="X382" s="213" t="str">
        <f t="shared" si="356"/>
        <v>-</v>
      </c>
      <c r="Y382" s="208" t="str">
        <f t="shared" si="359"/>
        <v>-</v>
      </c>
      <c r="Z382" s="214" t="str">
        <f t="shared" si="360"/>
        <v>-</v>
      </c>
      <c r="AA382" s="222" t="s">
        <v>78</v>
      </c>
      <c r="AB382" s="226" t="s">
        <v>78</v>
      </c>
      <c r="AC382" s="226" t="s">
        <v>78</v>
      </c>
      <c r="AD382" s="226" t="s">
        <v>78</v>
      </c>
      <c r="AE382" s="226" t="s">
        <v>78</v>
      </c>
      <c r="AF382" s="420" t="str">
        <f t="shared" si="341"/>
        <v>-</v>
      </c>
      <c r="AG382" s="211" t="str">
        <f t="shared" si="357"/>
        <v>-</v>
      </c>
      <c r="AH382" s="212"/>
      <c r="AI382" s="224" t="s">
        <v>78</v>
      </c>
      <c r="AJ382" s="215" t="str">
        <f t="shared" si="358"/>
        <v>-</v>
      </c>
      <c r="AK382" s="369" t="str">
        <f t="shared" si="342"/>
        <v>-</v>
      </c>
      <c r="AL382" s="377" t="str">
        <f t="shared" si="361"/>
        <v>-</v>
      </c>
      <c r="AM382" s="378" t="str">
        <f t="shared" si="362"/>
        <v>-</v>
      </c>
      <c r="AN382" s="398" t="s">
        <v>78</v>
      </c>
      <c r="AO382" s="399" t="s">
        <v>78</v>
      </c>
      <c r="AP382" s="396" t="str">
        <f t="shared" si="335"/>
        <v>-</v>
      </c>
      <c r="AQ382" s="400"/>
      <c r="AR382" s="402" t="s">
        <v>78</v>
      </c>
      <c r="AS382" s="396" t="str">
        <f t="shared" si="336"/>
        <v>-</v>
      </c>
      <c r="AT382" s="400"/>
      <c r="AU382" s="390" t="str">
        <f t="shared" si="363"/>
        <v>-</v>
      </c>
      <c r="AV382" s="391" t="str">
        <f t="shared" si="364"/>
        <v>-</v>
      </c>
      <c r="AW382" s="354" t="s">
        <v>78</v>
      </c>
      <c r="AX382" s="405"/>
      <c r="AY382" s="406"/>
    </row>
    <row r="383" spans="1:51" ht="15" customHeight="1">
      <c r="A383" s="1" t="str">
        <f t="shared" si="334"/>
        <v>0_2024_</v>
      </c>
      <c r="B383" s="1" t="str">
        <f t="shared" si="339"/>
        <v>0_2024_CEO</v>
      </c>
      <c r="C383" s="216">
        <f>D26</f>
        <v>0</v>
      </c>
      <c r="D383" s="133" t="str">
        <f>_xll.ciqfunctions.udf.CIQ(C383,"IQ_Company_Name")</f>
        <v>(Invalid Identifier)</v>
      </c>
      <c r="E383" s="328">
        <f>$F$9</f>
        <v>2024</v>
      </c>
      <c r="F383" s="330" t="str">
        <f t="shared" ref="F383:F397" si="369">E383&amp;"-01-01"</f>
        <v>2024-01-01</v>
      </c>
      <c r="G383" s="330" t="str">
        <f t="shared" ref="G383:G397" si="370">E383&amp;"-12-31"</f>
        <v>2024-12-31</v>
      </c>
      <c r="H383" s="114">
        <f t="shared" ref="H383:H397" si="371">_xlfn.DAYS(G383,F383)/_xlfn.DAYS(E383&amp;"-12-31",E383&amp;"-01-01")*12</f>
        <v>12</v>
      </c>
      <c r="I383" s="328" t="str">
        <f>$G$5</f>
        <v>CAD</v>
      </c>
      <c r="J383" s="461">
        <f t="shared" si="340"/>
        <v>1</v>
      </c>
      <c r="K383" s="468"/>
      <c r="L383" s="464" t="s">
        <v>79</v>
      </c>
      <c r="M383" s="217" t="s">
        <v>78</v>
      </c>
      <c r="N383" s="218" t="s">
        <v>78</v>
      </c>
      <c r="O383" s="219" t="s">
        <v>78</v>
      </c>
      <c r="P383" s="125" t="str">
        <f t="shared" ref="P383:P397" si="372">IFERROR(O383*(12/$H383)*$J383,"-")</f>
        <v>-</v>
      </c>
      <c r="Q383" s="311" t="s">
        <v>78</v>
      </c>
      <c r="R383" s="126" t="str">
        <f t="shared" ref="R383:R397" si="373">IFERROR(IF((Q383*$J383)=0,"-",(Q383*$J383)),"-")</f>
        <v>-</v>
      </c>
      <c r="S383" s="221" t="s">
        <v>78</v>
      </c>
      <c r="T383" s="125" t="str">
        <f t="shared" ref="T383:T397" si="374">IFERROR(S383*(12/$H383)*$J383,"-")</f>
        <v>-</v>
      </c>
      <c r="U383" s="127" t="str">
        <f t="shared" si="355"/>
        <v>-</v>
      </c>
      <c r="V383" s="128" t="str">
        <f>IFERROR(AVERAGE(U383:U385),"N/A")</f>
        <v>N/A</v>
      </c>
      <c r="W383" s="223" t="s">
        <v>78</v>
      </c>
      <c r="X383" s="129" t="str">
        <f t="shared" si="356"/>
        <v>-</v>
      </c>
      <c r="Y383" s="124" t="str">
        <f t="shared" si="359"/>
        <v>-</v>
      </c>
      <c r="Z383" s="130" t="str">
        <f t="shared" si="360"/>
        <v>-</v>
      </c>
      <c r="AA383" s="221" t="s">
        <v>78</v>
      </c>
      <c r="AB383" s="225" t="s">
        <v>78</v>
      </c>
      <c r="AC383" s="225" t="s">
        <v>78</v>
      </c>
      <c r="AD383" s="225" t="s">
        <v>78</v>
      </c>
      <c r="AE383" s="225" t="s">
        <v>78</v>
      </c>
      <c r="AF383" s="125" t="str">
        <f t="shared" si="341"/>
        <v>-</v>
      </c>
      <c r="AG383" s="127" t="str">
        <f t="shared" si="357"/>
        <v>-</v>
      </c>
      <c r="AH383" s="128" t="str">
        <f>IFERROR(AVERAGE(AG383:AG385),"N/A")</f>
        <v>N/A</v>
      </c>
      <c r="AI383" s="223" t="s">
        <v>78</v>
      </c>
      <c r="AJ383" s="131" t="str">
        <f t="shared" si="358"/>
        <v>-</v>
      </c>
      <c r="AK383" s="368" t="str">
        <f t="shared" si="342"/>
        <v>-</v>
      </c>
      <c r="AL383" s="375" t="str">
        <f t="shared" si="361"/>
        <v>-</v>
      </c>
      <c r="AM383" s="376" t="str">
        <f t="shared" si="362"/>
        <v>-</v>
      </c>
      <c r="AN383" s="394" t="s">
        <v>78</v>
      </c>
      <c r="AO383" s="395" t="s">
        <v>78</v>
      </c>
      <c r="AP383" s="396" t="str">
        <f t="shared" si="335"/>
        <v>-</v>
      </c>
      <c r="AQ383" s="409" t="str">
        <f>IFERROR(AVERAGE(AP383:AP385),"N/A")</f>
        <v>N/A</v>
      </c>
      <c r="AR383" s="401" t="s">
        <v>78</v>
      </c>
      <c r="AS383" s="396" t="str">
        <f t="shared" si="336"/>
        <v>-</v>
      </c>
      <c r="AT383" s="409" t="str">
        <f>IFERROR(AVERAGE(AS383:AS385),"N/A")</f>
        <v>N/A</v>
      </c>
      <c r="AU383" s="388" t="str">
        <f t="shared" si="363"/>
        <v>-</v>
      </c>
      <c r="AV383" s="389" t="str">
        <f t="shared" si="364"/>
        <v>-</v>
      </c>
      <c r="AW383" s="353" t="s">
        <v>78</v>
      </c>
      <c r="AX383" s="403"/>
      <c r="AY383" s="404"/>
    </row>
    <row r="384" spans="1:51" ht="15" customHeight="1">
      <c r="A384" s="1" t="str">
        <f t="shared" si="334"/>
        <v>0_2023_</v>
      </c>
      <c r="B384" s="1" t="str">
        <f t="shared" si="339"/>
        <v>0_2023_CEO</v>
      </c>
      <c r="C384" s="114">
        <f>C383</f>
        <v>0</v>
      </c>
      <c r="D384" s="133" t="str">
        <f>_xll.ciqfunctions.udf.CIQ(C384,"IQ_Company_Name")</f>
        <v>(Invalid Identifier)</v>
      </c>
      <c r="E384" s="328">
        <f>$F$10</f>
        <v>2023</v>
      </c>
      <c r="F384" s="330" t="str">
        <f t="shared" si="369"/>
        <v>2023-01-01</v>
      </c>
      <c r="G384" s="330" t="str">
        <f t="shared" si="370"/>
        <v>2023-12-31</v>
      </c>
      <c r="H384" s="114">
        <f t="shared" si="371"/>
        <v>12</v>
      </c>
      <c r="I384" s="407" t="str">
        <f>I383</f>
        <v>CAD</v>
      </c>
      <c r="J384" s="461">
        <f t="shared" si="340"/>
        <v>1</v>
      </c>
      <c r="K384" s="468"/>
      <c r="L384" s="465" t="str">
        <f t="shared" ref="L384:N385" si="375">L383</f>
        <v>CEO</v>
      </c>
      <c r="M384" s="123" t="str">
        <f t="shared" si="375"/>
        <v>-</v>
      </c>
      <c r="N384" s="132" t="str">
        <f t="shared" si="375"/>
        <v>-</v>
      </c>
      <c r="O384" s="219" t="s">
        <v>78</v>
      </c>
      <c r="P384" s="125" t="str">
        <f t="shared" si="372"/>
        <v>-</v>
      </c>
      <c r="Q384" s="311" t="s">
        <v>78</v>
      </c>
      <c r="R384" s="126" t="str">
        <f t="shared" si="373"/>
        <v>-</v>
      </c>
      <c r="S384" s="221" t="s">
        <v>78</v>
      </c>
      <c r="T384" s="125" t="str">
        <f t="shared" si="374"/>
        <v>-</v>
      </c>
      <c r="U384" s="127" t="str">
        <f t="shared" si="355"/>
        <v>-</v>
      </c>
      <c r="V384" s="128"/>
      <c r="W384" s="223" t="s">
        <v>78</v>
      </c>
      <c r="X384" s="129" t="str">
        <f t="shared" si="356"/>
        <v>-</v>
      </c>
      <c r="Y384" s="124" t="str">
        <f t="shared" si="359"/>
        <v>-</v>
      </c>
      <c r="Z384" s="130" t="str">
        <f t="shared" si="360"/>
        <v>-</v>
      </c>
      <c r="AA384" s="221" t="s">
        <v>78</v>
      </c>
      <c r="AB384" s="225" t="s">
        <v>78</v>
      </c>
      <c r="AC384" s="225" t="s">
        <v>78</v>
      </c>
      <c r="AD384" s="225" t="s">
        <v>78</v>
      </c>
      <c r="AE384" s="225" t="s">
        <v>78</v>
      </c>
      <c r="AF384" s="125" t="str">
        <f t="shared" si="341"/>
        <v>-</v>
      </c>
      <c r="AG384" s="127" t="str">
        <f t="shared" si="357"/>
        <v>-</v>
      </c>
      <c r="AH384" s="128"/>
      <c r="AI384" s="223" t="s">
        <v>78</v>
      </c>
      <c r="AJ384" s="131" t="str">
        <f t="shared" si="358"/>
        <v>-</v>
      </c>
      <c r="AK384" s="368" t="str">
        <f t="shared" si="342"/>
        <v>-</v>
      </c>
      <c r="AL384" s="375" t="str">
        <f t="shared" si="361"/>
        <v>-</v>
      </c>
      <c r="AM384" s="376" t="str">
        <f t="shared" si="362"/>
        <v>-</v>
      </c>
      <c r="AN384" s="394" t="s">
        <v>78</v>
      </c>
      <c r="AO384" s="395" t="s">
        <v>78</v>
      </c>
      <c r="AP384" s="396" t="str">
        <f t="shared" si="335"/>
        <v>-</v>
      </c>
      <c r="AQ384" s="397"/>
      <c r="AR384" s="401" t="s">
        <v>78</v>
      </c>
      <c r="AS384" s="396" t="str">
        <f t="shared" si="336"/>
        <v>-</v>
      </c>
      <c r="AT384" s="397"/>
      <c r="AU384" s="388" t="str">
        <f t="shared" si="363"/>
        <v>-</v>
      </c>
      <c r="AV384" s="389" t="str">
        <f t="shared" si="364"/>
        <v>-</v>
      </c>
      <c r="AW384" s="353" t="s">
        <v>78</v>
      </c>
      <c r="AX384" s="403"/>
      <c r="AY384" s="404"/>
    </row>
    <row r="385" spans="1:51" ht="15" customHeight="1">
      <c r="A385" s="1" t="str">
        <f t="shared" si="334"/>
        <v>0_2022_</v>
      </c>
      <c r="B385" s="1" t="str">
        <f t="shared" si="339"/>
        <v>0_2022_CEO</v>
      </c>
      <c r="C385" s="114">
        <f t="shared" si="318"/>
        <v>0</v>
      </c>
      <c r="D385" s="133" t="str">
        <f>_xll.ciqfunctions.udf.CIQ(C385,"IQ_Company_Name")</f>
        <v>(Invalid Identifier)</v>
      </c>
      <c r="E385" s="328">
        <f>$F$11</f>
        <v>2022</v>
      </c>
      <c r="F385" s="114" t="str">
        <f t="shared" si="369"/>
        <v>2022-01-01</v>
      </c>
      <c r="G385" s="330" t="str">
        <f t="shared" si="370"/>
        <v>2022-12-31</v>
      </c>
      <c r="H385" s="114">
        <f t="shared" si="371"/>
        <v>12</v>
      </c>
      <c r="I385" s="407" t="str">
        <f>I384</f>
        <v>CAD</v>
      </c>
      <c r="J385" s="461">
        <f t="shared" si="340"/>
        <v>1</v>
      </c>
      <c r="K385" s="468"/>
      <c r="L385" s="465" t="str">
        <f t="shared" si="375"/>
        <v>CEO</v>
      </c>
      <c r="M385" s="123" t="str">
        <f t="shared" si="375"/>
        <v>-</v>
      </c>
      <c r="N385" s="132" t="str">
        <f t="shared" si="375"/>
        <v>-</v>
      </c>
      <c r="O385" s="219" t="s">
        <v>78</v>
      </c>
      <c r="P385" s="125" t="str">
        <f t="shared" si="372"/>
        <v>-</v>
      </c>
      <c r="Q385" s="311" t="s">
        <v>78</v>
      </c>
      <c r="R385" s="126" t="str">
        <f t="shared" si="373"/>
        <v>-</v>
      </c>
      <c r="S385" s="221" t="s">
        <v>78</v>
      </c>
      <c r="T385" s="125" t="str">
        <f t="shared" si="374"/>
        <v>-</v>
      </c>
      <c r="U385" s="127" t="str">
        <f t="shared" si="355"/>
        <v>-</v>
      </c>
      <c r="V385" s="128"/>
      <c r="W385" s="223" t="s">
        <v>78</v>
      </c>
      <c r="X385" s="129" t="str">
        <f t="shared" si="356"/>
        <v>-</v>
      </c>
      <c r="Y385" s="124" t="str">
        <f t="shared" si="359"/>
        <v>-</v>
      </c>
      <c r="Z385" s="130" t="str">
        <f t="shared" si="360"/>
        <v>-</v>
      </c>
      <c r="AA385" s="221" t="s">
        <v>78</v>
      </c>
      <c r="AB385" s="225" t="s">
        <v>78</v>
      </c>
      <c r="AC385" s="225" t="s">
        <v>78</v>
      </c>
      <c r="AD385" s="225" t="s">
        <v>78</v>
      </c>
      <c r="AE385" s="225" t="s">
        <v>78</v>
      </c>
      <c r="AF385" s="125" t="str">
        <f t="shared" si="341"/>
        <v>-</v>
      </c>
      <c r="AG385" s="127" t="str">
        <f t="shared" si="357"/>
        <v>-</v>
      </c>
      <c r="AH385" s="128"/>
      <c r="AI385" s="223" t="s">
        <v>78</v>
      </c>
      <c r="AJ385" s="131" t="str">
        <f t="shared" si="358"/>
        <v>-</v>
      </c>
      <c r="AK385" s="368" t="str">
        <f t="shared" si="342"/>
        <v>-</v>
      </c>
      <c r="AL385" s="375" t="str">
        <f t="shared" si="361"/>
        <v>-</v>
      </c>
      <c r="AM385" s="376" t="str">
        <f t="shared" si="362"/>
        <v>-</v>
      </c>
      <c r="AN385" s="394" t="s">
        <v>78</v>
      </c>
      <c r="AO385" s="395" t="s">
        <v>78</v>
      </c>
      <c r="AP385" s="396" t="str">
        <f t="shared" si="335"/>
        <v>-</v>
      </c>
      <c r="AQ385" s="397"/>
      <c r="AR385" s="401" t="s">
        <v>78</v>
      </c>
      <c r="AS385" s="396" t="str">
        <f t="shared" si="336"/>
        <v>-</v>
      </c>
      <c r="AT385" s="397"/>
      <c r="AU385" s="388" t="str">
        <f t="shared" si="363"/>
        <v>-</v>
      </c>
      <c r="AV385" s="389" t="str">
        <f t="shared" si="364"/>
        <v>-</v>
      </c>
      <c r="AW385" s="353" t="s">
        <v>78</v>
      </c>
      <c r="AX385" s="403"/>
      <c r="AY385" s="404"/>
    </row>
    <row r="386" spans="1:51" ht="15" customHeight="1">
      <c r="A386" s="1" t="str">
        <f t="shared" si="334"/>
        <v>0_2024_</v>
      </c>
      <c r="B386" s="1" t="str">
        <f t="shared" si="339"/>
        <v>0_2024_CFO</v>
      </c>
      <c r="C386" s="114">
        <f t="shared" si="318"/>
        <v>0</v>
      </c>
      <c r="D386" s="133" t="str">
        <f>_xll.ciqfunctions.udf.CIQ(C386,"IQ_Company_Name")</f>
        <v>(Invalid Identifier)</v>
      </c>
      <c r="E386" s="114">
        <f t="shared" si="367"/>
        <v>2024</v>
      </c>
      <c r="F386" s="114" t="str">
        <f t="shared" si="369"/>
        <v>2024-01-01</v>
      </c>
      <c r="G386" s="330" t="str">
        <f t="shared" si="370"/>
        <v>2024-12-31</v>
      </c>
      <c r="H386" s="114">
        <f t="shared" si="371"/>
        <v>12</v>
      </c>
      <c r="I386" s="407" t="str">
        <f>I385</f>
        <v>CAD</v>
      </c>
      <c r="J386" s="461">
        <f t="shared" si="340"/>
        <v>1</v>
      </c>
      <c r="K386" s="468"/>
      <c r="L386" s="464" t="s">
        <v>106</v>
      </c>
      <c r="M386" s="217" t="s">
        <v>78</v>
      </c>
      <c r="N386" s="218" t="s">
        <v>78</v>
      </c>
      <c r="O386" s="219" t="s">
        <v>78</v>
      </c>
      <c r="P386" s="125" t="str">
        <f t="shared" si="372"/>
        <v>-</v>
      </c>
      <c r="Q386" s="311" t="s">
        <v>78</v>
      </c>
      <c r="R386" s="126" t="str">
        <f t="shared" si="373"/>
        <v>-</v>
      </c>
      <c r="S386" s="221" t="s">
        <v>78</v>
      </c>
      <c r="T386" s="125" t="str">
        <f t="shared" si="374"/>
        <v>-</v>
      </c>
      <c r="U386" s="127" t="str">
        <f t="shared" si="355"/>
        <v>-</v>
      </c>
      <c r="V386" s="128" t="str">
        <f>IFERROR(AVERAGE(U386:U388),"N/A")</f>
        <v>N/A</v>
      </c>
      <c r="W386" s="223" t="s">
        <v>78</v>
      </c>
      <c r="X386" s="129" t="str">
        <f t="shared" si="356"/>
        <v>-</v>
      </c>
      <c r="Y386" s="124" t="str">
        <f t="shared" si="359"/>
        <v>-</v>
      </c>
      <c r="Z386" s="130" t="str">
        <f t="shared" si="360"/>
        <v>-</v>
      </c>
      <c r="AA386" s="221" t="s">
        <v>78</v>
      </c>
      <c r="AB386" s="225" t="s">
        <v>78</v>
      </c>
      <c r="AC386" s="225" t="s">
        <v>78</v>
      </c>
      <c r="AD386" s="225" t="s">
        <v>78</v>
      </c>
      <c r="AE386" s="225" t="s">
        <v>78</v>
      </c>
      <c r="AF386" s="125" t="str">
        <f t="shared" si="341"/>
        <v>-</v>
      </c>
      <c r="AG386" s="127" t="str">
        <f t="shared" si="357"/>
        <v>-</v>
      </c>
      <c r="AH386" s="128" t="str">
        <f>IFERROR(AVERAGE(AG386:AG388),"N/A")</f>
        <v>N/A</v>
      </c>
      <c r="AI386" s="223" t="s">
        <v>78</v>
      </c>
      <c r="AJ386" s="131" t="str">
        <f t="shared" si="358"/>
        <v>-</v>
      </c>
      <c r="AK386" s="368" t="str">
        <f t="shared" si="342"/>
        <v>-</v>
      </c>
      <c r="AL386" s="375" t="str">
        <f t="shared" si="361"/>
        <v>-</v>
      </c>
      <c r="AM386" s="376" t="str">
        <f t="shared" si="362"/>
        <v>-</v>
      </c>
      <c r="AN386" s="394" t="s">
        <v>78</v>
      </c>
      <c r="AO386" s="395" t="s">
        <v>78</v>
      </c>
      <c r="AP386" s="396" t="str">
        <f t="shared" si="335"/>
        <v>-</v>
      </c>
      <c r="AQ386" s="397" t="str">
        <f>IFERROR(AVERAGE(AP386:AP388),"N/A")</f>
        <v>N/A</v>
      </c>
      <c r="AR386" s="401" t="s">
        <v>78</v>
      </c>
      <c r="AS386" s="396" t="str">
        <f t="shared" si="336"/>
        <v>-</v>
      </c>
      <c r="AT386" s="397" t="str">
        <f>IFERROR(AVERAGE(AS386:AS388),"N/A")</f>
        <v>N/A</v>
      </c>
      <c r="AU386" s="388" t="str">
        <f t="shared" si="363"/>
        <v>-</v>
      </c>
      <c r="AV386" s="389" t="str">
        <f t="shared" si="364"/>
        <v>-</v>
      </c>
      <c r="AW386" s="353" t="s">
        <v>78</v>
      </c>
      <c r="AX386" s="403"/>
      <c r="AY386" s="404"/>
    </row>
    <row r="387" spans="1:51" ht="15" customHeight="1">
      <c r="A387" s="1" t="str">
        <f t="shared" si="334"/>
        <v>0_2023_</v>
      </c>
      <c r="B387" s="1" t="str">
        <f t="shared" si="339"/>
        <v>0_2023_CFO</v>
      </c>
      <c r="C387" s="114">
        <f t="shared" si="318"/>
        <v>0</v>
      </c>
      <c r="D387" s="133" t="str">
        <f>_xll.ciqfunctions.udf.CIQ(C387,"IQ_Company_Name")</f>
        <v>(Invalid Identifier)</v>
      </c>
      <c r="E387" s="114">
        <f t="shared" si="367"/>
        <v>2023</v>
      </c>
      <c r="F387" s="114" t="str">
        <f t="shared" si="369"/>
        <v>2023-01-01</v>
      </c>
      <c r="G387" s="330" t="str">
        <f t="shared" si="370"/>
        <v>2023-12-31</v>
      </c>
      <c r="H387" s="114">
        <f t="shared" si="371"/>
        <v>12</v>
      </c>
      <c r="I387" s="407" t="str">
        <f>I386</f>
        <v>CAD</v>
      </c>
      <c r="J387" s="461">
        <f t="shared" si="340"/>
        <v>1</v>
      </c>
      <c r="K387" s="468"/>
      <c r="L387" s="465" t="str">
        <f t="shared" ref="L387:N388" si="376">L386</f>
        <v>CFO</v>
      </c>
      <c r="M387" s="123" t="str">
        <f t="shared" si="376"/>
        <v>-</v>
      </c>
      <c r="N387" s="132" t="str">
        <f t="shared" si="376"/>
        <v>-</v>
      </c>
      <c r="O387" s="219" t="s">
        <v>78</v>
      </c>
      <c r="P387" s="125" t="str">
        <f t="shared" si="372"/>
        <v>-</v>
      </c>
      <c r="Q387" s="311" t="s">
        <v>78</v>
      </c>
      <c r="R387" s="126" t="str">
        <f t="shared" si="373"/>
        <v>-</v>
      </c>
      <c r="S387" s="221" t="s">
        <v>78</v>
      </c>
      <c r="T387" s="125" t="str">
        <f t="shared" si="374"/>
        <v>-</v>
      </c>
      <c r="U387" s="127" t="str">
        <f t="shared" si="355"/>
        <v>-</v>
      </c>
      <c r="V387" s="128"/>
      <c r="W387" s="223" t="s">
        <v>78</v>
      </c>
      <c r="X387" s="129" t="str">
        <f t="shared" si="356"/>
        <v>-</v>
      </c>
      <c r="Y387" s="124" t="str">
        <f t="shared" si="359"/>
        <v>-</v>
      </c>
      <c r="Z387" s="130" t="str">
        <f t="shared" si="360"/>
        <v>-</v>
      </c>
      <c r="AA387" s="221" t="s">
        <v>78</v>
      </c>
      <c r="AB387" s="225" t="s">
        <v>78</v>
      </c>
      <c r="AC387" s="225" t="s">
        <v>78</v>
      </c>
      <c r="AD387" s="225" t="s">
        <v>78</v>
      </c>
      <c r="AE387" s="225" t="s">
        <v>78</v>
      </c>
      <c r="AF387" s="125" t="str">
        <f t="shared" si="341"/>
        <v>-</v>
      </c>
      <c r="AG387" s="127" t="str">
        <f t="shared" si="357"/>
        <v>-</v>
      </c>
      <c r="AH387" s="128"/>
      <c r="AI387" s="223" t="s">
        <v>78</v>
      </c>
      <c r="AJ387" s="131" t="str">
        <f t="shared" si="358"/>
        <v>-</v>
      </c>
      <c r="AK387" s="368" t="str">
        <f t="shared" si="342"/>
        <v>-</v>
      </c>
      <c r="AL387" s="375" t="str">
        <f t="shared" si="361"/>
        <v>-</v>
      </c>
      <c r="AM387" s="376" t="str">
        <f t="shared" si="362"/>
        <v>-</v>
      </c>
      <c r="AN387" s="394" t="s">
        <v>78</v>
      </c>
      <c r="AO387" s="395" t="s">
        <v>78</v>
      </c>
      <c r="AP387" s="396" t="str">
        <f t="shared" si="335"/>
        <v>-</v>
      </c>
      <c r="AQ387" s="397"/>
      <c r="AR387" s="401" t="s">
        <v>78</v>
      </c>
      <c r="AS387" s="396" t="str">
        <f t="shared" si="336"/>
        <v>-</v>
      </c>
      <c r="AT387" s="397"/>
      <c r="AU387" s="388" t="str">
        <f t="shared" si="363"/>
        <v>-</v>
      </c>
      <c r="AV387" s="389" t="str">
        <f t="shared" si="364"/>
        <v>-</v>
      </c>
      <c r="AW387" s="353" t="s">
        <v>78</v>
      </c>
      <c r="AX387" s="403"/>
      <c r="AY387" s="404"/>
    </row>
    <row r="388" spans="1:51" ht="15" customHeight="1">
      <c r="A388" s="1" t="str">
        <f t="shared" si="334"/>
        <v>0_2022_</v>
      </c>
      <c r="B388" s="1" t="str">
        <f t="shared" si="339"/>
        <v>0_2022_CFO</v>
      </c>
      <c r="C388" s="114">
        <f t="shared" ref="C388:C412" si="377">C387</f>
        <v>0</v>
      </c>
      <c r="D388" s="133" t="str">
        <f>_xll.ciqfunctions.udf.CIQ(C388,"IQ_Company_Name")</f>
        <v>(Invalid Identifier)</v>
      </c>
      <c r="E388" s="114">
        <f t="shared" si="367"/>
        <v>2022</v>
      </c>
      <c r="F388" s="114" t="str">
        <f t="shared" si="369"/>
        <v>2022-01-01</v>
      </c>
      <c r="G388" s="330" t="str">
        <f t="shared" si="370"/>
        <v>2022-12-31</v>
      </c>
      <c r="H388" s="114">
        <f t="shared" si="371"/>
        <v>12</v>
      </c>
      <c r="I388" s="407" t="str">
        <f t="shared" si="352"/>
        <v>CAD</v>
      </c>
      <c r="J388" s="461">
        <f t="shared" si="340"/>
        <v>1</v>
      </c>
      <c r="K388" s="468"/>
      <c r="L388" s="465" t="str">
        <f t="shared" si="376"/>
        <v>CFO</v>
      </c>
      <c r="M388" s="123" t="str">
        <f t="shared" si="376"/>
        <v>-</v>
      </c>
      <c r="N388" s="132" t="str">
        <f t="shared" si="376"/>
        <v>-</v>
      </c>
      <c r="O388" s="219" t="s">
        <v>78</v>
      </c>
      <c r="P388" s="125" t="str">
        <f t="shared" si="372"/>
        <v>-</v>
      </c>
      <c r="Q388" s="311" t="s">
        <v>78</v>
      </c>
      <c r="R388" s="126" t="str">
        <f t="shared" si="373"/>
        <v>-</v>
      </c>
      <c r="S388" s="221" t="s">
        <v>78</v>
      </c>
      <c r="T388" s="125" t="str">
        <f t="shared" si="374"/>
        <v>-</v>
      </c>
      <c r="U388" s="127" t="str">
        <f t="shared" si="355"/>
        <v>-</v>
      </c>
      <c r="V388" s="128"/>
      <c r="W388" s="223" t="s">
        <v>78</v>
      </c>
      <c r="X388" s="129" t="str">
        <f t="shared" si="356"/>
        <v>-</v>
      </c>
      <c r="Y388" s="124" t="str">
        <f t="shared" si="359"/>
        <v>-</v>
      </c>
      <c r="Z388" s="130" t="str">
        <f t="shared" si="360"/>
        <v>-</v>
      </c>
      <c r="AA388" s="221" t="s">
        <v>78</v>
      </c>
      <c r="AB388" s="225" t="s">
        <v>78</v>
      </c>
      <c r="AC388" s="225" t="s">
        <v>78</v>
      </c>
      <c r="AD388" s="225" t="s">
        <v>78</v>
      </c>
      <c r="AE388" s="225" t="s">
        <v>78</v>
      </c>
      <c r="AF388" s="125" t="str">
        <f t="shared" si="341"/>
        <v>-</v>
      </c>
      <c r="AG388" s="127" t="str">
        <f t="shared" si="357"/>
        <v>-</v>
      </c>
      <c r="AH388" s="128"/>
      <c r="AI388" s="223" t="s">
        <v>78</v>
      </c>
      <c r="AJ388" s="131" t="str">
        <f t="shared" si="358"/>
        <v>-</v>
      </c>
      <c r="AK388" s="368" t="str">
        <f t="shared" si="342"/>
        <v>-</v>
      </c>
      <c r="AL388" s="375" t="str">
        <f t="shared" si="361"/>
        <v>-</v>
      </c>
      <c r="AM388" s="376" t="str">
        <f t="shared" si="362"/>
        <v>-</v>
      </c>
      <c r="AN388" s="394" t="s">
        <v>78</v>
      </c>
      <c r="AO388" s="395" t="s">
        <v>78</v>
      </c>
      <c r="AP388" s="396" t="str">
        <f t="shared" si="335"/>
        <v>-</v>
      </c>
      <c r="AQ388" s="397"/>
      <c r="AR388" s="401" t="s">
        <v>78</v>
      </c>
      <c r="AS388" s="396" t="str">
        <f t="shared" si="336"/>
        <v>-</v>
      </c>
      <c r="AT388" s="397"/>
      <c r="AU388" s="388" t="str">
        <f t="shared" si="363"/>
        <v>-</v>
      </c>
      <c r="AV388" s="389" t="str">
        <f t="shared" si="364"/>
        <v>-</v>
      </c>
      <c r="AW388" s="353" t="s">
        <v>78</v>
      </c>
      <c r="AX388" s="403"/>
      <c r="AY388" s="404"/>
    </row>
    <row r="389" spans="1:51" ht="15" customHeight="1">
      <c r="A389" s="1" t="str">
        <f t="shared" si="334"/>
        <v>0_2024_</v>
      </c>
      <c r="B389" s="1" t="str">
        <f t="shared" si="339"/>
        <v>0_2024_NEO1</v>
      </c>
      <c r="C389" s="114">
        <f t="shared" si="377"/>
        <v>0</v>
      </c>
      <c r="D389" s="133" t="str">
        <f>_xll.ciqfunctions.udf.CIQ(C389,"IQ_Company_Name")</f>
        <v>(Invalid Identifier)</v>
      </c>
      <c r="E389" s="114">
        <f t="shared" si="367"/>
        <v>2024</v>
      </c>
      <c r="F389" s="330" t="str">
        <f t="shared" si="369"/>
        <v>2024-01-01</v>
      </c>
      <c r="G389" s="330" t="str">
        <f t="shared" si="370"/>
        <v>2024-12-31</v>
      </c>
      <c r="H389" s="114">
        <f t="shared" si="371"/>
        <v>12</v>
      </c>
      <c r="I389" s="407" t="str">
        <f t="shared" si="352"/>
        <v>CAD</v>
      </c>
      <c r="J389" s="461">
        <f t="shared" si="340"/>
        <v>1</v>
      </c>
      <c r="K389" s="468"/>
      <c r="L389" s="464" t="s">
        <v>107</v>
      </c>
      <c r="M389" s="217" t="s">
        <v>78</v>
      </c>
      <c r="N389" s="218" t="s">
        <v>78</v>
      </c>
      <c r="O389" s="219" t="s">
        <v>78</v>
      </c>
      <c r="P389" s="125" t="str">
        <f t="shared" si="372"/>
        <v>-</v>
      </c>
      <c r="Q389" s="311" t="s">
        <v>78</v>
      </c>
      <c r="R389" s="126" t="str">
        <f t="shared" si="373"/>
        <v>-</v>
      </c>
      <c r="S389" s="221" t="s">
        <v>78</v>
      </c>
      <c r="T389" s="125" t="str">
        <f t="shared" si="374"/>
        <v>-</v>
      </c>
      <c r="U389" s="127" t="str">
        <f t="shared" si="355"/>
        <v>-</v>
      </c>
      <c r="V389" s="128" t="str">
        <f>IFERROR(AVERAGE(U389:U391),"N/A")</f>
        <v>N/A</v>
      </c>
      <c r="W389" s="223" t="s">
        <v>78</v>
      </c>
      <c r="X389" s="129" t="str">
        <f t="shared" si="356"/>
        <v>-</v>
      </c>
      <c r="Y389" s="124" t="str">
        <f t="shared" si="359"/>
        <v>-</v>
      </c>
      <c r="Z389" s="130" t="str">
        <f t="shared" si="360"/>
        <v>-</v>
      </c>
      <c r="AA389" s="221" t="s">
        <v>78</v>
      </c>
      <c r="AB389" s="225" t="s">
        <v>78</v>
      </c>
      <c r="AC389" s="225" t="s">
        <v>78</v>
      </c>
      <c r="AD389" s="225" t="s">
        <v>78</v>
      </c>
      <c r="AE389" s="225" t="s">
        <v>78</v>
      </c>
      <c r="AF389" s="125" t="str">
        <f t="shared" si="341"/>
        <v>-</v>
      </c>
      <c r="AG389" s="127" t="str">
        <f t="shared" si="357"/>
        <v>-</v>
      </c>
      <c r="AH389" s="128" t="str">
        <f>IFERROR(AVERAGE(AG389:AG391),"N/A")</f>
        <v>N/A</v>
      </c>
      <c r="AI389" s="223" t="s">
        <v>78</v>
      </c>
      <c r="AJ389" s="131" t="str">
        <f t="shared" si="358"/>
        <v>-</v>
      </c>
      <c r="AK389" s="368" t="str">
        <f t="shared" si="342"/>
        <v>-</v>
      </c>
      <c r="AL389" s="375" t="str">
        <f t="shared" si="361"/>
        <v>-</v>
      </c>
      <c r="AM389" s="376" t="str">
        <f t="shared" si="362"/>
        <v>-</v>
      </c>
      <c r="AN389" s="394" t="s">
        <v>78</v>
      </c>
      <c r="AO389" s="395" t="s">
        <v>78</v>
      </c>
      <c r="AP389" s="396" t="str">
        <f t="shared" si="335"/>
        <v>-</v>
      </c>
      <c r="AQ389" s="397" t="str">
        <f>IFERROR(AVERAGE(AP389:AP391),"N/A")</f>
        <v>N/A</v>
      </c>
      <c r="AR389" s="401" t="s">
        <v>78</v>
      </c>
      <c r="AS389" s="396" t="str">
        <f t="shared" si="336"/>
        <v>-</v>
      </c>
      <c r="AT389" s="397" t="str">
        <f>IFERROR(AVERAGE(AS389:AS391),"N/A")</f>
        <v>N/A</v>
      </c>
      <c r="AU389" s="388" t="str">
        <f t="shared" si="363"/>
        <v>-</v>
      </c>
      <c r="AV389" s="389" t="str">
        <f t="shared" si="364"/>
        <v>-</v>
      </c>
      <c r="AW389" s="353" t="s">
        <v>78</v>
      </c>
      <c r="AX389" s="403"/>
      <c r="AY389" s="404"/>
    </row>
    <row r="390" spans="1:51" ht="15" customHeight="1">
      <c r="A390" s="1" t="str">
        <f t="shared" si="334"/>
        <v>0_2023_</v>
      </c>
      <c r="B390" s="1" t="str">
        <f t="shared" si="339"/>
        <v>0_2023_NEO1</v>
      </c>
      <c r="C390" s="114">
        <f t="shared" si="377"/>
        <v>0</v>
      </c>
      <c r="D390" s="133" t="str">
        <f>_xll.ciqfunctions.udf.CIQ(C390,"IQ_Company_Name")</f>
        <v>(Invalid Identifier)</v>
      </c>
      <c r="E390" s="114">
        <f t="shared" si="367"/>
        <v>2023</v>
      </c>
      <c r="F390" s="330" t="str">
        <f t="shared" si="369"/>
        <v>2023-01-01</v>
      </c>
      <c r="G390" s="330" t="str">
        <f t="shared" si="370"/>
        <v>2023-12-31</v>
      </c>
      <c r="H390" s="114">
        <f t="shared" si="371"/>
        <v>12</v>
      </c>
      <c r="I390" s="407" t="str">
        <f t="shared" si="352"/>
        <v>CAD</v>
      </c>
      <c r="J390" s="461">
        <f t="shared" si="340"/>
        <v>1</v>
      </c>
      <c r="K390" s="468"/>
      <c r="L390" s="465" t="str">
        <f t="shared" ref="L390:N391" si="378">L389</f>
        <v>NEO1</v>
      </c>
      <c r="M390" s="123" t="str">
        <f t="shared" si="378"/>
        <v>-</v>
      </c>
      <c r="N390" s="132" t="str">
        <f t="shared" si="378"/>
        <v>-</v>
      </c>
      <c r="O390" s="219" t="s">
        <v>78</v>
      </c>
      <c r="P390" s="125" t="str">
        <f t="shared" si="372"/>
        <v>-</v>
      </c>
      <c r="Q390" s="311" t="s">
        <v>78</v>
      </c>
      <c r="R390" s="126" t="str">
        <f t="shared" si="373"/>
        <v>-</v>
      </c>
      <c r="S390" s="221" t="s">
        <v>78</v>
      </c>
      <c r="T390" s="125" t="str">
        <f t="shared" si="374"/>
        <v>-</v>
      </c>
      <c r="U390" s="127" t="str">
        <f t="shared" si="355"/>
        <v>-</v>
      </c>
      <c r="V390" s="128"/>
      <c r="W390" s="223" t="s">
        <v>78</v>
      </c>
      <c r="X390" s="129" t="str">
        <f t="shared" si="356"/>
        <v>-</v>
      </c>
      <c r="Y390" s="124" t="str">
        <f t="shared" si="359"/>
        <v>-</v>
      </c>
      <c r="Z390" s="130" t="str">
        <f t="shared" si="360"/>
        <v>-</v>
      </c>
      <c r="AA390" s="221" t="s">
        <v>78</v>
      </c>
      <c r="AB390" s="225" t="s">
        <v>78</v>
      </c>
      <c r="AC390" s="225" t="s">
        <v>78</v>
      </c>
      <c r="AD390" s="225" t="s">
        <v>78</v>
      </c>
      <c r="AE390" s="225" t="s">
        <v>78</v>
      </c>
      <c r="AF390" s="125" t="str">
        <f t="shared" si="341"/>
        <v>-</v>
      </c>
      <c r="AG390" s="127" t="str">
        <f t="shared" si="357"/>
        <v>-</v>
      </c>
      <c r="AH390" s="128"/>
      <c r="AI390" s="223" t="s">
        <v>78</v>
      </c>
      <c r="AJ390" s="131" t="str">
        <f t="shared" si="358"/>
        <v>-</v>
      </c>
      <c r="AK390" s="368" t="str">
        <f t="shared" si="342"/>
        <v>-</v>
      </c>
      <c r="AL390" s="375" t="str">
        <f t="shared" si="361"/>
        <v>-</v>
      </c>
      <c r="AM390" s="376" t="str">
        <f t="shared" si="362"/>
        <v>-</v>
      </c>
      <c r="AN390" s="394" t="s">
        <v>78</v>
      </c>
      <c r="AO390" s="395" t="s">
        <v>78</v>
      </c>
      <c r="AP390" s="396" t="str">
        <f t="shared" si="335"/>
        <v>-</v>
      </c>
      <c r="AQ390" s="397"/>
      <c r="AR390" s="401" t="s">
        <v>78</v>
      </c>
      <c r="AS390" s="396" t="str">
        <f t="shared" si="336"/>
        <v>-</v>
      </c>
      <c r="AT390" s="397"/>
      <c r="AU390" s="388" t="str">
        <f t="shared" si="363"/>
        <v>-</v>
      </c>
      <c r="AV390" s="389" t="str">
        <f t="shared" si="364"/>
        <v>-</v>
      </c>
      <c r="AW390" s="353" t="s">
        <v>78</v>
      </c>
      <c r="AX390" s="403"/>
      <c r="AY390" s="404"/>
    </row>
    <row r="391" spans="1:51" ht="15" customHeight="1">
      <c r="A391" s="1" t="str">
        <f t="shared" si="334"/>
        <v>0_2022_</v>
      </c>
      <c r="B391" s="1" t="str">
        <f t="shared" si="339"/>
        <v>0_2022_NEO1</v>
      </c>
      <c r="C391" s="114">
        <f t="shared" si="377"/>
        <v>0</v>
      </c>
      <c r="D391" s="133" t="str">
        <f>_xll.ciqfunctions.udf.CIQ(C391,"IQ_Company_Name")</f>
        <v>(Invalid Identifier)</v>
      </c>
      <c r="E391" s="114">
        <f t="shared" si="367"/>
        <v>2022</v>
      </c>
      <c r="F391" s="114" t="str">
        <f t="shared" si="369"/>
        <v>2022-01-01</v>
      </c>
      <c r="G391" s="330" t="str">
        <f t="shared" si="370"/>
        <v>2022-12-31</v>
      </c>
      <c r="H391" s="114">
        <f t="shared" si="371"/>
        <v>12</v>
      </c>
      <c r="I391" s="407" t="str">
        <f t="shared" si="352"/>
        <v>CAD</v>
      </c>
      <c r="J391" s="461">
        <f t="shared" si="340"/>
        <v>1</v>
      </c>
      <c r="K391" s="468"/>
      <c r="L391" s="465" t="str">
        <f t="shared" si="378"/>
        <v>NEO1</v>
      </c>
      <c r="M391" s="123" t="str">
        <f t="shared" si="378"/>
        <v>-</v>
      </c>
      <c r="N391" s="132" t="str">
        <f t="shared" si="378"/>
        <v>-</v>
      </c>
      <c r="O391" s="219" t="s">
        <v>78</v>
      </c>
      <c r="P391" s="125" t="str">
        <f t="shared" si="372"/>
        <v>-</v>
      </c>
      <c r="Q391" s="311" t="s">
        <v>78</v>
      </c>
      <c r="R391" s="126" t="str">
        <f t="shared" si="373"/>
        <v>-</v>
      </c>
      <c r="S391" s="221" t="s">
        <v>78</v>
      </c>
      <c r="T391" s="125" t="str">
        <f t="shared" si="374"/>
        <v>-</v>
      </c>
      <c r="U391" s="127" t="str">
        <f t="shared" si="355"/>
        <v>-</v>
      </c>
      <c r="V391" s="128"/>
      <c r="W391" s="223" t="s">
        <v>78</v>
      </c>
      <c r="X391" s="129" t="str">
        <f t="shared" si="356"/>
        <v>-</v>
      </c>
      <c r="Y391" s="124" t="str">
        <f t="shared" si="359"/>
        <v>-</v>
      </c>
      <c r="Z391" s="130" t="str">
        <f t="shared" si="360"/>
        <v>-</v>
      </c>
      <c r="AA391" s="221" t="s">
        <v>78</v>
      </c>
      <c r="AB391" s="225" t="s">
        <v>78</v>
      </c>
      <c r="AC391" s="225" t="s">
        <v>78</v>
      </c>
      <c r="AD391" s="225" t="s">
        <v>78</v>
      </c>
      <c r="AE391" s="225" t="s">
        <v>78</v>
      </c>
      <c r="AF391" s="125" t="str">
        <f t="shared" si="341"/>
        <v>-</v>
      </c>
      <c r="AG391" s="127" t="str">
        <f t="shared" si="357"/>
        <v>-</v>
      </c>
      <c r="AH391" s="128"/>
      <c r="AI391" s="223" t="s">
        <v>78</v>
      </c>
      <c r="AJ391" s="131" t="str">
        <f t="shared" si="358"/>
        <v>-</v>
      </c>
      <c r="AK391" s="368" t="str">
        <f t="shared" ref="AK391:AK412" si="379">IFERROR($AF391*$J391,"-")</f>
        <v>-</v>
      </c>
      <c r="AL391" s="375" t="str">
        <f t="shared" si="361"/>
        <v>-</v>
      </c>
      <c r="AM391" s="376" t="str">
        <f t="shared" si="362"/>
        <v>-</v>
      </c>
      <c r="AN391" s="394" t="s">
        <v>78</v>
      </c>
      <c r="AO391" s="395" t="s">
        <v>78</v>
      </c>
      <c r="AP391" s="396" t="str">
        <f t="shared" si="335"/>
        <v>-</v>
      </c>
      <c r="AQ391" s="397"/>
      <c r="AR391" s="401" t="s">
        <v>78</v>
      </c>
      <c r="AS391" s="396" t="str">
        <f t="shared" si="336"/>
        <v>-</v>
      </c>
      <c r="AT391" s="397"/>
      <c r="AU391" s="388" t="str">
        <f t="shared" si="363"/>
        <v>-</v>
      </c>
      <c r="AV391" s="389" t="str">
        <f t="shared" si="364"/>
        <v>-</v>
      </c>
      <c r="AW391" s="353" t="s">
        <v>78</v>
      </c>
      <c r="AX391" s="403"/>
      <c r="AY391" s="404"/>
    </row>
    <row r="392" spans="1:51" ht="15" customHeight="1">
      <c r="A392" s="1" t="str">
        <f t="shared" si="334"/>
        <v>0_2024_</v>
      </c>
      <c r="B392" s="1" t="str">
        <f t="shared" si="339"/>
        <v>0_2024_NEO2</v>
      </c>
      <c r="C392" s="114">
        <f t="shared" si="377"/>
        <v>0</v>
      </c>
      <c r="D392" s="133" t="str">
        <f>_xll.ciqfunctions.udf.CIQ(C392,"IQ_Company_Name")</f>
        <v>(Invalid Identifier)</v>
      </c>
      <c r="E392" s="114">
        <f t="shared" si="367"/>
        <v>2024</v>
      </c>
      <c r="F392" s="114" t="str">
        <f t="shared" si="369"/>
        <v>2024-01-01</v>
      </c>
      <c r="G392" s="330" t="str">
        <f t="shared" si="370"/>
        <v>2024-12-31</v>
      </c>
      <c r="H392" s="114">
        <f t="shared" si="371"/>
        <v>12</v>
      </c>
      <c r="I392" s="407" t="str">
        <f t="shared" si="352"/>
        <v>CAD</v>
      </c>
      <c r="J392" s="461">
        <f t="shared" si="340"/>
        <v>1</v>
      </c>
      <c r="K392" s="468"/>
      <c r="L392" s="464" t="s">
        <v>108</v>
      </c>
      <c r="M392" s="217" t="s">
        <v>78</v>
      </c>
      <c r="N392" s="218" t="s">
        <v>78</v>
      </c>
      <c r="O392" s="219" t="s">
        <v>78</v>
      </c>
      <c r="P392" s="125" t="str">
        <f t="shared" si="372"/>
        <v>-</v>
      </c>
      <c r="Q392" s="311" t="s">
        <v>78</v>
      </c>
      <c r="R392" s="126" t="str">
        <f t="shared" si="373"/>
        <v>-</v>
      </c>
      <c r="S392" s="221" t="s">
        <v>78</v>
      </c>
      <c r="T392" s="125" t="str">
        <f t="shared" si="374"/>
        <v>-</v>
      </c>
      <c r="U392" s="127" t="str">
        <f t="shared" si="355"/>
        <v>-</v>
      </c>
      <c r="V392" s="128" t="str">
        <f>IFERROR(AVERAGE(U392:U394),"N/A")</f>
        <v>N/A</v>
      </c>
      <c r="W392" s="223" t="s">
        <v>78</v>
      </c>
      <c r="X392" s="129" t="str">
        <f t="shared" si="356"/>
        <v>-</v>
      </c>
      <c r="Y392" s="124" t="str">
        <f t="shared" si="359"/>
        <v>-</v>
      </c>
      <c r="Z392" s="130" t="str">
        <f t="shared" si="360"/>
        <v>-</v>
      </c>
      <c r="AA392" s="221" t="s">
        <v>78</v>
      </c>
      <c r="AB392" s="225" t="s">
        <v>78</v>
      </c>
      <c r="AC392" s="225" t="s">
        <v>78</v>
      </c>
      <c r="AD392" s="225" t="s">
        <v>78</v>
      </c>
      <c r="AE392" s="225" t="s">
        <v>78</v>
      </c>
      <c r="AF392" s="125" t="str">
        <f t="shared" si="341"/>
        <v>-</v>
      </c>
      <c r="AG392" s="127" t="str">
        <f t="shared" si="357"/>
        <v>-</v>
      </c>
      <c r="AH392" s="128" t="str">
        <f>IFERROR(AVERAGE(AG392:AG394),"N/A")</f>
        <v>N/A</v>
      </c>
      <c r="AI392" s="223" t="s">
        <v>78</v>
      </c>
      <c r="AJ392" s="131" t="str">
        <f t="shared" si="358"/>
        <v>-</v>
      </c>
      <c r="AK392" s="368" t="str">
        <f t="shared" si="379"/>
        <v>-</v>
      </c>
      <c r="AL392" s="375" t="str">
        <f t="shared" si="361"/>
        <v>-</v>
      </c>
      <c r="AM392" s="376" t="str">
        <f t="shared" si="362"/>
        <v>-</v>
      </c>
      <c r="AN392" s="394" t="s">
        <v>78</v>
      </c>
      <c r="AO392" s="395" t="s">
        <v>78</v>
      </c>
      <c r="AP392" s="396" t="str">
        <f t="shared" si="335"/>
        <v>-</v>
      </c>
      <c r="AQ392" s="397" t="str">
        <f>IFERROR(AVERAGE(AP392:AP394),"N/A")</f>
        <v>N/A</v>
      </c>
      <c r="AR392" s="401" t="s">
        <v>78</v>
      </c>
      <c r="AS392" s="396" t="str">
        <f t="shared" si="336"/>
        <v>-</v>
      </c>
      <c r="AT392" s="397" t="str">
        <f>IFERROR(AVERAGE(AS392:AS394),"N/A")</f>
        <v>N/A</v>
      </c>
      <c r="AU392" s="388" t="str">
        <f t="shared" si="363"/>
        <v>-</v>
      </c>
      <c r="AV392" s="389" t="str">
        <f t="shared" si="364"/>
        <v>-</v>
      </c>
      <c r="AW392" s="353" t="s">
        <v>78</v>
      </c>
      <c r="AX392" s="403"/>
      <c r="AY392" s="404"/>
    </row>
    <row r="393" spans="1:51" ht="15" customHeight="1">
      <c r="A393" s="1" t="str">
        <f t="shared" si="334"/>
        <v>0_2023_</v>
      </c>
      <c r="B393" s="1" t="str">
        <f t="shared" si="339"/>
        <v>0_2023_NEO2</v>
      </c>
      <c r="C393" s="114">
        <f t="shared" si="377"/>
        <v>0</v>
      </c>
      <c r="D393" s="133" t="str">
        <f>_xll.ciqfunctions.udf.CIQ(C393,"IQ_Company_Name")</f>
        <v>(Invalid Identifier)</v>
      </c>
      <c r="E393" s="114">
        <f t="shared" si="367"/>
        <v>2023</v>
      </c>
      <c r="F393" s="114" t="str">
        <f t="shared" si="369"/>
        <v>2023-01-01</v>
      </c>
      <c r="G393" s="330" t="str">
        <f t="shared" si="370"/>
        <v>2023-12-31</v>
      </c>
      <c r="H393" s="114">
        <f t="shared" si="371"/>
        <v>12</v>
      </c>
      <c r="I393" s="407" t="str">
        <f t="shared" si="352"/>
        <v>CAD</v>
      </c>
      <c r="J393" s="461">
        <f t="shared" si="340"/>
        <v>1</v>
      </c>
      <c r="K393" s="468"/>
      <c r="L393" s="465" t="str">
        <f t="shared" ref="L393:N394" si="380">L392</f>
        <v>NEO2</v>
      </c>
      <c r="M393" s="123" t="str">
        <f t="shared" si="380"/>
        <v>-</v>
      </c>
      <c r="N393" s="132" t="str">
        <f t="shared" si="380"/>
        <v>-</v>
      </c>
      <c r="O393" s="219" t="s">
        <v>78</v>
      </c>
      <c r="P393" s="125" t="str">
        <f t="shared" si="372"/>
        <v>-</v>
      </c>
      <c r="Q393" s="311" t="s">
        <v>78</v>
      </c>
      <c r="R393" s="126" t="str">
        <f t="shared" si="373"/>
        <v>-</v>
      </c>
      <c r="S393" s="221" t="s">
        <v>78</v>
      </c>
      <c r="T393" s="125" t="str">
        <f t="shared" si="374"/>
        <v>-</v>
      </c>
      <c r="U393" s="127" t="str">
        <f t="shared" si="355"/>
        <v>-</v>
      </c>
      <c r="V393" s="128"/>
      <c r="W393" s="223" t="s">
        <v>78</v>
      </c>
      <c r="X393" s="129" t="str">
        <f t="shared" si="356"/>
        <v>-</v>
      </c>
      <c r="Y393" s="124" t="str">
        <f t="shared" si="359"/>
        <v>-</v>
      </c>
      <c r="Z393" s="130" t="str">
        <f t="shared" si="360"/>
        <v>-</v>
      </c>
      <c r="AA393" s="221" t="s">
        <v>78</v>
      </c>
      <c r="AB393" s="225" t="s">
        <v>78</v>
      </c>
      <c r="AC393" s="225" t="s">
        <v>78</v>
      </c>
      <c r="AD393" s="225" t="s">
        <v>78</v>
      </c>
      <c r="AE393" s="225" t="s">
        <v>78</v>
      </c>
      <c r="AF393" s="125" t="str">
        <f t="shared" si="341"/>
        <v>-</v>
      </c>
      <c r="AG393" s="127" t="str">
        <f t="shared" si="357"/>
        <v>-</v>
      </c>
      <c r="AH393" s="128"/>
      <c r="AI393" s="223" t="s">
        <v>78</v>
      </c>
      <c r="AJ393" s="131" t="str">
        <f t="shared" si="358"/>
        <v>-</v>
      </c>
      <c r="AK393" s="368" t="str">
        <f t="shared" si="379"/>
        <v>-</v>
      </c>
      <c r="AL393" s="375" t="str">
        <f t="shared" si="361"/>
        <v>-</v>
      </c>
      <c r="AM393" s="376" t="str">
        <f t="shared" si="362"/>
        <v>-</v>
      </c>
      <c r="AN393" s="394" t="s">
        <v>78</v>
      </c>
      <c r="AO393" s="395" t="s">
        <v>78</v>
      </c>
      <c r="AP393" s="396" t="str">
        <f t="shared" si="335"/>
        <v>-</v>
      </c>
      <c r="AQ393" s="397"/>
      <c r="AR393" s="401" t="s">
        <v>78</v>
      </c>
      <c r="AS393" s="396" t="str">
        <f t="shared" si="336"/>
        <v>-</v>
      </c>
      <c r="AT393" s="397"/>
      <c r="AU393" s="388" t="str">
        <f t="shared" si="363"/>
        <v>-</v>
      </c>
      <c r="AV393" s="389" t="str">
        <f t="shared" si="364"/>
        <v>-</v>
      </c>
      <c r="AW393" s="353" t="s">
        <v>78</v>
      </c>
      <c r="AX393" s="403"/>
      <c r="AY393" s="404"/>
    </row>
    <row r="394" spans="1:51" ht="15" customHeight="1">
      <c r="A394" s="1" t="str">
        <f t="shared" si="334"/>
        <v>0_2022_</v>
      </c>
      <c r="B394" s="1" t="str">
        <f t="shared" si="339"/>
        <v>0_2022_NEO2</v>
      </c>
      <c r="C394" s="114">
        <f t="shared" si="377"/>
        <v>0</v>
      </c>
      <c r="D394" s="133" t="str">
        <f>_xll.ciqfunctions.udf.CIQ(C394,"IQ_Company_Name")</f>
        <v>(Invalid Identifier)</v>
      </c>
      <c r="E394" s="114">
        <f t="shared" si="367"/>
        <v>2022</v>
      </c>
      <c r="F394" s="114" t="str">
        <f t="shared" si="369"/>
        <v>2022-01-01</v>
      </c>
      <c r="G394" s="330" t="str">
        <f t="shared" si="370"/>
        <v>2022-12-31</v>
      </c>
      <c r="H394" s="114">
        <f t="shared" si="371"/>
        <v>12</v>
      </c>
      <c r="I394" s="407" t="str">
        <f t="shared" si="352"/>
        <v>CAD</v>
      </c>
      <c r="J394" s="461">
        <f t="shared" si="340"/>
        <v>1</v>
      </c>
      <c r="K394" s="468"/>
      <c r="L394" s="465" t="str">
        <f t="shared" si="380"/>
        <v>NEO2</v>
      </c>
      <c r="M394" s="123" t="str">
        <f t="shared" si="380"/>
        <v>-</v>
      </c>
      <c r="N394" s="132" t="str">
        <f t="shared" si="380"/>
        <v>-</v>
      </c>
      <c r="O394" s="219" t="s">
        <v>78</v>
      </c>
      <c r="P394" s="125" t="str">
        <f t="shared" si="372"/>
        <v>-</v>
      </c>
      <c r="Q394" s="311" t="s">
        <v>78</v>
      </c>
      <c r="R394" s="126" t="str">
        <f t="shared" si="373"/>
        <v>-</v>
      </c>
      <c r="S394" s="221" t="s">
        <v>78</v>
      </c>
      <c r="T394" s="125" t="str">
        <f t="shared" si="374"/>
        <v>-</v>
      </c>
      <c r="U394" s="127" t="str">
        <f t="shared" si="355"/>
        <v>-</v>
      </c>
      <c r="V394" s="128"/>
      <c r="W394" s="223" t="s">
        <v>78</v>
      </c>
      <c r="X394" s="129" t="str">
        <f t="shared" si="356"/>
        <v>-</v>
      </c>
      <c r="Y394" s="124" t="str">
        <f t="shared" si="359"/>
        <v>-</v>
      </c>
      <c r="Z394" s="130" t="str">
        <f t="shared" si="360"/>
        <v>-</v>
      </c>
      <c r="AA394" s="221" t="s">
        <v>78</v>
      </c>
      <c r="AB394" s="225" t="s">
        <v>78</v>
      </c>
      <c r="AC394" s="225" t="s">
        <v>78</v>
      </c>
      <c r="AD394" s="225" t="s">
        <v>78</v>
      </c>
      <c r="AE394" s="225" t="s">
        <v>78</v>
      </c>
      <c r="AF394" s="125" t="str">
        <f t="shared" si="341"/>
        <v>-</v>
      </c>
      <c r="AG394" s="127" t="str">
        <f t="shared" si="357"/>
        <v>-</v>
      </c>
      <c r="AH394" s="128"/>
      <c r="AI394" s="223" t="s">
        <v>78</v>
      </c>
      <c r="AJ394" s="131" t="str">
        <f t="shared" si="358"/>
        <v>-</v>
      </c>
      <c r="AK394" s="368" t="str">
        <f t="shared" si="379"/>
        <v>-</v>
      </c>
      <c r="AL394" s="375" t="str">
        <f t="shared" si="361"/>
        <v>-</v>
      </c>
      <c r="AM394" s="376" t="str">
        <f t="shared" si="362"/>
        <v>-</v>
      </c>
      <c r="AN394" s="394" t="s">
        <v>78</v>
      </c>
      <c r="AO394" s="395" t="s">
        <v>78</v>
      </c>
      <c r="AP394" s="396" t="str">
        <f t="shared" si="335"/>
        <v>-</v>
      </c>
      <c r="AQ394" s="397"/>
      <c r="AR394" s="401" t="s">
        <v>78</v>
      </c>
      <c r="AS394" s="396" t="str">
        <f t="shared" si="336"/>
        <v>-</v>
      </c>
      <c r="AT394" s="397"/>
      <c r="AU394" s="388" t="str">
        <f t="shared" si="363"/>
        <v>-</v>
      </c>
      <c r="AV394" s="389" t="str">
        <f t="shared" si="364"/>
        <v>-</v>
      </c>
      <c r="AW394" s="353" t="s">
        <v>78</v>
      </c>
      <c r="AX394" s="403"/>
      <c r="AY394" s="404"/>
    </row>
    <row r="395" spans="1:51" ht="15" customHeight="1">
      <c r="A395" s="1" t="str">
        <f t="shared" si="334"/>
        <v>0_2024_</v>
      </c>
      <c r="B395" s="1" t="str">
        <f t="shared" si="339"/>
        <v>0_2024_NEO3</v>
      </c>
      <c r="C395" s="114">
        <f t="shared" si="377"/>
        <v>0</v>
      </c>
      <c r="D395" s="133" t="str">
        <f>_xll.ciqfunctions.udf.CIQ(C395,"IQ_Company_Name")</f>
        <v>(Invalid Identifier)</v>
      </c>
      <c r="E395" s="114">
        <f t="shared" si="367"/>
        <v>2024</v>
      </c>
      <c r="F395" s="114" t="str">
        <f t="shared" si="369"/>
        <v>2024-01-01</v>
      </c>
      <c r="G395" s="330" t="str">
        <f t="shared" si="370"/>
        <v>2024-12-31</v>
      </c>
      <c r="H395" s="114">
        <f t="shared" si="371"/>
        <v>12</v>
      </c>
      <c r="I395" s="407" t="str">
        <f t="shared" si="352"/>
        <v>CAD</v>
      </c>
      <c r="J395" s="461">
        <f t="shared" si="340"/>
        <v>1</v>
      </c>
      <c r="K395" s="468"/>
      <c r="L395" s="464" t="s">
        <v>109</v>
      </c>
      <c r="M395" s="217" t="s">
        <v>78</v>
      </c>
      <c r="N395" s="218" t="s">
        <v>78</v>
      </c>
      <c r="O395" s="219" t="s">
        <v>78</v>
      </c>
      <c r="P395" s="125" t="str">
        <f t="shared" si="372"/>
        <v>-</v>
      </c>
      <c r="Q395" s="311" t="s">
        <v>78</v>
      </c>
      <c r="R395" s="126" t="str">
        <f t="shared" si="373"/>
        <v>-</v>
      </c>
      <c r="S395" s="221" t="s">
        <v>78</v>
      </c>
      <c r="T395" s="125" t="str">
        <f t="shared" si="374"/>
        <v>-</v>
      </c>
      <c r="U395" s="127" t="str">
        <f t="shared" si="355"/>
        <v>-</v>
      </c>
      <c r="V395" s="128" t="str">
        <f>IFERROR(AVERAGE(U395:U397),"N/A")</f>
        <v>N/A</v>
      </c>
      <c r="W395" s="223" t="s">
        <v>78</v>
      </c>
      <c r="X395" s="129" t="str">
        <f t="shared" si="356"/>
        <v>-</v>
      </c>
      <c r="Y395" s="124" t="str">
        <f t="shared" si="359"/>
        <v>-</v>
      </c>
      <c r="Z395" s="130" t="str">
        <f t="shared" si="360"/>
        <v>-</v>
      </c>
      <c r="AA395" s="221" t="s">
        <v>78</v>
      </c>
      <c r="AB395" s="225" t="s">
        <v>78</v>
      </c>
      <c r="AC395" s="225" t="s">
        <v>78</v>
      </c>
      <c r="AD395" s="225" t="s">
        <v>78</v>
      </c>
      <c r="AE395" s="225" t="s">
        <v>78</v>
      </c>
      <c r="AF395" s="125" t="str">
        <f t="shared" si="341"/>
        <v>-</v>
      </c>
      <c r="AG395" s="127" t="str">
        <f t="shared" si="357"/>
        <v>-</v>
      </c>
      <c r="AH395" s="128" t="str">
        <f>IFERROR(AVERAGE(AG395:AG397),"N/A")</f>
        <v>N/A</v>
      </c>
      <c r="AI395" s="223" t="s">
        <v>78</v>
      </c>
      <c r="AJ395" s="131" t="str">
        <f t="shared" si="358"/>
        <v>-</v>
      </c>
      <c r="AK395" s="368" t="str">
        <f t="shared" si="379"/>
        <v>-</v>
      </c>
      <c r="AL395" s="375" t="str">
        <f t="shared" si="361"/>
        <v>-</v>
      </c>
      <c r="AM395" s="376" t="str">
        <f t="shared" si="362"/>
        <v>-</v>
      </c>
      <c r="AN395" s="394" t="s">
        <v>78</v>
      </c>
      <c r="AO395" s="395" t="s">
        <v>78</v>
      </c>
      <c r="AP395" s="396" t="str">
        <f t="shared" si="335"/>
        <v>-</v>
      </c>
      <c r="AQ395" s="397" t="str">
        <f>IFERROR(AVERAGE(AP395:AP397),"N/A")</f>
        <v>N/A</v>
      </c>
      <c r="AR395" s="401" t="s">
        <v>78</v>
      </c>
      <c r="AS395" s="396" t="str">
        <f t="shared" si="336"/>
        <v>-</v>
      </c>
      <c r="AT395" s="397" t="str">
        <f>IFERROR(AVERAGE(AS395:AS397),"N/A")</f>
        <v>N/A</v>
      </c>
      <c r="AU395" s="388" t="str">
        <f t="shared" si="363"/>
        <v>-</v>
      </c>
      <c r="AV395" s="389" t="str">
        <f t="shared" si="364"/>
        <v>-</v>
      </c>
      <c r="AW395" s="353" t="s">
        <v>78</v>
      </c>
      <c r="AX395" s="403"/>
      <c r="AY395" s="404"/>
    </row>
    <row r="396" spans="1:51" ht="15" customHeight="1">
      <c r="A396" s="1" t="str">
        <f t="shared" si="334"/>
        <v>0_2023_</v>
      </c>
      <c r="B396" s="1" t="str">
        <f t="shared" si="339"/>
        <v>0_2023_NEO3</v>
      </c>
      <c r="C396" s="114">
        <f t="shared" si="377"/>
        <v>0</v>
      </c>
      <c r="D396" s="133" t="str">
        <f>_xll.ciqfunctions.udf.CIQ(C396,"IQ_Company_Name")</f>
        <v>(Invalid Identifier)</v>
      </c>
      <c r="E396" s="114">
        <f t="shared" si="367"/>
        <v>2023</v>
      </c>
      <c r="F396" s="114" t="str">
        <f t="shared" si="369"/>
        <v>2023-01-01</v>
      </c>
      <c r="G396" s="330" t="str">
        <f t="shared" si="370"/>
        <v>2023-12-31</v>
      </c>
      <c r="H396" s="114">
        <f t="shared" si="371"/>
        <v>12</v>
      </c>
      <c r="I396" s="407" t="str">
        <f t="shared" si="352"/>
        <v>CAD</v>
      </c>
      <c r="J396" s="461">
        <f t="shared" si="340"/>
        <v>1</v>
      </c>
      <c r="K396" s="468"/>
      <c r="L396" s="465" t="str">
        <f t="shared" ref="L396:N397" si="381">L395</f>
        <v>NEO3</v>
      </c>
      <c r="M396" s="123" t="str">
        <f t="shared" si="381"/>
        <v>-</v>
      </c>
      <c r="N396" s="132" t="str">
        <f t="shared" si="381"/>
        <v>-</v>
      </c>
      <c r="O396" s="219" t="s">
        <v>78</v>
      </c>
      <c r="P396" s="125" t="str">
        <f t="shared" si="372"/>
        <v>-</v>
      </c>
      <c r="Q396" s="311" t="s">
        <v>78</v>
      </c>
      <c r="R396" s="126" t="str">
        <f t="shared" si="373"/>
        <v>-</v>
      </c>
      <c r="S396" s="221" t="s">
        <v>78</v>
      </c>
      <c r="T396" s="125" t="str">
        <f t="shared" si="374"/>
        <v>-</v>
      </c>
      <c r="U396" s="127" t="str">
        <f t="shared" si="355"/>
        <v>-</v>
      </c>
      <c r="V396" s="128"/>
      <c r="W396" s="223" t="s">
        <v>78</v>
      </c>
      <c r="X396" s="129" t="str">
        <f t="shared" si="356"/>
        <v>-</v>
      </c>
      <c r="Y396" s="124" t="str">
        <f t="shared" si="359"/>
        <v>-</v>
      </c>
      <c r="Z396" s="130" t="str">
        <f t="shared" si="360"/>
        <v>-</v>
      </c>
      <c r="AA396" s="221" t="s">
        <v>78</v>
      </c>
      <c r="AB396" s="225" t="s">
        <v>78</v>
      </c>
      <c r="AC396" s="225" t="s">
        <v>78</v>
      </c>
      <c r="AD396" s="225" t="s">
        <v>78</v>
      </c>
      <c r="AE396" s="225" t="s">
        <v>78</v>
      </c>
      <c r="AF396" s="125" t="str">
        <f t="shared" si="341"/>
        <v>-</v>
      </c>
      <c r="AG396" s="127" t="str">
        <f t="shared" si="357"/>
        <v>-</v>
      </c>
      <c r="AH396" s="128"/>
      <c r="AI396" s="223" t="s">
        <v>78</v>
      </c>
      <c r="AJ396" s="131" t="str">
        <f t="shared" si="358"/>
        <v>-</v>
      </c>
      <c r="AK396" s="368" t="str">
        <f t="shared" si="379"/>
        <v>-</v>
      </c>
      <c r="AL396" s="375" t="str">
        <f t="shared" si="361"/>
        <v>-</v>
      </c>
      <c r="AM396" s="376" t="str">
        <f t="shared" si="362"/>
        <v>-</v>
      </c>
      <c r="AN396" s="394" t="s">
        <v>78</v>
      </c>
      <c r="AO396" s="395" t="s">
        <v>78</v>
      </c>
      <c r="AP396" s="396" t="str">
        <f t="shared" si="335"/>
        <v>-</v>
      </c>
      <c r="AQ396" s="397"/>
      <c r="AR396" s="401" t="s">
        <v>78</v>
      </c>
      <c r="AS396" s="396" t="str">
        <f t="shared" si="336"/>
        <v>-</v>
      </c>
      <c r="AT396" s="397"/>
      <c r="AU396" s="388" t="str">
        <f t="shared" si="363"/>
        <v>-</v>
      </c>
      <c r="AV396" s="389" t="str">
        <f t="shared" si="364"/>
        <v>-</v>
      </c>
      <c r="AW396" s="353" t="s">
        <v>78</v>
      </c>
      <c r="AX396" s="403"/>
      <c r="AY396" s="404"/>
    </row>
    <row r="397" spans="1:51" ht="15" customHeight="1">
      <c r="A397" s="1" t="str">
        <f t="shared" si="334"/>
        <v>0_2022_</v>
      </c>
      <c r="B397" s="1" t="str">
        <f t="shared" si="339"/>
        <v>0_2022_NEO3</v>
      </c>
      <c r="C397" s="203">
        <f t="shared" si="377"/>
        <v>0</v>
      </c>
      <c r="D397" s="205" t="str">
        <f>_xll.ciqfunctions.udf.CIQ(C397,"IQ_Company_Name")</f>
        <v>(Invalid Identifier)</v>
      </c>
      <c r="E397" s="204">
        <f t="shared" si="367"/>
        <v>2022</v>
      </c>
      <c r="F397" s="204" t="str">
        <f t="shared" si="369"/>
        <v>2022-01-01</v>
      </c>
      <c r="G397" s="331" t="str">
        <f t="shared" si="370"/>
        <v>2022-12-31</v>
      </c>
      <c r="H397" s="204">
        <f t="shared" si="371"/>
        <v>12</v>
      </c>
      <c r="I397" s="408" t="str">
        <f t="shared" si="352"/>
        <v>CAD</v>
      </c>
      <c r="J397" s="463">
        <f t="shared" si="340"/>
        <v>1</v>
      </c>
      <c r="K397" s="470"/>
      <c r="L397" s="466" t="str">
        <f t="shared" si="381"/>
        <v>NEO3</v>
      </c>
      <c r="M397" s="206" t="str">
        <f t="shared" si="381"/>
        <v>-</v>
      </c>
      <c r="N397" s="207" t="str">
        <f t="shared" si="381"/>
        <v>-</v>
      </c>
      <c r="O397" s="220" t="s">
        <v>78</v>
      </c>
      <c r="P397" s="209" t="str">
        <f t="shared" si="372"/>
        <v>-</v>
      </c>
      <c r="Q397" s="312" t="s">
        <v>78</v>
      </c>
      <c r="R397" s="329" t="str">
        <f t="shared" si="373"/>
        <v>-</v>
      </c>
      <c r="S397" s="222" t="s">
        <v>78</v>
      </c>
      <c r="T397" s="209" t="str">
        <f t="shared" si="374"/>
        <v>-</v>
      </c>
      <c r="U397" s="211" t="str">
        <f t="shared" si="355"/>
        <v>-</v>
      </c>
      <c r="V397" s="212"/>
      <c r="W397" s="224" t="s">
        <v>78</v>
      </c>
      <c r="X397" s="213" t="str">
        <f t="shared" si="356"/>
        <v>-</v>
      </c>
      <c r="Y397" s="208" t="str">
        <f t="shared" si="359"/>
        <v>-</v>
      </c>
      <c r="Z397" s="214" t="str">
        <f t="shared" si="360"/>
        <v>-</v>
      </c>
      <c r="AA397" s="222" t="s">
        <v>78</v>
      </c>
      <c r="AB397" s="226" t="s">
        <v>78</v>
      </c>
      <c r="AC397" s="226" t="s">
        <v>78</v>
      </c>
      <c r="AD397" s="226" t="s">
        <v>78</v>
      </c>
      <c r="AE397" s="226" t="s">
        <v>78</v>
      </c>
      <c r="AF397" s="420" t="str">
        <f t="shared" si="341"/>
        <v>-</v>
      </c>
      <c r="AG397" s="211" t="str">
        <f t="shared" si="357"/>
        <v>-</v>
      </c>
      <c r="AH397" s="212"/>
      <c r="AI397" s="224" t="s">
        <v>78</v>
      </c>
      <c r="AJ397" s="215" t="str">
        <f t="shared" si="358"/>
        <v>-</v>
      </c>
      <c r="AK397" s="369" t="str">
        <f t="shared" si="379"/>
        <v>-</v>
      </c>
      <c r="AL397" s="377" t="str">
        <f t="shared" si="361"/>
        <v>-</v>
      </c>
      <c r="AM397" s="378" t="str">
        <f t="shared" si="362"/>
        <v>-</v>
      </c>
      <c r="AN397" s="398" t="s">
        <v>78</v>
      </c>
      <c r="AO397" s="399" t="s">
        <v>78</v>
      </c>
      <c r="AP397" s="396" t="str">
        <f t="shared" si="335"/>
        <v>-</v>
      </c>
      <c r="AQ397" s="400"/>
      <c r="AR397" s="402" t="s">
        <v>78</v>
      </c>
      <c r="AS397" s="396" t="str">
        <f t="shared" si="336"/>
        <v>-</v>
      </c>
      <c r="AT397" s="400"/>
      <c r="AU397" s="390" t="str">
        <f t="shared" si="363"/>
        <v>-</v>
      </c>
      <c r="AV397" s="391" t="str">
        <f t="shared" si="364"/>
        <v>-</v>
      </c>
      <c r="AW397" s="354" t="s">
        <v>78</v>
      </c>
      <c r="AX397" s="405"/>
      <c r="AY397" s="406"/>
    </row>
    <row r="398" spans="1:51" ht="15" customHeight="1">
      <c r="A398" s="1" t="str">
        <f t="shared" si="334"/>
        <v>0_2024_</v>
      </c>
      <c r="B398" s="1" t="str">
        <f t="shared" si="339"/>
        <v>0_2024_CEO</v>
      </c>
      <c r="C398" s="216">
        <f>D27</f>
        <v>0</v>
      </c>
      <c r="D398" s="133" t="str">
        <f>_xll.ciqfunctions.udf.CIQ(C398,"IQ_Company_Name")</f>
        <v>(Invalid Identifier)</v>
      </c>
      <c r="E398" s="328">
        <f>$F$9</f>
        <v>2024</v>
      </c>
      <c r="F398" s="330" t="str">
        <f t="shared" ref="F398:F412" si="382">E398&amp;"-01-01"</f>
        <v>2024-01-01</v>
      </c>
      <c r="G398" s="330" t="str">
        <f t="shared" ref="G398:G412" si="383">E398&amp;"-12-31"</f>
        <v>2024-12-31</v>
      </c>
      <c r="H398" s="114">
        <f t="shared" ref="H398:H412" si="384">_xlfn.DAYS(G398,F398)/_xlfn.DAYS(E398&amp;"-12-31",E398&amp;"-01-01")*12</f>
        <v>12</v>
      </c>
      <c r="I398" s="328" t="str">
        <f>$G$5</f>
        <v>CAD</v>
      </c>
      <c r="J398" s="461">
        <f t="shared" si="340"/>
        <v>1</v>
      </c>
      <c r="K398" s="468"/>
      <c r="L398" s="464" t="s">
        <v>79</v>
      </c>
      <c r="M398" s="217" t="s">
        <v>78</v>
      </c>
      <c r="N398" s="218" t="s">
        <v>78</v>
      </c>
      <c r="O398" s="219" t="s">
        <v>78</v>
      </c>
      <c r="P398" s="125" t="str">
        <f t="shared" ref="P398:P412" si="385">IFERROR(O398*(12/$H398)*$J398,"-")</f>
        <v>-</v>
      </c>
      <c r="Q398" s="311" t="s">
        <v>78</v>
      </c>
      <c r="R398" s="126" t="str">
        <f t="shared" ref="R398:R412" si="386">IFERROR(IF((Q398*$J398)=0,"-",(Q398*$J398)),"-")</f>
        <v>-</v>
      </c>
      <c r="S398" s="221" t="s">
        <v>78</v>
      </c>
      <c r="T398" s="125" t="str">
        <f t="shared" ref="T398:T412" si="387">IFERROR(S398*(12/$H398)*$J398,"-")</f>
        <v>-</v>
      </c>
      <c r="U398" s="127" t="str">
        <f t="shared" si="355"/>
        <v>-</v>
      </c>
      <c r="V398" s="128" t="str">
        <f>IFERROR(AVERAGE(U398:U400),"N/A")</f>
        <v>N/A</v>
      </c>
      <c r="W398" s="223" t="s">
        <v>78</v>
      </c>
      <c r="X398" s="129" t="str">
        <f t="shared" si="356"/>
        <v>-</v>
      </c>
      <c r="Y398" s="124" t="str">
        <f t="shared" si="359"/>
        <v>-</v>
      </c>
      <c r="Z398" s="130" t="str">
        <f t="shared" si="360"/>
        <v>-</v>
      </c>
      <c r="AA398" s="221" t="s">
        <v>78</v>
      </c>
      <c r="AB398" s="225" t="s">
        <v>78</v>
      </c>
      <c r="AC398" s="225" t="s">
        <v>78</v>
      </c>
      <c r="AD398" s="225" t="s">
        <v>78</v>
      </c>
      <c r="AE398" s="225" t="s">
        <v>78</v>
      </c>
      <c r="AF398" s="125" t="str">
        <f t="shared" si="341"/>
        <v>-</v>
      </c>
      <c r="AG398" s="127" t="str">
        <f t="shared" si="357"/>
        <v>-</v>
      </c>
      <c r="AH398" s="128" t="str">
        <f>IFERROR(AVERAGE(AG398:AG400),"N/A")</f>
        <v>N/A</v>
      </c>
      <c r="AI398" s="223" t="s">
        <v>78</v>
      </c>
      <c r="AJ398" s="131" t="str">
        <f t="shared" si="358"/>
        <v>-</v>
      </c>
      <c r="AK398" s="368" t="str">
        <f t="shared" si="379"/>
        <v>-</v>
      </c>
      <c r="AL398" s="375" t="str">
        <f t="shared" si="361"/>
        <v>-</v>
      </c>
      <c r="AM398" s="376" t="str">
        <f t="shared" si="362"/>
        <v>-</v>
      </c>
      <c r="AN398" s="394" t="s">
        <v>78</v>
      </c>
      <c r="AO398" s="395" t="s">
        <v>78</v>
      </c>
      <c r="AP398" s="396" t="str">
        <f t="shared" si="335"/>
        <v>-</v>
      </c>
      <c r="AQ398" s="409" t="str">
        <f>IFERROR(AVERAGE(AP398:AP400),"N/A")</f>
        <v>N/A</v>
      </c>
      <c r="AR398" s="401" t="s">
        <v>78</v>
      </c>
      <c r="AS398" s="396" t="str">
        <f t="shared" si="336"/>
        <v>-</v>
      </c>
      <c r="AT398" s="409" t="str">
        <f>IFERROR(AVERAGE(AS398:AS400),"N/A")</f>
        <v>N/A</v>
      </c>
      <c r="AU398" s="388" t="str">
        <f t="shared" si="363"/>
        <v>-</v>
      </c>
      <c r="AV398" s="389" t="str">
        <f t="shared" si="364"/>
        <v>-</v>
      </c>
      <c r="AW398" s="353" t="s">
        <v>78</v>
      </c>
      <c r="AX398" s="403"/>
      <c r="AY398" s="404"/>
    </row>
    <row r="399" spans="1:51" ht="15" customHeight="1">
      <c r="A399" s="1" t="str">
        <f t="shared" si="334"/>
        <v>0_2023_</v>
      </c>
      <c r="B399" s="1" t="str">
        <f t="shared" si="339"/>
        <v>0_2023_CEO</v>
      </c>
      <c r="C399" s="114">
        <f>C398</f>
        <v>0</v>
      </c>
      <c r="D399" s="133" t="str">
        <f>_xll.ciqfunctions.udf.CIQ(C399,"IQ_Company_Name")</f>
        <v>(Invalid Identifier)</v>
      </c>
      <c r="E399" s="328">
        <f>$F$10</f>
        <v>2023</v>
      </c>
      <c r="F399" s="330" t="str">
        <f t="shared" si="382"/>
        <v>2023-01-01</v>
      </c>
      <c r="G399" s="330" t="str">
        <f t="shared" si="383"/>
        <v>2023-12-31</v>
      </c>
      <c r="H399" s="114">
        <f t="shared" si="384"/>
        <v>12</v>
      </c>
      <c r="I399" s="407" t="str">
        <f>I398</f>
        <v>CAD</v>
      </c>
      <c r="J399" s="461">
        <f t="shared" si="340"/>
        <v>1</v>
      </c>
      <c r="K399" s="468"/>
      <c r="L399" s="465" t="str">
        <f t="shared" ref="L399:N400" si="388">L398</f>
        <v>CEO</v>
      </c>
      <c r="M399" s="123" t="str">
        <f t="shared" si="388"/>
        <v>-</v>
      </c>
      <c r="N399" s="132" t="str">
        <f t="shared" si="388"/>
        <v>-</v>
      </c>
      <c r="O399" s="219" t="s">
        <v>78</v>
      </c>
      <c r="P399" s="125" t="str">
        <f t="shared" si="385"/>
        <v>-</v>
      </c>
      <c r="Q399" s="311" t="s">
        <v>78</v>
      </c>
      <c r="R399" s="126" t="str">
        <f t="shared" si="386"/>
        <v>-</v>
      </c>
      <c r="S399" s="221" t="s">
        <v>78</v>
      </c>
      <c r="T399" s="125" t="str">
        <f t="shared" si="387"/>
        <v>-</v>
      </c>
      <c r="U399" s="127" t="str">
        <f t="shared" si="355"/>
        <v>-</v>
      </c>
      <c r="V399" s="128"/>
      <c r="W399" s="223" t="s">
        <v>78</v>
      </c>
      <c r="X399" s="129" t="str">
        <f t="shared" si="356"/>
        <v>-</v>
      </c>
      <c r="Y399" s="124" t="str">
        <f t="shared" si="359"/>
        <v>-</v>
      </c>
      <c r="Z399" s="130" t="str">
        <f t="shared" si="360"/>
        <v>-</v>
      </c>
      <c r="AA399" s="221" t="s">
        <v>78</v>
      </c>
      <c r="AB399" s="225" t="s">
        <v>78</v>
      </c>
      <c r="AC399" s="225" t="s">
        <v>78</v>
      </c>
      <c r="AD399" s="225" t="s">
        <v>78</v>
      </c>
      <c r="AE399" s="225" t="s">
        <v>78</v>
      </c>
      <c r="AF399" s="125" t="str">
        <f t="shared" si="341"/>
        <v>-</v>
      </c>
      <c r="AG399" s="127" t="str">
        <f t="shared" si="357"/>
        <v>-</v>
      </c>
      <c r="AH399" s="128"/>
      <c r="AI399" s="223" t="s">
        <v>78</v>
      </c>
      <c r="AJ399" s="131" t="str">
        <f t="shared" si="358"/>
        <v>-</v>
      </c>
      <c r="AK399" s="368" t="str">
        <f t="shared" si="379"/>
        <v>-</v>
      </c>
      <c r="AL399" s="375" t="str">
        <f t="shared" si="361"/>
        <v>-</v>
      </c>
      <c r="AM399" s="376" t="str">
        <f t="shared" si="362"/>
        <v>-</v>
      </c>
      <c r="AN399" s="394" t="s">
        <v>78</v>
      </c>
      <c r="AO399" s="395" t="s">
        <v>78</v>
      </c>
      <c r="AP399" s="396" t="str">
        <f t="shared" si="335"/>
        <v>-</v>
      </c>
      <c r="AQ399" s="397"/>
      <c r="AR399" s="401" t="s">
        <v>78</v>
      </c>
      <c r="AS399" s="396" t="str">
        <f t="shared" si="336"/>
        <v>-</v>
      </c>
      <c r="AT399" s="397"/>
      <c r="AU399" s="388" t="str">
        <f t="shared" si="363"/>
        <v>-</v>
      </c>
      <c r="AV399" s="389" t="str">
        <f t="shared" si="364"/>
        <v>-</v>
      </c>
      <c r="AW399" s="353" t="s">
        <v>78</v>
      </c>
      <c r="AX399" s="403"/>
      <c r="AY399" s="404"/>
    </row>
    <row r="400" spans="1:51" ht="15" customHeight="1">
      <c r="A400" s="1" t="str">
        <f t="shared" si="334"/>
        <v>0_2022_</v>
      </c>
      <c r="B400" s="1" t="str">
        <f t="shared" si="339"/>
        <v>0_2022_CEO</v>
      </c>
      <c r="C400" s="114">
        <f t="shared" si="377"/>
        <v>0</v>
      </c>
      <c r="D400" s="133" t="str">
        <f>_xll.ciqfunctions.udf.CIQ(C400,"IQ_Company_Name")</f>
        <v>(Invalid Identifier)</v>
      </c>
      <c r="E400" s="328">
        <f>$F$11</f>
        <v>2022</v>
      </c>
      <c r="F400" s="114" t="str">
        <f t="shared" si="382"/>
        <v>2022-01-01</v>
      </c>
      <c r="G400" s="330" t="str">
        <f t="shared" si="383"/>
        <v>2022-12-31</v>
      </c>
      <c r="H400" s="114">
        <f t="shared" si="384"/>
        <v>12</v>
      </c>
      <c r="I400" s="407" t="str">
        <f>I399</f>
        <v>CAD</v>
      </c>
      <c r="J400" s="461">
        <f t="shared" si="340"/>
        <v>1</v>
      </c>
      <c r="K400" s="468"/>
      <c r="L400" s="465" t="str">
        <f t="shared" si="388"/>
        <v>CEO</v>
      </c>
      <c r="M400" s="123" t="str">
        <f t="shared" si="388"/>
        <v>-</v>
      </c>
      <c r="N400" s="132" t="str">
        <f t="shared" si="388"/>
        <v>-</v>
      </c>
      <c r="O400" s="219" t="s">
        <v>78</v>
      </c>
      <c r="P400" s="125" t="str">
        <f t="shared" si="385"/>
        <v>-</v>
      </c>
      <c r="Q400" s="311" t="s">
        <v>78</v>
      </c>
      <c r="R400" s="126" t="str">
        <f t="shared" si="386"/>
        <v>-</v>
      </c>
      <c r="S400" s="221" t="s">
        <v>78</v>
      </c>
      <c r="T400" s="125" t="str">
        <f t="shared" si="387"/>
        <v>-</v>
      </c>
      <c r="U400" s="127" t="str">
        <f t="shared" si="355"/>
        <v>-</v>
      </c>
      <c r="V400" s="128"/>
      <c r="W400" s="223" t="s">
        <v>78</v>
      </c>
      <c r="X400" s="129" t="str">
        <f t="shared" si="356"/>
        <v>-</v>
      </c>
      <c r="Y400" s="124" t="str">
        <f t="shared" si="359"/>
        <v>-</v>
      </c>
      <c r="Z400" s="130" t="str">
        <f t="shared" si="360"/>
        <v>-</v>
      </c>
      <c r="AA400" s="221" t="s">
        <v>78</v>
      </c>
      <c r="AB400" s="225" t="s">
        <v>78</v>
      </c>
      <c r="AC400" s="225" t="s">
        <v>78</v>
      </c>
      <c r="AD400" s="225" t="s">
        <v>78</v>
      </c>
      <c r="AE400" s="225" t="s">
        <v>78</v>
      </c>
      <c r="AF400" s="125" t="str">
        <f t="shared" si="341"/>
        <v>-</v>
      </c>
      <c r="AG400" s="127" t="str">
        <f t="shared" si="357"/>
        <v>-</v>
      </c>
      <c r="AH400" s="128"/>
      <c r="AI400" s="223" t="s">
        <v>78</v>
      </c>
      <c r="AJ400" s="131" t="str">
        <f t="shared" si="358"/>
        <v>-</v>
      </c>
      <c r="AK400" s="368" t="str">
        <f t="shared" si="379"/>
        <v>-</v>
      </c>
      <c r="AL400" s="375" t="str">
        <f t="shared" si="361"/>
        <v>-</v>
      </c>
      <c r="AM400" s="376" t="str">
        <f t="shared" si="362"/>
        <v>-</v>
      </c>
      <c r="AN400" s="394" t="s">
        <v>78</v>
      </c>
      <c r="AO400" s="395" t="s">
        <v>78</v>
      </c>
      <c r="AP400" s="396" t="str">
        <f t="shared" si="335"/>
        <v>-</v>
      </c>
      <c r="AQ400" s="397"/>
      <c r="AR400" s="401" t="s">
        <v>78</v>
      </c>
      <c r="AS400" s="396" t="str">
        <f t="shared" si="336"/>
        <v>-</v>
      </c>
      <c r="AT400" s="397"/>
      <c r="AU400" s="388" t="str">
        <f t="shared" si="363"/>
        <v>-</v>
      </c>
      <c r="AV400" s="389" t="str">
        <f t="shared" si="364"/>
        <v>-</v>
      </c>
      <c r="AW400" s="353" t="s">
        <v>78</v>
      </c>
      <c r="AX400" s="403"/>
      <c r="AY400" s="404"/>
    </row>
    <row r="401" spans="1:51" ht="15" customHeight="1">
      <c r="A401" s="1" t="str">
        <f t="shared" si="334"/>
        <v>0_2024_</v>
      </c>
      <c r="B401" s="1" t="str">
        <f t="shared" si="339"/>
        <v>0_2024_CFO</v>
      </c>
      <c r="C401" s="114">
        <f t="shared" si="377"/>
        <v>0</v>
      </c>
      <c r="D401" s="133" t="str">
        <f>_xll.ciqfunctions.udf.CIQ(C401,"IQ_Company_Name")</f>
        <v>(Invalid Identifier)</v>
      </c>
      <c r="E401" s="114">
        <f t="shared" si="367"/>
        <v>2024</v>
      </c>
      <c r="F401" s="114" t="str">
        <f t="shared" si="382"/>
        <v>2024-01-01</v>
      </c>
      <c r="G401" s="330" t="str">
        <f t="shared" si="383"/>
        <v>2024-12-31</v>
      </c>
      <c r="H401" s="114">
        <f t="shared" si="384"/>
        <v>12</v>
      </c>
      <c r="I401" s="407" t="str">
        <f>I400</f>
        <v>CAD</v>
      </c>
      <c r="J401" s="461">
        <f t="shared" si="340"/>
        <v>1</v>
      </c>
      <c r="K401" s="468"/>
      <c r="L401" s="464" t="s">
        <v>106</v>
      </c>
      <c r="M401" s="217" t="s">
        <v>78</v>
      </c>
      <c r="N401" s="218" t="s">
        <v>78</v>
      </c>
      <c r="O401" s="219" t="s">
        <v>78</v>
      </c>
      <c r="P401" s="125" t="str">
        <f t="shared" si="385"/>
        <v>-</v>
      </c>
      <c r="Q401" s="311" t="s">
        <v>78</v>
      </c>
      <c r="R401" s="126" t="str">
        <f t="shared" si="386"/>
        <v>-</v>
      </c>
      <c r="S401" s="221" t="s">
        <v>78</v>
      </c>
      <c r="T401" s="125" t="str">
        <f t="shared" si="387"/>
        <v>-</v>
      </c>
      <c r="U401" s="127" t="str">
        <f t="shared" si="355"/>
        <v>-</v>
      </c>
      <c r="V401" s="128" t="str">
        <f>IFERROR(AVERAGE(U401:U403),"N/A")</f>
        <v>N/A</v>
      </c>
      <c r="W401" s="223" t="s">
        <v>78</v>
      </c>
      <c r="X401" s="129" t="str">
        <f t="shared" si="356"/>
        <v>-</v>
      </c>
      <c r="Y401" s="124" t="str">
        <f t="shared" si="359"/>
        <v>-</v>
      </c>
      <c r="Z401" s="130" t="str">
        <f t="shared" si="360"/>
        <v>-</v>
      </c>
      <c r="AA401" s="221" t="s">
        <v>78</v>
      </c>
      <c r="AB401" s="225" t="s">
        <v>78</v>
      </c>
      <c r="AC401" s="225" t="s">
        <v>78</v>
      </c>
      <c r="AD401" s="225" t="s">
        <v>78</v>
      </c>
      <c r="AE401" s="225" t="s">
        <v>78</v>
      </c>
      <c r="AF401" s="125" t="str">
        <f t="shared" si="341"/>
        <v>-</v>
      </c>
      <c r="AG401" s="127" t="str">
        <f t="shared" si="357"/>
        <v>-</v>
      </c>
      <c r="AH401" s="128" t="str">
        <f>IFERROR(AVERAGE(AG401:AG403),"N/A")</f>
        <v>N/A</v>
      </c>
      <c r="AI401" s="223" t="s">
        <v>78</v>
      </c>
      <c r="AJ401" s="131" t="str">
        <f t="shared" si="358"/>
        <v>-</v>
      </c>
      <c r="AK401" s="368" t="str">
        <f t="shared" si="379"/>
        <v>-</v>
      </c>
      <c r="AL401" s="375" t="str">
        <f t="shared" si="361"/>
        <v>-</v>
      </c>
      <c r="AM401" s="376" t="str">
        <f t="shared" si="362"/>
        <v>-</v>
      </c>
      <c r="AN401" s="394" t="s">
        <v>78</v>
      </c>
      <c r="AO401" s="395" t="s">
        <v>78</v>
      </c>
      <c r="AP401" s="396" t="str">
        <f t="shared" si="335"/>
        <v>-</v>
      </c>
      <c r="AQ401" s="397" t="str">
        <f>IFERROR(AVERAGE(AP401:AP403),"N/A")</f>
        <v>N/A</v>
      </c>
      <c r="AR401" s="401" t="s">
        <v>78</v>
      </c>
      <c r="AS401" s="396" t="str">
        <f t="shared" si="336"/>
        <v>-</v>
      </c>
      <c r="AT401" s="397" t="str">
        <f>IFERROR(AVERAGE(AS401:AS403),"N/A")</f>
        <v>N/A</v>
      </c>
      <c r="AU401" s="388" t="str">
        <f t="shared" si="363"/>
        <v>-</v>
      </c>
      <c r="AV401" s="389" t="str">
        <f t="shared" si="364"/>
        <v>-</v>
      </c>
      <c r="AW401" s="353" t="s">
        <v>78</v>
      </c>
      <c r="AX401" s="403"/>
      <c r="AY401" s="404"/>
    </row>
    <row r="402" spans="1:51" ht="15" customHeight="1">
      <c r="A402" s="1" t="str">
        <f t="shared" si="334"/>
        <v>0_2023_</v>
      </c>
      <c r="B402" s="1" t="str">
        <f t="shared" si="339"/>
        <v>0_2023_CFO</v>
      </c>
      <c r="C402" s="114">
        <f t="shared" si="377"/>
        <v>0</v>
      </c>
      <c r="D402" s="133" t="str">
        <f>_xll.ciqfunctions.udf.CIQ(C402,"IQ_Company_Name")</f>
        <v>(Invalid Identifier)</v>
      </c>
      <c r="E402" s="114">
        <f t="shared" si="367"/>
        <v>2023</v>
      </c>
      <c r="F402" s="114" t="str">
        <f t="shared" si="382"/>
        <v>2023-01-01</v>
      </c>
      <c r="G402" s="330" t="str">
        <f t="shared" si="383"/>
        <v>2023-12-31</v>
      </c>
      <c r="H402" s="114">
        <f t="shared" si="384"/>
        <v>12</v>
      </c>
      <c r="I402" s="407" t="str">
        <f>I401</f>
        <v>CAD</v>
      </c>
      <c r="J402" s="461">
        <f t="shared" si="340"/>
        <v>1</v>
      </c>
      <c r="K402" s="468"/>
      <c r="L402" s="465" t="str">
        <f t="shared" ref="L402:N403" si="389">L401</f>
        <v>CFO</v>
      </c>
      <c r="M402" s="123" t="str">
        <f t="shared" si="389"/>
        <v>-</v>
      </c>
      <c r="N402" s="132" t="str">
        <f t="shared" si="389"/>
        <v>-</v>
      </c>
      <c r="O402" s="219" t="s">
        <v>78</v>
      </c>
      <c r="P402" s="125" t="str">
        <f t="shared" si="385"/>
        <v>-</v>
      </c>
      <c r="Q402" s="311" t="s">
        <v>78</v>
      </c>
      <c r="R402" s="126" t="str">
        <f t="shared" si="386"/>
        <v>-</v>
      </c>
      <c r="S402" s="221" t="s">
        <v>78</v>
      </c>
      <c r="T402" s="125" t="str">
        <f t="shared" si="387"/>
        <v>-</v>
      </c>
      <c r="U402" s="127" t="str">
        <f t="shared" si="355"/>
        <v>-</v>
      </c>
      <c r="V402" s="128"/>
      <c r="W402" s="223" t="s">
        <v>78</v>
      </c>
      <c r="X402" s="129" t="str">
        <f t="shared" si="356"/>
        <v>-</v>
      </c>
      <c r="Y402" s="124" t="str">
        <f t="shared" si="359"/>
        <v>-</v>
      </c>
      <c r="Z402" s="130" t="str">
        <f t="shared" si="360"/>
        <v>-</v>
      </c>
      <c r="AA402" s="221" t="s">
        <v>78</v>
      </c>
      <c r="AB402" s="225" t="s">
        <v>78</v>
      </c>
      <c r="AC402" s="225" t="s">
        <v>78</v>
      </c>
      <c r="AD402" s="225" t="s">
        <v>78</v>
      </c>
      <c r="AE402" s="225" t="s">
        <v>78</v>
      </c>
      <c r="AF402" s="125" t="str">
        <f t="shared" si="341"/>
        <v>-</v>
      </c>
      <c r="AG402" s="127" t="str">
        <f t="shared" si="357"/>
        <v>-</v>
      </c>
      <c r="AH402" s="128"/>
      <c r="AI402" s="223" t="s">
        <v>78</v>
      </c>
      <c r="AJ402" s="131" t="str">
        <f t="shared" si="358"/>
        <v>-</v>
      </c>
      <c r="AK402" s="368" t="str">
        <f t="shared" si="379"/>
        <v>-</v>
      </c>
      <c r="AL402" s="375" t="str">
        <f t="shared" si="361"/>
        <v>-</v>
      </c>
      <c r="AM402" s="376" t="str">
        <f t="shared" si="362"/>
        <v>-</v>
      </c>
      <c r="AN402" s="394" t="s">
        <v>78</v>
      </c>
      <c r="AO402" s="395" t="s">
        <v>78</v>
      </c>
      <c r="AP402" s="396" t="str">
        <f t="shared" si="335"/>
        <v>-</v>
      </c>
      <c r="AQ402" s="397"/>
      <c r="AR402" s="401" t="s">
        <v>78</v>
      </c>
      <c r="AS402" s="396" t="str">
        <f t="shared" si="336"/>
        <v>-</v>
      </c>
      <c r="AT402" s="397"/>
      <c r="AU402" s="388" t="str">
        <f t="shared" si="363"/>
        <v>-</v>
      </c>
      <c r="AV402" s="389" t="str">
        <f t="shared" si="364"/>
        <v>-</v>
      </c>
      <c r="AW402" s="353" t="s">
        <v>78</v>
      </c>
      <c r="AX402" s="403"/>
      <c r="AY402" s="404"/>
    </row>
    <row r="403" spans="1:51" ht="15" customHeight="1">
      <c r="A403" s="1" t="str">
        <f t="shared" si="334"/>
        <v>0_2022_</v>
      </c>
      <c r="B403" s="1" t="str">
        <f t="shared" si="339"/>
        <v>0_2022_CFO</v>
      </c>
      <c r="C403" s="114">
        <f t="shared" si="377"/>
        <v>0</v>
      </c>
      <c r="D403" s="133" t="str">
        <f>_xll.ciqfunctions.udf.CIQ(C403,"IQ_Company_Name")</f>
        <v>(Invalid Identifier)</v>
      </c>
      <c r="E403" s="114">
        <f t="shared" si="367"/>
        <v>2022</v>
      </c>
      <c r="F403" s="114" t="str">
        <f t="shared" si="382"/>
        <v>2022-01-01</v>
      </c>
      <c r="G403" s="330" t="str">
        <f t="shared" si="383"/>
        <v>2022-12-31</v>
      </c>
      <c r="H403" s="114">
        <f t="shared" si="384"/>
        <v>12</v>
      </c>
      <c r="I403" s="407" t="str">
        <f t="shared" si="352"/>
        <v>CAD</v>
      </c>
      <c r="J403" s="461">
        <f t="shared" si="340"/>
        <v>1</v>
      </c>
      <c r="K403" s="468"/>
      <c r="L403" s="465" t="str">
        <f t="shared" si="389"/>
        <v>CFO</v>
      </c>
      <c r="M403" s="123" t="str">
        <f t="shared" si="389"/>
        <v>-</v>
      </c>
      <c r="N403" s="132" t="str">
        <f t="shared" si="389"/>
        <v>-</v>
      </c>
      <c r="O403" s="219" t="s">
        <v>78</v>
      </c>
      <c r="P403" s="125" t="str">
        <f t="shared" si="385"/>
        <v>-</v>
      </c>
      <c r="Q403" s="311" t="s">
        <v>78</v>
      </c>
      <c r="R403" s="126" t="str">
        <f t="shared" si="386"/>
        <v>-</v>
      </c>
      <c r="S403" s="221" t="s">
        <v>78</v>
      </c>
      <c r="T403" s="125" t="str">
        <f t="shared" si="387"/>
        <v>-</v>
      </c>
      <c r="U403" s="127" t="str">
        <f t="shared" si="355"/>
        <v>-</v>
      </c>
      <c r="V403" s="128"/>
      <c r="W403" s="223" t="s">
        <v>78</v>
      </c>
      <c r="X403" s="129" t="str">
        <f t="shared" si="356"/>
        <v>-</v>
      </c>
      <c r="Y403" s="124" t="str">
        <f t="shared" si="359"/>
        <v>-</v>
      </c>
      <c r="Z403" s="130" t="str">
        <f t="shared" si="360"/>
        <v>-</v>
      </c>
      <c r="AA403" s="221" t="s">
        <v>78</v>
      </c>
      <c r="AB403" s="225" t="s">
        <v>78</v>
      </c>
      <c r="AC403" s="225" t="s">
        <v>78</v>
      </c>
      <c r="AD403" s="225" t="s">
        <v>78</v>
      </c>
      <c r="AE403" s="225" t="s">
        <v>78</v>
      </c>
      <c r="AF403" s="125" t="str">
        <f t="shared" si="341"/>
        <v>-</v>
      </c>
      <c r="AG403" s="127" t="str">
        <f t="shared" si="357"/>
        <v>-</v>
      </c>
      <c r="AH403" s="128"/>
      <c r="AI403" s="223" t="s">
        <v>78</v>
      </c>
      <c r="AJ403" s="131" t="str">
        <f t="shared" si="358"/>
        <v>-</v>
      </c>
      <c r="AK403" s="368" t="str">
        <f t="shared" si="379"/>
        <v>-</v>
      </c>
      <c r="AL403" s="375" t="str">
        <f t="shared" si="361"/>
        <v>-</v>
      </c>
      <c r="AM403" s="376" t="str">
        <f t="shared" si="362"/>
        <v>-</v>
      </c>
      <c r="AN403" s="394" t="s">
        <v>78</v>
      </c>
      <c r="AO403" s="395" t="s">
        <v>78</v>
      </c>
      <c r="AP403" s="396" t="str">
        <f t="shared" si="335"/>
        <v>-</v>
      </c>
      <c r="AQ403" s="397"/>
      <c r="AR403" s="401" t="s">
        <v>78</v>
      </c>
      <c r="AS403" s="396" t="str">
        <f t="shared" si="336"/>
        <v>-</v>
      </c>
      <c r="AT403" s="397"/>
      <c r="AU403" s="388" t="str">
        <f t="shared" si="363"/>
        <v>-</v>
      </c>
      <c r="AV403" s="389" t="str">
        <f t="shared" si="364"/>
        <v>-</v>
      </c>
      <c r="AW403" s="353" t="s">
        <v>78</v>
      </c>
      <c r="AX403" s="403"/>
      <c r="AY403" s="404"/>
    </row>
    <row r="404" spans="1:51" ht="15" customHeight="1">
      <c r="A404" s="1" t="str">
        <f t="shared" si="334"/>
        <v>0_2024_</v>
      </c>
      <c r="B404" s="1" t="str">
        <f t="shared" si="339"/>
        <v>0_2024_NEO1</v>
      </c>
      <c r="C404" s="114">
        <f t="shared" si="377"/>
        <v>0</v>
      </c>
      <c r="D404" s="133" t="str">
        <f>_xll.ciqfunctions.udf.CIQ(C404,"IQ_Company_Name")</f>
        <v>(Invalid Identifier)</v>
      </c>
      <c r="E404" s="114">
        <f t="shared" si="367"/>
        <v>2024</v>
      </c>
      <c r="F404" s="330" t="str">
        <f t="shared" si="382"/>
        <v>2024-01-01</v>
      </c>
      <c r="G404" s="330" t="str">
        <f t="shared" si="383"/>
        <v>2024-12-31</v>
      </c>
      <c r="H404" s="114">
        <f t="shared" si="384"/>
        <v>12</v>
      </c>
      <c r="I404" s="407" t="str">
        <f t="shared" si="352"/>
        <v>CAD</v>
      </c>
      <c r="J404" s="461">
        <f t="shared" si="340"/>
        <v>1</v>
      </c>
      <c r="K404" s="468"/>
      <c r="L404" s="464" t="s">
        <v>107</v>
      </c>
      <c r="M404" s="217" t="s">
        <v>78</v>
      </c>
      <c r="N404" s="218" t="s">
        <v>78</v>
      </c>
      <c r="O404" s="219" t="s">
        <v>78</v>
      </c>
      <c r="P404" s="125" t="str">
        <f t="shared" si="385"/>
        <v>-</v>
      </c>
      <c r="Q404" s="311" t="s">
        <v>78</v>
      </c>
      <c r="R404" s="126" t="str">
        <f t="shared" si="386"/>
        <v>-</v>
      </c>
      <c r="S404" s="221" t="s">
        <v>78</v>
      </c>
      <c r="T404" s="125" t="str">
        <f t="shared" si="387"/>
        <v>-</v>
      </c>
      <c r="U404" s="127" t="str">
        <f t="shared" si="355"/>
        <v>-</v>
      </c>
      <c r="V404" s="128" t="str">
        <f>IFERROR(AVERAGE(U404:U406),"N/A")</f>
        <v>N/A</v>
      </c>
      <c r="W404" s="223" t="s">
        <v>78</v>
      </c>
      <c r="X404" s="129" t="str">
        <f t="shared" si="356"/>
        <v>-</v>
      </c>
      <c r="Y404" s="124" t="str">
        <f t="shared" si="359"/>
        <v>-</v>
      </c>
      <c r="Z404" s="130" t="str">
        <f t="shared" si="360"/>
        <v>-</v>
      </c>
      <c r="AA404" s="221" t="s">
        <v>78</v>
      </c>
      <c r="AB404" s="225" t="s">
        <v>78</v>
      </c>
      <c r="AC404" s="225" t="s">
        <v>78</v>
      </c>
      <c r="AD404" s="225" t="s">
        <v>78</v>
      </c>
      <c r="AE404" s="225" t="s">
        <v>78</v>
      </c>
      <c r="AF404" s="125" t="str">
        <f t="shared" si="341"/>
        <v>-</v>
      </c>
      <c r="AG404" s="127" t="str">
        <f t="shared" si="357"/>
        <v>-</v>
      </c>
      <c r="AH404" s="128" t="str">
        <f>IFERROR(AVERAGE(AG404:AG406),"N/A")</f>
        <v>N/A</v>
      </c>
      <c r="AI404" s="223" t="s">
        <v>78</v>
      </c>
      <c r="AJ404" s="131" t="str">
        <f t="shared" si="358"/>
        <v>-</v>
      </c>
      <c r="AK404" s="368" t="str">
        <f t="shared" si="379"/>
        <v>-</v>
      </c>
      <c r="AL404" s="375" t="str">
        <f t="shared" si="361"/>
        <v>-</v>
      </c>
      <c r="AM404" s="376" t="str">
        <f t="shared" si="362"/>
        <v>-</v>
      </c>
      <c r="AN404" s="394" t="s">
        <v>78</v>
      </c>
      <c r="AO404" s="395" t="s">
        <v>78</v>
      </c>
      <c r="AP404" s="396" t="str">
        <f t="shared" si="335"/>
        <v>-</v>
      </c>
      <c r="AQ404" s="397" t="str">
        <f>IFERROR(AVERAGE(AP404:AP406),"N/A")</f>
        <v>N/A</v>
      </c>
      <c r="AR404" s="401" t="s">
        <v>78</v>
      </c>
      <c r="AS404" s="396" t="str">
        <f t="shared" si="336"/>
        <v>-</v>
      </c>
      <c r="AT404" s="397" t="str">
        <f>IFERROR(AVERAGE(AS404:AS406),"N/A")</f>
        <v>N/A</v>
      </c>
      <c r="AU404" s="388" t="str">
        <f t="shared" si="363"/>
        <v>-</v>
      </c>
      <c r="AV404" s="389" t="str">
        <f t="shared" si="364"/>
        <v>-</v>
      </c>
      <c r="AW404" s="353" t="s">
        <v>78</v>
      </c>
      <c r="AX404" s="403"/>
      <c r="AY404" s="404"/>
    </row>
    <row r="405" spans="1:51" ht="15" customHeight="1">
      <c r="A405" s="1" t="str">
        <f t="shared" si="334"/>
        <v>0_2023_</v>
      </c>
      <c r="B405" s="1" t="str">
        <f t="shared" si="339"/>
        <v>0_2023_NEO1</v>
      </c>
      <c r="C405" s="114">
        <f t="shared" si="377"/>
        <v>0</v>
      </c>
      <c r="D405" s="133" t="str">
        <f>_xll.ciqfunctions.udf.CIQ(C405,"IQ_Company_Name")</f>
        <v>(Invalid Identifier)</v>
      </c>
      <c r="E405" s="114">
        <f t="shared" si="367"/>
        <v>2023</v>
      </c>
      <c r="F405" s="330" t="str">
        <f t="shared" si="382"/>
        <v>2023-01-01</v>
      </c>
      <c r="G405" s="330" t="str">
        <f t="shared" si="383"/>
        <v>2023-12-31</v>
      </c>
      <c r="H405" s="114">
        <f t="shared" si="384"/>
        <v>12</v>
      </c>
      <c r="I405" s="407" t="str">
        <f t="shared" si="352"/>
        <v>CAD</v>
      </c>
      <c r="J405" s="461">
        <f t="shared" si="340"/>
        <v>1</v>
      </c>
      <c r="K405" s="468"/>
      <c r="L405" s="465" t="str">
        <f t="shared" ref="L405:N406" si="390">L404</f>
        <v>NEO1</v>
      </c>
      <c r="M405" s="123" t="str">
        <f t="shared" si="390"/>
        <v>-</v>
      </c>
      <c r="N405" s="132" t="str">
        <f t="shared" si="390"/>
        <v>-</v>
      </c>
      <c r="O405" s="219" t="s">
        <v>78</v>
      </c>
      <c r="P405" s="125" t="str">
        <f t="shared" si="385"/>
        <v>-</v>
      </c>
      <c r="Q405" s="311" t="s">
        <v>78</v>
      </c>
      <c r="R405" s="126" t="str">
        <f t="shared" si="386"/>
        <v>-</v>
      </c>
      <c r="S405" s="221" t="s">
        <v>78</v>
      </c>
      <c r="T405" s="125" t="str">
        <f t="shared" si="387"/>
        <v>-</v>
      </c>
      <c r="U405" s="127" t="str">
        <f t="shared" si="355"/>
        <v>-</v>
      </c>
      <c r="V405" s="128"/>
      <c r="W405" s="223" t="s">
        <v>78</v>
      </c>
      <c r="X405" s="129" t="str">
        <f t="shared" si="356"/>
        <v>-</v>
      </c>
      <c r="Y405" s="124" t="str">
        <f t="shared" si="359"/>
        <v>-</v>
      </c>
      <c r="Z405" s="130" t="str">
        <f t="shared" si="360"/>
        <v>-</v>
      </c>
      <c r="AA405" s="221" t="s">
        <v>78</v>
      </c>
      <c r="AB405" s="225" t="s">
        <v>78</v>
      </c>
      <c r="AC405" s="225" t="s">
        <v>78</v>
      </c>
      <c r="AD405" s="225" t="s">
        <v>78</v>
      </c>
      <c r="AE405" s="225" t="s">
        <v>78</v>
      </c>
      <c r="AF405" s="125" t="str">
        <f t="shared" si="341"/>
        <v>-</v>
      </c>
      <c r="AG405" s="127" t="str">
        <f t="shared" si="357"/>
        <v>-</v>
      </c>
      <c r="AH405" s="128"/>
      <c r="AI405" s="223" t="s">
        <v>78</v>
      </c>
      <c r="AJ405" s="131" t="str">
        <f t="shared" si="358"/>
        <v>-</v>
      </c>
      <c r="AK405" s="368" t="str">
        <f t="shared" si="379"/>
        <v>-</v>
      </c>
      <c r="AL405" s="375" t="str">
        <f t="shared" si="361"/>
        <v>-</v>
      </c>
      <c r="AM405" s="376" t="str">
        <f t="shared" si="362"/>
        <v>-</v>
      </c>
      <c r="AN405" s="394" t="s">
        <v>78</v>
      </c>
      <c r="AO405" s="395" t="s">
        <v>78</v>
      </c>
      <c r="AP405" s="396" t="str">
        <f t="shared" si="335"/>
        <v>-</v>
      </c>
      <c r="AQ405" s="397"/>
      <c r="AR405" s="401" t="s">
        <v>78</v>
      </c>
      <c r="AS405" s="396" t="str">
        <f t="shared" si="336"/>
        <v>-</v>
      </c>
      <c r="AT405" s="397"/>
      <c r="AU405" s="388" t="str">
        <f t="shared" si="363"/>
        <v>-</v>
      </c>
      <c r="AV405" s="389" t="str">
        <f t="shared" si="364"/>
        <v>-</v>
      </c>
      <c r="AW405" s="353" t="s">
        <v>78</v>
      </c>
      <c r="AX405" s="403"/>
      <c r="AY405" s="404"/>
    </row>
    <row r="406" spans="1:51" ht="15" customHeight="1">
      <c r="A406" s="1" t="str">
        <f t="shared" si="334"/>
        <v>0_2022_</v>
      </c>
      <c r="B406" s="1" t="str">
        <f t="shared" si="339"/>
        <v>0_2022_NEO1</v>
      </c>
      <c r="C406" s="114">
        <f t="shared" si="377"/>
        <v>0</v>
      </c>
      <c r="D406" s="133" t="str">
        <f>_xll.ciqfunctions.udf.CIQ(C406,"IQ_Company_Name")</f>
        <v>(Invalid Identifier)</v>
      </c>
      <c r="E406" s="114">
        <f t="shared" si="367"/>
        <v>2022</v>
      </c>
      <c r="F406" s="114" t="str">
        <f t="shared" si="382"/>
        <v>2022-01-01</v>
      </c>
      <c r="G406" s="330" t="str">
        <f t="shared" si="383"/>
        <v>2022-12-31</v>
      </c>
      <c r="H406" s="114">
        <f t="shared" si="384"/>
        <v>12</v>
      </c>
      <c r="I406" s="407" t="str">
        <f t="shared" si="352"/>
        <v>CAD</v>
      </c>
      <c r="J406" s="461">
        <f t="shared" si="340"/>
        <v>1</v>
      </c>
      <c r="K406" s="468"/>
      <c r="L406" s="465" t="str">
        <f t="shared" si="390"/>
        <v>NEO1</v>
      </c>
      <c r="M406" s="123" t="str">
        <f t="shared" si="390"/>
        <v>-</v>
      </c>
      <c r="N406" s="132" t="str">
        <f t="shared" si="390"/>
        <v>-</v>
      </c>
      <c r="O406" s="219" t="s">
        <v>78</v>
      </c>
      <c r="P406" s="125" t="str">
        <f t="shared" si="385"/>
        <v>-</v>
      </c>
      <c r="Q406" s="311" t="s">
        <v>78</v>
      </c>
      <c r="R406" s="126" t="str">
        <f t="shared" si="386"/>
        <v>-</v>
      </c>
      <c r="S406" s="221" t="s">
        <v>78</v>
      </c>
      <c r="T406" s="125" t="str">
        <f t="shared" si="387"/>
        <v>-</v>
      </c>
      <c r="U406" s="127" t="str">
        <f t="shared" si="355"/>
        <v>-</v>
      </c>
      <c r="V406" s="128"/>
      <c r="W406" s="223" t="s">
        <v>78</v>
      </c>
      <c r="X406" s="129" t="str">
        <f t="shared" si="356"/>
        <v>-</v>
      </c>
      <c r="Y406" s="124" t="str">
        <f t="shared" si="359"/>
        <v>-</v>
      </c>
      <c r="Z406" s="130" t="str">
        <f t="shared" si="360"/>
        <v>-</v>
      </c>
      <c r="AA406" s="221" t="s">
        <v>78</v>
      </c>
      <c r="AB406" s="225" t="s">
        <v>78</v>
      </c>
      <c r="AC406" s="225" t="s">
        <v>78</v>
      </c>
      <c r="AD406" s="225" t="s">
        <v>78</v>
      </c>
      <c r="AE406" s="225" t="s">
        <v>78</v>
      </c>
      <c r="AF406" s="125" t="str">
        <f t="shared" si="341"/>
        <v>-</v>
      </c>
      <c r="AG406" s="127" t="str">
        <f t="shared" si="357"/>
        <v>-</v>
      </c>
      <c r="AH406" s="128"/>
      <c r="AI406" s="223" t="s">
        <v>78</v>
      </c>
      <c r="AJ406" s="131" t="str">
        <f t="shared" si="358"/>
        <v>-</v>
      </c>
      <c r="AK406" s="368" t="str">
        <f t="shared" si="379"/>
        <v>-</v>
      </c>
      <c r="AL406" s="375" t="str">
        <f t="shared" si="361"/>
        <v>-</v>
      </c>
      <c r="AM406" s="376" t="str">
        <f t="shared" si="362"/>
        <v>-</v>
      </c>
      <c r="AN406" s="394" t="s">
        <v>78</v>
      </c>
      <c r="AO406" s="395" t="s">
        <v>78</v>
      </c>
      <c r="AP406" s="396" t="str">
        <f t="shared" si="335"/>
        <v>-</v>
      </c>
      <c r="AQ406" s="397"/>
      <c r="AR406" s="401" t="s">
        <v>78</v>
      </c>
      <c r="AS406" s="396" t="str">
        <f t="shared" si="336"/>
        <v>-</v>
      </c>
      <c r="AT406" s="397"/>
      <c r="AU406" s="388" t="str">
        <f t="shared" si="363"/>
        <v>-</v>
      </c>
      <c r="AV406" s="389" t="str">
        <f t="shared" si="364"/>
        <v>-</v>
      </c>
      <c r="AW406" s="353" t="s">
        <v>78</v>
      </c>
      <c r="AX406" s="403"/>
      <c r="AY406" s="404"/>
    </row>
    <row r="407" spans="1:51" ht="15" customHeight="1">
      <c r="A407" s="1" t="str">
        <f t="shared" si="334"/>
        <v>0_2024_</v>
      </c>
      <c r="B407" s="1" t="str">
        <f t="shared" si="339"/>
        <v>0_2024_NEO2</v>
      </c>
      <c r="C407" s="114">
        <f t="shared" si="377"/>
        <v>0</v>
      </c>
      <c r="D407" s="133" t="str">
        <f>_xll.ciqfunctions.udf.CIQ(C407,"IQ_Company_Name")</f>
        <v>(Invalid Identifier)</v>
      </c>
      <c r="E407" s="114">
        <f t="shared" si="367"/>
        <v>2024</v>
      </c>
      <c r="F407" s="114" t="str">
        <f t="shared" si="382"/>
        <v>2024-01-01</v>
      </c>
      <c r="G407" s="330" t="str">
        <f t="shared" si="383"/>
        <v>2024-12-31</v>
      </c>
      <c r="H407" s="114">
        <f t="shared" si="384"/>
        <v>12</v>
      </c>
      <c r="I407" s="407" t="str">
        <f t="shared" si="352"/>
        <v>CAD</v>
      </c>
      <c r="J407" s="461">
        <f t="shared" si="340"/>
        <v>1</v>
      </c>
      <c r="K407" s="468"/>
      <c r="L407" s="464" t="s">
        <v>108</v>
      </c>
      <c r="M407" s="217" t="s">
        <v>78</v>
      </c>
      <c r="N407" s="218" t="s">
        <v>78</v>
      </c>
      <c r="O407" s="219" t="s">
        <v>78</v>
      </c>
      <c r="P407" s="125" t="str">
        <f t="shared" si="385"/>
        <v>-</v>
      </c>
      <c r="Q407" s="311" t="s">
        <v>78</v>
      </c>
      <c r="R407" s="126" t="str">
        <f t="shared" si="386"/>
        <v>-</v>
      </c>
      <c r="S407" s="221" t="s">
        <v>78</v>
      </c>
      <c r="T407" s="125" t="str">
        <f t="shared" si="387"/>
        <v>-</v>
      </c>
      <c r="U407" s="127" t="str">
        <f t="shared" si="355"/>
        <v>-</v>
      </c>
      <c r="V407" s="128" t="str">
        <f>IFERROR(AVERAGE(U407:U409),"N/A")</f>
        <v>N/A</v>
      </c>
      <c r="W407" s="223" t="s">
        <v>78</v>
      </c>
      <c r="X407" s="129" t="str">
        <f t="shared" si="356"/>
        <v>-</v>
      </c>
      <c r="Y407" s="124" t="str">
        <f t="shared" si="359"/>
        <v>-</v>
      </c>
      <c r="Z407" s="130" t="str">
        <f t="shared" si="360"/>
        <v>-</v>
      </c>
      <c r="AA407" s="221" t="s">
        <v>78</v>
      </c>
      <c r="AB407" s="225" t="s">
        <v>78</v>
      </c>
      <c r="AC407" s="225" t="s">
        <v>78</v>
      </c>
      <c r="AD407" s="225" t="s">
        <v>78</v>
      </c>
      <c r="AE407" s="225" t="s">
        <v>78</v>
      </c>
      <c r="AF407" s="125" t="str">
        <f t="shared" si="341"/>
        <v>-</v>
      </c>
      <c r="AG407" s="127" t="str">
        <f t="shared" si="357"/>
        <v>-</v>
      </c>
      <c r="AH407" s="128" t="str">
        <f>IFERROR(AVERAGE(AG407:AG409),"N/A")</f>
        <v>N/A</v>
      </c>
      <c r="AI407" s="223" t="s">
        <v>78</v>
      </c>
      <c r="AJ407" s="131" t="str">
        <f t="shared" si="358"/>
        <v>-</v>
      </c>
      <c r="AK407" s="368" t="str">
        <f t="shared" si="379"/>
        <v>-</v>
      </c>
      <c r="AL407" s="375" t="str">
        <f t="shared" si="361"/>
        <v>-</v>
      </c>
      <c r="AM407" s="376" t="str">
        <f t="shared" si="362"/>
        <v>-</v>
      </c>
      <c r="AN407" s="394" t="s">
        <v>78</v>
      </c>
      <c r="AO407" s="395" t="s">
        <v>78</v>
      </c>
      <c r="AP407" s="396" t="str">
        <f t="shared" si="335"/>
        <v>-</v>
      </c>
      <c r="AQ407" s="397" t="str">
        <f>IFERROR(AVERAGE(AP407:AP409),"N/A")</f>
        <v>N/A</v>
      </c>
      <c r="AR407" s="401" t="s">
        <v>78</v>
      </c>
      <c r="AS407" s="396" t="str">
        <f t="shared" si="336"/>
        <v>-</v>
      </c>
      <c r="AT407" s="397" t="str">
        <f>IFERROR(AVERAGE(AS407:AS409),"N/A")</f>
        <v>N/A</v>
      </c>
      <c r="AU407" s="388" t="str">
        <f t="shared" si="363"/>
        <v>-</v>
      </c>
      <c r="AV407" s="389" t="str">
        <f t="shared" si="364"/>
        <v>-</v>
      </c>
      <c r="AW407" s="353" t="s">
        <v>78</v>
      </c>
      <c r="AX407" s="403"/>
      <c r="AY407" s="404"/>
    </row>
    <row r="408" spans="1:51" ht="15" customHeight="1">
      <c r="A408" s="1" t="str">
        <f t="shared" si="334"/>
        <v>0_2023_</v>
      </c>
      <c r="B408" s="1" t="str">
        <f t="shared" si="339"/>
        <v>0_2023_NEO2</v>
      </c>
      <c r="C408" s="114">
        <f t="shared" si="377"/>
        <v>0</v>
      </c>
      <c r="D408" s="133" t="str">
        <f>_xll.ciqfunctions.udf.CIQ(C408,"IQ_Company_Name")</f>
        <v>(Invalid Identifier)</v>
      </c>
      <c r="E408" s="114">
        <f t="shared" si="367"/>
        <v>2023</v>
      </c>
      <c r="F408" s="114" t="str">
        <f t="shared" si="382"/>
        <v>2023-01-01</v>
      </c>
      <c r="G408" s="330" t="str">
        <f t="shared" si="383"/>
        <v>2023-12-31</v>
      </c>
      <c r="H408" s="114">
        <f t="shared" si="384"/>
        <v>12</v>
      </c>
      <c r="I408" s="407" t="str">
        <f t="shared" si="352"/>
        <v>CAD</v>
      </c>
      <c r="J408" s="461">
        <f t="shared" si="340"/>
        <v>1</v>
      </c>
      <c r="K408" s="468"/>
      <c r="L408" s="465" t="str">
        <f t="shared" ref="L408:N409" si="391">L407</f>
        <v>NEO2</v>
      </c>
      <c r="M408" s="123" t="str">
        <f t="shared" si="391"/>
        <v>-</v>
      </c>
      <c r="N408" s="132" t="str">
        <f t="shared" si="391"/>
        <v>-</v>
      </c>
      <c r="O408" s="219" t="s">
        <v>78</v>
      </c>
      <c r="P408" s="125" t="str">
        <f t="shared" si="385"/>
        <v>-</v>
      </c>
      <c r="Q408" s="311" t="s">
        <v>78</v>
      </c>
      <c r="R408" s="126" t="str">
        <f t="shared" si="386"/>
        <v>-</v>
      </c>
      <c r="S408" s="221" t="s">
        <v>78</v>
      </c>
      <c r="T408" s="125" t="str">
        <f t="shared" si="387"/>
        <v>-</v>
      </c>
      <c r="U408" s="127" t="str">
        <f t="shared" si="355"/>
        <v>-</v>
      </c>
      <c r="V408" s="128"/>
      <c r="W408" s="223" t="s">
        <v>78</v>
      </c>
      <c r="X408" s="129" t="str">
        <f t="shared" si="356"/>
        <v>-</v>
      </c>
      <c r="Y408" s="124" t="str">
        <f t="shared" si="359"/>
        <v>-</v>
      </c>
      <c r="Z408" s="130" t="str">
        <f t="shared" si="360"/>
        <v>-</v>
      </c>
      <c r="AA408" s="221" t="s">
        <v>78</v>
      </c>
      <c r="AB408" s="225" t="s">
        <v>78</v>
      </c>
      <c r="AC408" s="225" t="s">
        <v>78</v>
      </c>
      <c r="AD408" s="225" t="s">
        <v>78</v>
      </c>
      <c r="AE408" s="225" t="s">
        <v>78</v>
      </c>
      <c r="AF408" s="125" t="str">
        <f t="shared" si="341"/>
        <v>-</v>
      </c>
      <c r="AG408" s="127" t="str">
        <f t="shared" si="357"/>
        <v>-</v>
      </c>
      <c r="AH408" s="128"/>
      <c r="AI408" s="223" t="s">
        <v>78</v>
      </c>
      <c r="AJ408" s="131" t="str">
        <f t="shared" si="358"/>
        <v>-</v>
      </c>
      <c r="AK408" s="368" t="str">
        <f t="shared" si="379"/>
        <v>-</v>
      </c>
      <c r="AL408" s="375" t="str">
        <f t="shared" si="361"/>
        <v>-</v>
      </c>
      <c r="AM408" s="376" t="str">
        <f t="shared" si="362"/>
        <v>-</v>
      </c>
      <c r="AN408" s="394" t="s">
        <v>78</v>
      </c>
      <c r="AO408" s="395" t="s">
        <v>78</v>
      </c>
      <c r="AP408" s="396" t="str">
        <f t="shared" si="335"/>
        <v>-</v>
      </c>
      <c r="AQ408" s="397"/>
      <c r="AR408" s="401" t="s">
        <v>78</v>
      </c>
      <c r="AS408" s="396" t="str">
        <f t="shared" si="336"/>
        <v>-</v>
      </c>
      <c r="AT408" s="397"/>
      <c r="AU408" s="388" t="str">
        <f t="shared" si="363"/>
        <v>-</v>
      </c>
      <c r="AV408" s="389" t="str">
        <f t="shared" si="364"/>
        <v>-</v>
      </c>
      <c r="AW408" s="353" t="s">
        <v>78</v>
      </c>
      <c r="AX408" s="403"/>
      <c r="AY408" s="404"/>
    </row>
    <row r="409" spans="1:51" ht="15" customHeight="1">
      <c r="A409" s="1" t="str">
        <f t="shared" si="334"/>
        <v>0_2022_</v>
      </c>
      <c r="B409" s="1" t="str">
        <f t="shared" si="339"/>
        <v>0_2022_NEO2</v>
      </c>
      <c r="C409" s="114">
        <f t="shared" si="377"/>
        <v>0</v>
      </c>
      <c r="D409" s="133" t="str">
        <f>_xll.ciqfunctions.udf.CIQ(C409,"IQ_Company_Name")</f>
        <v>(Invalid Identifier)</v>
      </c>
      <c r="E409" s="114">
        <f t="shared" si="367"/>
        <v>2022</v>
      </c>
      <c r="F409" s="114" t="str">
        <f t="shared" si="382"/>
        <v>2022-01-01</v>
      </c>
      <c r="G409" s="330" t="str">
        <f t="shared" si="383"/>
        <v>2022-12-31</v>
      </c>
      <c r="H409" s="114">
        <f t="shared" si="384"/>
        <v>12</v>
      </c>
      <c r="I409" s="407" t="str">
        <f t="shared" si="352"/>
        <v>CAD</v>
      </c>
      <c r="J409" s="461">
        <f t="shared" si="340"/>
        <v>1</v>
      </c>
      <c r="K409" s="468"/>
      <c r="L409" s="465" t="str">
        <f t="shared" si="391"/>
        <v>NEO2</v>
      </c>
      <c r="M409" s="123" t="str">
        <f t="shared" si="391"/>
        <v>-</v>
      </c>
      <c r="N409" s="132" t="str">
        <f t="shared" si="391"/>
        <v>-</v>
      </c>
      <c r="O409" s="219" t="s">
        <v>78</v>
      </c>
      <c r="P409" s="125" t="str">
        <f t="shared" si="385"/>
        <v>-</v>
      </c>
      <c r="Q409" s="311" t="s">
        <v>78</v>
      </c>
      <c r="R409" s="126" t="str">
        <f t="shared" si="386"/>
        <v>-</v>
      </c>
      <c r="S409" s="221" t="s">
        <v>78</v>
      </c>
      <c r="T409" s="125" t="str">
        <f t="shared" si="387"/>
        <v>-</v>
      </c>
      <c r="U409" s="127" t="str">
        <f t="shared" si="355"/>
        <v>-</v>
      </c>
      <c r="V409" s="128"/>
      <c r="W409" s="223" t="s">
        <v>78</v>
      </c>
      <c r="X409" s="129" t="str">
        <f t="shared" si="356"/>
        <v>-</v>
      </c>
      <c r="Y409" s="124" t="str">
        <f t="shared" si="359"/>
        <v>-</v>
      </c>
      <c r="Z409" s="130" t="str">
        <f t="shared" si="360"/>
        <v>-</v>
      </c>
      <c r="AA409" s="221" t="s">
        <v>78</v>
      </c>
      <c r="AB409" s="225" t="s">
        <v>78</v>
      </c>
      <c r="AC409" s="225" t="s">
        <v>78</v>
      </c>
      <c r="AD409" s="225" t="s">
        <v>78</v>
      </c>
      <c r="AE409" s="225" t="s">
        <v>78</v>
      </c>
      <c r="AF409" s="125" t="str">
        <f t="shared" si="341"/>
        <v>-</v>
      </c>
      <c r="AG409" s="127" t="str">
        <f t="shared" si="357"/>
        <v>-</v>
      </c>
      <c r="AH409" s="128"/>
      <c r="AI409" s="223" t="s">
        <v>78</v>
      </c>
      <c r="AJ409" s="131" t="str">
        <f t="shared" si="358"/>
        <v>-</v>
      </c>
      <c r="AK409" s="368" t="str">
        <f t="shared" si="379"/>
        <v>-</v>
      </c>
      <c r="AL409" s="375" t="str">
        <f t="shared" si="361"/>
        <v>-</v>
      </c>
      <c r="AM409" s="376" t="str">
        <f t="shared" si="362"/>
        <v>-</v>
      </c>
      <c r="AN409" s="394" t="s">
        <v>78</v>
      </c>
      <c r="AO409" s="395" t="s">
        <v>78</v>
      </c>
      <c r="AP409" s="396" t="str">
        <f t="shared" si="335"/>
        <v>-</v>
      </c>
      <c r="AQ409" s="397"/>
      <c r="AR409" s="401" t="s">
        <v>78</v>
      </c>
      <c r="AS409" s="396" t="str">
        <f t="shared" si="336"/>
        <v>-</v>
      </c>
      <c r="AT409" s="397"/>
      <c r="AU409" s="388" t="str">
        <f t="shared" si="363"/>
        <v>-</v>
      </c>
      <c r="AV409" s="389" t="str">
        <f t="shared" si="364"/>
        <v>-</v>
      </c>
      <c r="AW409" s="353" t="s">
        <v>78</v>
      </c>
      <c r="AX409" s="403"/>
      <c r="AY409" s="404"/>
    </row>
    <row r="410" spans="1:51" ht="15" customHeight="1">
      <c r="A410" s="1" t="str">
        <f t="shared" si="334"/>
        <v>0_2024_</v>
      </c>
      <c r="B410" s="1" t="str">
        <f t="shared" si="339"/>
        <v>0_2024_NEO3</v>
      </c>
      <c r="C410" s="114">
        <f t="shared" si="377"/>
        <v>0</v>
      </c>
      <c r="D410" s="133" t="str">
        <f>_xll.ciqfunctions.udf.CIQ(C410,"IQ_Company_Name")</f>
        <v>(Invalid Identifier)</v>
      </c>
      <c r="E410" s="114">
        <f t="shared" si="367"/>
        <v>2024</v>
      </c>
      <c r="F410" s="114" t="str">
        <f t="shared" si="382"/>
        <v>2024-01-01</v>
      </c>
      <c r="G410" s="330" t="str">
        <f t="shared" si="383"/>
        <v>2024-12-31</v>
      </c>
      <c r="H410" s="114">
        <f t="shared" si="384"/>
        <v>12</v>
      </c>
      <c r="I410" s="407" t="str">
        <f t="shared" si="352"/>
        <v>CAD</v>
      </c>
      <c r="J410" s="461">
        <f t="shared" si="340"/>
        <v>1</v>
      </c>
      <c r="K410" s="468"/>
      <c r="L410" s="464" t="s">
        <v>109</v>
      </c>
      <c r="M410" s="217" t="s">
        <v>78</v>
      </c>
      <c r="N410" s="218" t="s">
        <v>78</v>
      </c>
      <c r="O410" s="219" t="s">
        <v>78</v>
      </c>
      <c r="P410" s="125" t="str">
        <f t="shared" si="385"/>
        <v>-</v>
      </c>
      <c r="Q410" s="311" t="s">
        <v>78</v>
      </c>
      <c r="R410" s="126" t="str">
        <f t="shared" si="386"/>
        <v>-</v>
      </c>
      <c r="S410" s="221" t="s">
        <v>78</v>
      </c>
      <c r="T410" s="125" t="str">
        <f t="shared" si="387"/>
        <v>-</v>
      </c>
      <c r="U410" s="127" t="str">
        <f t="shared" si="355"/>
        <v>-</v>
      </c>
      <c r="V410" s="128" t="str">
        <f>IFERROR(AVERAGE(U410:U412),"N/A")</f>
        <v>N/A</v>
      </c>
      <c r="W410" s="223" t="s">
        <v>78</v>
      </c>
      <c r="X410" s="129" t="str">
        <f t="shared" si="356"/>
        <v>-</v>
      </c>
      <c r="Y410" s="124" t="str">
        <f t="shared" si="359"/>
        <v>-</v>
      </c>
      <c r="Z410" s="130" t="str">
        <f t="shared" si="360"/>
        <v>-</v>
      </c>
      <c r="AA410" s="221" t="s">
        <v>78</v>
      </c>
      <c r="AB410" s="225" t="s">
        <v>78</v>
      </c>
      <c r="AC410" s="225" t="s">
        <v>78</v>
      </c>
      <c r="AD410" s="225" t="s">
        <v>78</v>
      </c>
      <c r="AE410" s="225" t="s">
        <v>78</v>
      </c>
      <c r="AF410" s="125" t="str">
        <f t="shared" si="341"/>
        <v>-</v>
      </c>
      <c r="AG410" s="127" t="str">
        <f t="shared" si="357"/>
        <v>-</v>
      </c>
      <c r="AH410" s="128" t="str">
        <f>IFERROR(AVERAGE(AG410:AG412),"N/A")</f>
        <v>N/A</v>
      </c>
      <c r="AI410" s="223" t="s">
        <v>78</v>
      </c>
      <c r="AJ410" s="131" t="str">
        <f t="shared" si="358"/>
        <v>-</v>
      </c>
      <c r="AK410" s="368" t="str">
        <f t="shared" si="379"/>
        <v>-</v>
      </c>
      <c r="AL410" s="375" t="str">
        <f t="shared" si="361"/>
        <v>-</v>
      </c>
      <c r="AM410" s="376" t="str">
        <f t="shared" si="362"/>
        <v>-</v>
      </c>
      <c r="AN410" s="394" t="s">
        <v>78</v>
      </c>
      <c r="AO410" s="395" t="s">
        <v>78</v>
      </c>
      <c r="AP410" s="396" t="str">
        <f t="shared" si="335"/>
        <v>-</v>
      </c>
      <c r="AQ410" s="397" t="str">
        <f>IFERROR(AVERAGE(AP410:AP412),"N/A")</f>
        <v>N/A</v>
      </c>
      <c r="AR410" s="401" t="s">
        <v>78</v>
      </c>
      <c r="AS410" s="396" t="str">
        <f t="shared" si="336"/>
        <v>-</v>
      </c>
      <c r="AT410" s="397" t="str">
        <f>IFERROR(AVERAGE(AS410:AS412),"N/A")</f>
        <v>N/A</v>
      </c>
      <c r="AU410" s="388" t="str">
        <f t="shared" si="363"/>
        <v>-</v>
      </c>
      <c r="AV410" s="389" t="str">
        <f t="shared" si="364"/>
        <v>-</v>
      </c>
      <c r="AW410" s="353" t="s">
        <v>78</v>
      </c>
      <c r="AX410" s="403"/>
      <c r="AY410" s="404"/>
    </row>
    <row r="411" spans="1:51" ht="15" customHeight="1">
      <c r="A411" s="1" t="str">
        <f t="shared" si="334"/>
        <v>0_2023_</v>
      </c>
      <c r="B411" s="1" t="str">
        <f t="shared" si="339"/>
        <v>0_2023_NEO3</v>
      </c>
      <c r="C411" s="114">
        <f t="shared" si="377"/>
        <v>0</v>
      </c>
      <c r="D411" s="133" t="str">
        <f>_xll.ciqfunctions.udf.CIQ(C411,"IQ_Company_Name")</f>
        <v>(Invalid Identifier)</v>
      </c>
      <c r="E411" s="114">
        <f t="shared" si="367"/>
        <v>2023</v>
      </c>
      <c r="F411" s="114" t="str">
        <f t="shared" si="382"/>
        <v>2023-01-01</v>
      </c>
      <c r="G411" s="330" t="str">
        <f t="shared" si="383"/>
        <v>2023-12-31</v>
      </c>
      <c r="H411" s="114">
        <f t="shared" si="384"/>
        <v>12</v>
      </c>
      <c r="I411" s="407" t="str">
        <f t="shared" si="352"/>
        <v>CAD</v>
      </c>
      <c r="J411" s="461">
        <f t="shared" si="340"/>
        <v>1</v>
      </c>
      <c r="K411" s="468"/>
      <c r="L411" s="465" t="str">
        <f t="shared" ref="L411:N412" si="392">L410</f>
        <v>NEO3</v>
      </c>
      <c r="M411" s="123" t="str">
        <f t="shared" si="392"/>
        <v>-</v>
      </c>
      <c r="N411" s="132" t="str">
        <f t="shared" si="392"/>
        <v>-</v>
      </c>
      <c r="O411" s="219" t="s">
        <v>78</v>
      </c>
      <c r="P411" s="125" t="str">
        <f t="shared" si="385"/>
        <v>-</v>
      </c>
      <c r="Q411" s="311" t="s">
        <v>78</v>
      </c>
      <c r="R411" s="126" t="str">
        <f t="shared" si="386"/>
        <v>-</v>
      </c>
      <c r="S411" s="221" t="s">
        <v>78</v>
      </c>
      <c r="T411" s="125" t="str">
        <f t="shared" si="387"/>
        <v>-</v>
      </c>
      <c r="U411" s="127" t="str">
        <f t="shared" si="355"/>
        <v>-</v>
      </c>
      <c r="V411" s="128"/>
      <c r="W411" s="223" t="s">
        <v>78</v>
      </c>
      <c r="X411" s="129" t="str">
        <f t="shared" si="356"/>
        <v>-</v>
      </c>
      <c r="Y411" s="124" t="str">
        <f t="shared" si="359"/>
        <v>-</v>
      </c>
      <c r="Z411" s="130" t="str">
        <f t="shared" si="360"/>
        <v>-</v>
      </c>
      <c r="AA411" s="221" t="s">
        <v>78</v>
      </c>
      <c r="AB411" s="225" t="s">
        <v>78</v>
      </c>
      <c r="AC411" s="225" t="s">
        <v>78</v>
      </c>
      <c r="AD411" s="225" t="s">
        <v>78</v>
      </c>
      <c r="AE411" s="225" t="s">
        <v>78</v>
      </c>
      <c r="AF411" s="125" t="str">
        <f t="shared" si="341"/>
        <v>-</v>
      </c>
      <c r="AG411" s="127" t="str">
        <f t="shared" si="357"/>
        <v>-</v>
      </c>
      <c r="AH411" s="128"/>
      <c r="AI411" s="223" t="s">
        <v>78</v>
      </c>
      <c r="AJ411" s="131" t="str">
        <f t="shared" si="358"/>
        <v>-</v>
      </c>
      <c r="AK411" s="368" t="str">
        <f t="shared" si="379"/>
        <v>-</v>
      </c>
      <c r="AL411" s="375" t="str">
        <f t="shared" si="361"/>
        <v>-</v>
      </c>
      <c r="AM411" s="376" t="str">
        <f t="shared" si="362"/>
        <v>-</v>
      </c>
      <c r="AN411" s="394" t="s">
        <v>78</v>
      </c>
      <c r="AO411" s="395" t="s">
        <v>78</v>
      </c>
      <c r="AP411" s="396" t="str">
        <f t="shared" si="335"/>
        <v>-</v>
      </c>
      <c r="AQ411" s="397"/>
      <c r="AR411" s="401" t="s">
        <v>78</v>
      </c>
      <c r="AS411" s="396" t="str">
        <f t="shared" si="336"/>
        <v>-</v>
      </c>
      <c r="AT411" s="397"/>
      <c r="AU411" s="388" t="str">
        <f t="shared" si="363"/>
        <v>-</v>
      </c>
      <c r="AV411" s="389" t="str">
        <f t="shared" si="364"/>
        <v>-</v>
      </c>
      <c r="AW411" s="353" t="s">
        <v>78</v>
      </c>
      <c r="AX411" s="403"/>
      <c r="AY411" s="404"/>
    </row>
    <row r="412" spans="1:51" ht="15" customHeight="1" thickBot="1">
      <c r="A412" s="1" t="str">
        <f t="shared" si="334"/>
        <v>0_2022_</v>
      </c>
      <c r="B412" s="1" t="str">
        <f t="shared" si="339"/>
        <v>0_2022_NEO3</v>
      </c>
      <c r="C412" s="203">
        <f t="shared" si="377"/>
        <v>0</v>
      </c>
      <c r="D412" s="205" t="str">
        <f>_xll.ciqfunctions.udf.CIQ(C412,"IQ_Company_Name")</f>
        <v>(Invalid Identifier)</v>
      </c>
      <c r="E412" s="204">
        <f t="shared" si="367"/>
        <v>2022</v>
      </c>
      <c r="F412" s="204" t="str">
        <f t="shared" si="382"/>
        <v>2022-01-01</v>
      </c>
      <c r="G412" s="331" t="str">
        <f t="shared" si="383"/>
        <v>2022-12-31</v>
      </c>
      <c r="H412" s="204">
        <f t="shared" si="384"/>
        <v>12</v>
      </c>
      <c r="I412" s="408" t="str">
        <f t="shared" si="352"/>
        <v>CAD</v>
      </c>
      <c r="J412" s="463">
        <f t="shared" si="340"/>
        <v>1</v>
      </c>
      <c r="K412" s="470"/>
      <c r="L412" s="466" t="str">
        <f t="shared" si="392"/>
        <v>NEO3</v>
      </c>
      <c r="M412" s="206" t="str">
        <f t="shared" si="392"/>
        <v>-</v>
      </c>
      <c r="N412" s="207" t="str">
        <f t="shared" si="392"/>
        <v>-</v>
      </c>
      <c r="O412" s="220" t="s">
        <v>78</v>
      </c>
      <c r="P412" s="209" t="str">
        <f t="shared" si="385"/>
        <v>-</v>
      </c>
      <c r="Q412" s="312" t="s">
        <v>78</v>
      </c>
      <c r="R412" s="329" t="str">
        <f t="shared" si="386"/>
        <v>-</v>
      </c>
      <c r="S412" s="222" t="s">
        <v>78</v>
      </c>
      <c r="T412" s="209" t="str">
        <f t="shared" si="387"/>
        <v>-</v>
      </c>
      <c r="U412" s="211" t="str">
        <f t="shared" si="355"/>
        <v>-</v>
      </c>
      <c r="V412" s="212"/>
      <c r="W412" s="224" t="s">
        <v>78</v>
      </c>
      <c r="X412" s="213" t="str">
        <f t="shared" si="356"/>
        <v>-</v>
      </c>
      <c r="Y412" s="208" t="str">
        <f t="shared" si="359"/>
        <v>-</v>
      </c>
      <c r="Z412" s="214" t="str">
        <f t="shared" si="360"/>
        <v>-</v>
      </c>
      <c r="AA412" s="222" t="s">
        <v>78</v>
      </c>
      <c r="AB412" s="226" t="s">
        <v>78</v>
      </c>
      <c r="AC412" s="226" t="s">
        <v>78</v>
      </c>
      <c r="AD412" s="226" t="s">
        <v>78</v>
      </c>
      <c r="AE412" s="226" t="s">
        <v>78</v>
      </c>
      <c r="AF412" s="420" t="str">
        <f t="shared" si="341"/>
        <v>-</v>
      </c>
      <c r="AG412" s="211" t="str">
        <f t="shared" si="357"/>
        <v>-</v>
      </c>
      <c r="AH412" s="212"/>
      <c r="AI412" s="224" t="s">
        <v>78</v>
      </c>
      <c r="AJ412" s="215" t="str">
        <f t="shared" si="358"/>
        <v>-</v>
      </c>
      <c r="AK412" s="369" t="str">
        <f t="shared" si="379"/>
        <v>-</v>
      </c>
      <c r="AL412" s="379" t="str">
        <f t="shared" si="361"/>
        <v>-</v>
      </c>
      <c r="AM412" s="380" t="str">
        <f t="shared" si="362"/>
        <v>-</v>
      </c>
      <c r="AN412" s="398" t="s">
        <v>78</v>
      </c>
      <c r="AO412" s="399" t="s">
        <v>78</v>
      </c>
      <c r="AP412" s="396" t="str">
        <f t="shared" si="335"/>
        <v>-</v>
      </c>
      <c r="AQ412" s="400"/>
      <c r="AR412" s="402" t="s">
        <v>78</v>
      </c>
      <c r="AS412" s="396" t="str">
        <f t="shared" si="336"/>
        <v>-</v>
      </c>
      <c r="AT412" s="400"/>
      <c r="AU412" s="392" t="str">
        <f t="shared" si="363"/>
        <v>-</v>
      </c>
      <c r="AV412" s="393" t="str">
        <f t="shared" si="364"/>
        <v>-</v>
      </c>
      <c r="AW412" s="354" t="s">
        <v>78</v>
      </c>
      <c r="AX412" s="405"/>
      <c r="AY412" s="406"/>
    </row>
  </sheetData>
  <conditionalFormatting sqref="C33:AP412 AQ68:AR412 AT68:AY412">
    <cfRule type="expression" dxfId="206" priority="1" stopIfTrue="1">
      <formula>MOD(ROW()-5,3*2)+1&lt;=3</formula>
    </cfRule>
  </conditionalFormatting>
  <conditionalFormatting sqref="C32:AT32 AQ33:AR52">
    <cfRule type="expression" dxfId="205" priority="62" stopIfTrue="1">
      <formula>MOD(ROW()-5,3*2)+1&lt;=3</formula>
    </cfRule>
  </conditionalFormatting>
  <conditionalFormatting sqref="E5:E18">
    <cfRule type="containsText" dxfId="204" priority="101" operator="containsText" text="Y">
      <formula>NOT(ISERROR(SEARCH("Y",E5)))</formula>
    </cfRule>
  </conditionalFormatting>
  <conditionalFormatting sqref="H6">
    <cfRule type="containsText" dxfId="203" priority="100" operator="containsText" text="Y">
      <formula>NOT(ISERROR(SEARCH("Y",H6)))</formula>
    </cfRule>
  </conditionalFormatting>
  <conditionalFormatting sqref="AQ33:AQ142 AT33:AT142 AS33:AS412">
    <cfRule type="expression" dxfId="202" priority="89" stopIfTrue="1">
      <formula>MOD(ROW()-5,3*2)+1&lt;=3</formula>
    </cfRule>
  </conditionalFormatting>
  <conditionalFormatting sqref="AR53:AR67">
    <cfRule type="expression" dxfId="201" priority="165" stopIfTrue="1">
      <formula>MOD(ROW()-5,3*2)+1&lt;=3</formula>
    </cfRule>
  </conditionalFormatting>
  <conditionalFormatting sqref="AT32:AY52">
    <cfRule type="expression" dxfId="200" priority="96" stopIfTrue="1">
      <formula>MOD(ROW()-5,3*2)+1&lt;=3</formula>
    </cfRule>
  </conditionalFormatting>
  <conditionalFormatting sqref="AU53:AY67">
    <cfRule type="expression" dxfId="199" priority="102" stopIfTrue="1">
      <formula>MOD(ROW()-5,3*2)+1&lt;=3</formula>
    </cfRule>
  </conditionalFormatting>
  <dataValidations disablePrompts="1" count="1">
    <dataValidation type="list" allowBlank="1" showInputMessage="1" showErrorMessage="1" sqref="G5" xr:uid="{00000000-0002-0000-0100-000000000000}">
      <formula1>$E$3:$F$3</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A55"/>
  <sheetViews>
    <sheetView workbookViewId="0"/>
  </sheetViews>
  <sheetFormatPr defaultColWidth="9.1796875" defaultRowHeight="14" outlineLevelRow="1" outlineLevelCol="1"/>
  <cols>
    <col min="1" max="1" width="10.453125" style="12" bestFit="1" customWidth="1"/>
    <col min="2" max="2" width="8.1796875" style="12" customWidth="1"/>
    <col min="3" max="3" width="32.7265625" style="12" customWidth="1"/>
    <col min="4" max="5" width="14.453125" style="12" customWidth="1" outlineLevel="1"/>
    <col min="6" max="6" width="18.7265625" style="12" customWidth="1" outlineLevel="1"/>
    <col min="7" max="7" width="12.7265625" style="12" customWidth="1"/>
    <col min="8" max="8" width="13.26953125" style="12" customWidth="1"/>
    <col min="9" max="11" width="13.26953125" style="12" customWidth="1" outlineLevel="1"/>
    <col min="12" max="15" width="13.26953125" style="12" customWidth="1"/>
    <col min="16" max="18" width="13.26953125" style="12" customWidth="1" outlineLevel="1"/>
    <col min="19" max="22" width="13.26953125" style="12" customWidth="1"/>
    <col min="23" max="23" width="3.1796875" style="12" customWidth="1"/>
    <col min="24" max="25" width="13.26953125" style="12" customWidth="1"/>
    <col min="26" max="26" width="9.1796875" style="12"/>
    <col min="27" max="27" width="19.26953125" style="13" customWidth="1"/>
    <col min="28" max="16384" width="9.1796875" style="12"/>
  </cols>
  <sheetData>
    <row r="1" spans="1:27" s="48" customFormat="1" ht="17.25" customHeight="1">
      <c r="A1" s="111">
        <f ca="1">TODAY()</f>
        <v>45975</v>
      </c>
    </row>
    <row r="2" spans="1:27">
      <c r="A2" s="12" t="s">
        <v>2</v>
      </c>
      <c r="B2" s="49" t="s">
        <v>24</v>
      </c>
      <c r="C2" s="53"/>
    </row>
    <row r="3" spans="1:27">
      <c r="B3" s="49" t="s">
        <v>23</v>
      </c>
      <c r="C3" s="53">
        <v>2018</v>
      </c>
    </row>
    <row r="4" spans="1:27" s="157" customFormat="1" ht="35.15" customHeight="1" outlineLevel="1">
      <c r="C4" s="157" t="s">
        <v>22</v>
      </c>
      <c r="D4" s="157" t="s">
        <v>21</v>
      </c>
      <c r="E4" s="157" t="s">
        <v>20</v>
      </c>
      <c r="F4" s="157" t="s">
        <v>19</v>
      </c>
      <c r="G4" s="157" t="s">
        <v>29</v>
      </c>
      <c r="H4" s="157" t="s">
        <v>39</v>
      </c>
      <c r="I4" s="157" t="s">
        <v>55</v>
      </c>
      <c r="J4" s="157" t="s">
        <v>56</v>
      </c>
      <c r="K4" s="157" t="s">
        <v>104</v>
      </c>
      <c r="L4" s="157" t="s">
        <v>57</v>
      </c>
      <c r="M4" s="157" t="s">
        <v>60</v>
      </c>
      <c r="N4" s="157" t="s">
        <v>58</v>
      </c>
      <c r="O4" s="157" t="s">
        <v>59</v>
      </c>
      <c r="P4" s="157" t="s">
        <v>47</v>
      </c>
      <c r="Q4" s="157" t="s">
        <v>45</v>
      </c>
      <c r="R4" s="157" t="s">
        <v>105</v>
      </c>
      <c r="S4" s="157" t="s">
        <v>50</v>
      </c>
      <c r="T4" s="157" t="s">
        <v>46</v>
      </c>
      <c r="U4" s="157" t="s">
        <v>48</v>
      </c>
      <c r="V4" s="157" t="s">
        <v>80</v>
      </c>
      <c r="X4" s="157" t="s">
        <v>11</v>
      </c>
      <c r="Y4" s="157" t="s">
        <v>10</v>
      </c>
    </row>
    <row r="5" spans="1:27" ht="20">
      <c r="B5" s="26"/>
      <c r="C5" s="47" t="str">
        <f>+C2&amp; " Benchmarking - "&amp;'Raw Data'!G5&amp;" $000s"</f>
        <v xml:space="preserve"> Benchmarking - CAD $000s</v>
      </c>
      <c r="D5" s="46"/>
      <c r="E5" s="26"/>
      <c r="F5" s="26"/>
      <c r="G5" s="26"/>
      <c r="H5" s="26"/>
      <c r="I5" s="26"/>
      <c r="J5" s="26"/>
      <c r="K5" s="26"/>
      <c r="L5" s="26"/>
      <c r="M5" s="26"/>
      <c r="N5" s="26"/>
      <c r="O5" s="26"/>
      <c r="P5" s="26"/>
      <c r="Q5" s="26"/>
      <c r="R5" s="26"/>
      <c r="S5" s="26"/>
      <c r="T5" s="26"/>
      <c r="U5" s="26"/>
      <c r="V5" s="26"/>
      <c r="W5" s="26"/>
      <c r="X5" s="26"/>
      <c r="Y5" s="26"/>
    </row>
    <row r="6" spans="1:27" ht="35.15" customHeight="1">
      <c r="B6" s="45"/>
      <c r="C6" s="1085" t="s">
        <v>22</v>
      </c>
      <c r="D6" s="1087" t="s">
        <v>21</v>
      </c>
      <c r="E6" s="1087" t="s">
        <v>20</v>
      </c>
      <c r="F6" s="1087" t="s">
        <v>19</v>
      </c>
      <c r="G6" s="1087" t="s">
        <v>18</v>
      </c>
      <c r="H6" s="1083" t="s">
        <v>17</v>
      </c>
      <c r="I6" s="158" t="s">
        <v>16</v>
      </c>
      <c r="J6" s="158"/>
      <c r="K6" s="158"/>
      <c r="L6" s="159" t="s">
        <v>16</v>
      </c>
      <c r="M6" s="159"/>
      <c r="N6" s="158" t="s">
        <v>15</v>
      </c>
      <c r="O6" s="158"/>
      <c r="P6" s="158" t="s">
        <v>14</v>
      </c>
      <c r="Q6" s="158"/>
      <c r="R6" s="158"/>
      <c r="S6" s="159" t="s">
        <v>14</v>
      </c>
      <c r="T6" s="159"/>
      <c r="U6" s="158" t="s">
        <v>13</v>
      </c>
      <c r="V6" s="160"/>
      <c r="W6" s="44"/>
      <c r="X6" s="180" t="s">
        <v>12</v>
      </c>
      <c r="Y6" s="160"/>
    </row>
    <row r="7" spans="1:27" ht="45" customHeight="1">
      <c r="A7" s="52" t="s">
        <v>54</v>
      </c>
      <c r="B7" s="52" t="s">
        <v>25</v>
      </c>
      <c r="C7" s="1086"/>
      <c r="D7" s="1088" t="s">
        <v>21</v>
      </c>
      <c r="E7" s="1088" t="s">
        <v>20</v>
      </c>
      <c r="F7" s="1088" t="s">
        <v>19</v>
      </c>
      <c r="G7" s="1088" t="s">
        <v>18</v>
      </c>
      <c r="H7" s="1084" t="s">
        <v>17</v>
      </c>
      <c r="I7" s="139" t="s">
        <v>40</v>
      </c>
      <c r="J7" s="140" t="s">
        <v>51</v>
      </c>
      <c r="K7" s="140" t="s">
        <v>104</v>
      </c>
      <c r="L7" s="141" t="s">
        <v>42</v>
      </c>
      <c r="M7" s="144" t="s">
        <v>41</v>
      </c>
      <c r="N7" s="139" t="s">
        <v>53</v>
      </c>
      <c r="O7" s="144" t="s">
        <v>42</v>
      </c>
      <c r="P7" s="140" t="s">
        <v>40</v>
      </c>
      <c r="Q7" s="145" t="s">
        <v>52</v>
      </c>
      <c r="R7" s="145" t="s">
        <v>105</v>
      </c>
      <c r="S7" s="141" t="s">
        <v>42</v>
      </c>
      <c r="T7" s="146" t="s">
        <v>41</v>
      </c>
      <c r="U7" s="139" t="s">
        <v>40</v>
      </c>
      <c r="V7" s="161" t="s">
        <v>42</v>
      </c>
      <c r="W7" s="43"/>
      <c r="X7" s="181" t="s">
        <v>11</v>
      </c>
      <c r="Y7" s="182" t="s">
        <v>10</v>
      </c>
    </row>
    <row r="8" spans="1:27" ht="20.25" customHeight="1">
      <c r="A8" s="12" t="str">
        <f t="shared" ref="A8:A27" si="0">$B8&amp;"_"&amp;$C$3&amp;"_"&amp;$C$2</f>
        <v>TSX:T_2018_</v>
      </c>
      <c r="B8" s="12" t="s">
        <v>102</v>
      </c>
      <c r="C8" s="189" t="str">
        <f t="shared" ref="C8:C27" si="1">IFERROR(INDEX(Raw_Data,MATCH($A8,Look_Up,0),MATCH(C$4,Component,0)),"-")</f>
        <v>-</v>
      </c>
      <c r="D8" s="115">
        <f ca="1">_xll.ciqfunctions.udf.CIQ(B8, "IQ_MARKETCAP", $A$1,$A$2)</f>
        <v>31919.759999999998</v>
      </c>
      <c r="E8" s="115">
        <f ca="1">_xll.ciqfunctions.udf.CIQ($B8, "IQ_TEV", $A$1,$A$2)</f>
        <v>61771.76</v>
      </c>
      <c r="F8" s="116" t="str">
        <f t="shared" ref="F8:G27" si="2">IFERROR(INDEX(Raw_Data,MATCH($A8,Look_Up,0),MATCH(F$4,Component,0)),"-")</f>
        <v>-</v>
      </c>
      <c r="G8" s="116" t="str">
        <f t="shared" si="2"/>
        <v>-</v>
      </c>
      <c r="H8" s="115" t="str">
        <f t="shared" ref="H8:I27" si="3">IFERROR(INDEX(Raw_Data,MATCH($A8,Look_Up,0),MATCH(H$4,Component,0))/1000,"-")</f>
        <v>-</v>
      </c>
      <c r="I8" s="117" t="str">
        <f t="shared" si="3"/>
        <v>-</v>
      </c>
      <c r="J8" s="118" t="str">
        <f t="shared" ref="J8:K27" si="4">IFERROR(INDEX(Raw_Data,MATCH($A8,Look_Up,0),MATCH(J$4,Component,0)),"-")</f>
        <v>-</v>
      </c>
      <c r="K8" s="118" t="str">
        <f t="shared" si="4"/>
        <v>-</v>
      </c>
      <c r="L8" s="119" t="str">
        <f t="shared" ref="L8:L27" si="5">IFERROR(INDEX(Raw_Data,MATCH($A8,Look_Up,0),MATCH(L$4,Component,0))/1000,"-")</f>
        <v>-</v>
      </c>
      <c r="M8" s="120" t="str">
        <f t="shared" ref="M8:M27" si="6">IFERROR(INDEX(Raw_Data,MATCH($A8,Look_Up,0),MATCH(M$4,Component,0)),"-")</f>
        <v>-</v>
      </c>
      <c r="N8" s="117" t="str">
        <f t="shared" ref="N8:P27" si="7">IFERROR(INDEX(Raw_Data,MATCH($A8,Look_Up,0),MATCH(N$4,Component,0))/1000,"-")</f>
        <v>-</v>
      </c>
      <c r="O8" s="121" t="str">
        <f t="shared" si="7"/>
        <v>-</v>
      </c>
      <c r="P8" s="117" t="str">
        <f t="shared" si="7"/>
        <v>-</v>
      </c>
      <c r="Q8" s="118" t="str">
        <f t="shared" ref="Q8:R27" si="8">IFERROR(INDEX(Raw_Data,MATCH($A8,Look_Up,0),MATCH(Q$4,Component,0)),"-")</f>
        <v>-</v>
      </c>
      <c r="R8" s="118" t="str">
        <f t="shared" si="8"/>
        <v>-</v>
      </c>
      <c r="S8" s="119" t="str">
        <f t="shared" ref="S8:S27" si="9">IFERROR(INDEX(Raw_Data,MATCH($A8,Look_Up,0),MATCH(S$4,Component,0))/1000,"-")</f>
        <v>-</v>
      </c>
      <c r="T8" s="120" t="str">
        <f t="shared" ref="T8:T27" si="10">IFERROR(INDEX(Raw_Data,MATCH($A8,Look_Up,0),MATCH(T$4,Component,0)),"-")</f>
        <v>-</v>
      </c>
      <c r="U8" s="117" t="str">
        <f t="shared" ref="U8:V27" si="11">IFERROR(INDEX(Raw_Data,MATCH($A8,Look_Up,0),MATCH(U$4,Component,0))/1000,"-")</f>
        <v>-</v>
      </c>
      <c r="V8" s="162" t="str">
        <f t="shared" si="11"/>
        <v>-</v>
      </c>
      <c r="W8" s="28"/>
      <c r="X8" s="198" t="str">
        <f t="shared" ref="X8:X27" si="12">IFERROR(N8/U8,"-")</f>
        <v>-</v>
      </c>
      <c r="Y8" s="199" t="str">
        <f t="shared" ref="Y8:Y27" si="13">IFERROR(P8/U8,"-")</f>
        <v>-</v>
      </c>
      <c r="AA8" s="36"/>
    </row>
    <row r="9" spans="1:27" ht="20.25" customHeight="1">
      <c r="A9" s="12" t="str">
        <f t="shared" si="0"/>
        <v>TSX:S_2018_</v>
      </c>
      <c r="B9" s="12" t="s">
        <v>101</v>
      </c>
      <c r="C9" s="189" t="str">
        <f t="shared" si="1"/>
        <v>-</v>
      </c>
      <c r="D9" s="115">
        <f ca="1">_xll.ciqfunctions.udf.CIQ(B9, "IQ_MARKETCAP", $A$1,$A$2)</f>
        <v>62.036090000000002</v>
      </c>
      <c r="E9" s="115">
        <f ca="1">_xll.ciqfunctions.udf.CIQ($B9, "IQ_TEV", $A$1,$A$2)</f>
        <v>267.43608999999998</v>
      </c>
      <c r="F9" s="116" t="str">
        <f t="shared" si="2"/>
        <v>-</v>
      </c>
      <c r="G9" s="116" t="str">
        <f t="shared" si="2"/>
        <v>-</v>
      </c>
      <c r="H9" s="115" t="str">
        <f t="shared" si="3"/>
        <v>-</v>
      </c>
      <c r="I9" s="117" t="str">
        <f t="shared" si="3"/>
        <v>-</v>
      </c>
      <c r="J9" s="118" t="str">
        <f t="shared" si="4"/>
        <v>-</v>
      </c>
      <c r="K9" s="118" t="str">
        <f t="shared" si="4"/>
        <v>-</v>
      </c>
      <c r="L9" s="119" t="str">
        <f t="shared" si="5"/>
        <v>-</v>
      </c>
      <c r="M9" s="120" t="str">
        <f t="shared" si="6"/>
        <v>-</v>
      </c>
      <c r="N9" s="117" t="str">
        <f t="shared" si="7"/>
        <v>-</v>
      </c>
      <c r="O9" s="121" t="str">
        <f t="shared" si="7"/>
        <v>-</v>
      </c>
      <c r="P9" s="117" t="str">
        <f t="shared" si="7"/>
        <v>-</v>
      </c>
      <c r="Q9" s="118" t="str">
        <f t="shared" si="8"/>
        <v>-</v>
      </c>
      <c r="R9" s="118" t="str">
        <f t="shared" si="8"/>
        <v>-</v>
      </c>
      <c r="S9" s="119" t="str">
        <f t="shared" si="9"/>
        <v>-</v>
      </c>
      <c r="T9" s="120" t="str">
        <f t="shared" si="10"/>
        <v>-</v>
      </c>
      <c r="U9" s="117" t="str">
        <f t="shared" si="11"/>
        <v>-</v>
      </c>
      <c r="V9" s="162" t="str">
        <f t="shared" si="11"/>
        <v>-</v>
      </c>
      <c r="W9" s="28"/>
      <c r="X9" s="198" t="str">
        <f t="shared" si="12"/>
        <v>-</v>
      </c>
      <c r="Y9" s="199" t="str">
        <f t="shared" si="13"/>
        <v>-</v>
      </c>
      <c r="AA9" s="36"/>
    </row>
    <row r="10" spans="1:27" ht="20.25" customHeight="1">
      <c r="A10" s="12" t="str">
        <f t="shared" si="0"/>
        <v>TSX:R_2018_</v>
      </c>
      <c r="B10" s="12" t="s">
        <v>100</v>
      </c>
      <c r="C10" s="189" t="str">
        <f t="shared" si="1"/>
        <v>-</v>
      </c>
      <c r="D10" s="115" t="str">
        <f ca="1">_xll.ciqfunctions.udf.CIQ(B10, "IQ_MARKETCAP", $A$1,$A$2)</f>
        <v>(Invalid Identifier)</v>
      </c>
      <c r="E10" s="115" t="str">
        <f ca="1">_xll.ciqfunctions.udf.CIQ($B10, "IQ_TEV", $A$1,$A$2)</f>
        <v>(Invalid Identifier)</v>
      </c>
      <c r="F10" s="116" t="str">
        <f t="shared" si="2"/>
        <v>-</v>
      </c>
      <c r="G10" s="116" t="str">
        <f t="shared" si="2"/>
        <v>-</v>
      </c>
      <c r="H10" s="115" t="str">
        <f t="shared" si="3"/>
        <v>-</v>
      </c>
      <c r="I10" s="117" t="str">
        <f t="shared" si="3"/>
        <v>-</v>
      </c>
      <c r="J10" s="118" t="str">
        <f t="shared" si="4"/>
        <v>-</v>
      </c>
      <c r="K10" s="118" t="str">
        <f t="shared" si="4"/>
        <v>-</v>
      </c>
      <c r="L10" s="119" t="str">
        <f t="shared" si="5"/>
        <v>-</v>
      </c>
      <c r="M10" s="120" t="str">
        <f t="shared" si="6"/>
        <v>-</v>
      </c>
      <c r="N10" s="117" t="str">
        <f t="shared" si="7"/>
        <v>-</v>
      </c>
      <c r="O10" s="121" t="str">
        <f t="shared" si="7"/>
        <v>-</v>
      </c>
      <c r="P10" s="117" t="str">
        <f t="shared" si="7"/>
        <v>-</v>
      </c>
      <c r="Q10" s="118" t="str">
        <f t="shared" si="8"/>
        <v>-</v>
      </c>
      <c r="R10" s="118" t="str">
        <f t="shared" si="8"/>
        <v>-</v>
      </c>
      <c r="S10" s="119" t="str">
        <f t="shared" si="9"/>
        <v>-</v>
      </c>
      <c r="T10" s="120" t="str">
        <f t="shared" si="10"/>
        <v>-</v>
      </c>
      <c r="U10" s="117" t="str">
        <f t="shared" si="11"/>
        <v>-</v>
      </c>
      <c r="V10" s="162" t="str">
        <f t="shared" si="11"/>
        <v>-</v>
      </c>
      <c r="W10" s="28"/>
      <c r="X10" s="198" t="str">
        <f t="shared" si="12"/>
        <v>-</v>
      </c>
      <c r="Y10" s="199" t="str">
        <f t="shared" si="13"/>
        <v>-</v>
      </c>
      <c r="AA10" s="36"/>
    </row>
    <row r="11" spans="1:27" ht="20.25" customHeight="1">
      <c r="A11" s="12" t="str">
        <f t="shared" si="0"/>
        <v>TSX:Q_2018_</v>
      </c>
      <c r="B11" s="12" t="s">
        <v>99</v>
      </c>
      <c r="C11" s="189" t="str">
        <f t="shared" si="1"/>
        <v>-</v>
      </c>
      <c r="D11" s="115" t="str">
        <f ca="1">_xll.ciqfunctions.udf.CIQ(B11, "IQ_MARKETCAP", $A$1,$A$2)</f>
        <v>(Invalid Identifier)</v>
      </c>
      <c r="E11" s="115" t="str">
        <f ca="1">_xll.ciqfunctions.udf.CIQ($B11, "IQ_TEV", $A$1,$A$2)</f>
        <v>(Invalid Identifier)</v>
      </c>
      <c r="F11" s="116" t="str">
        <f t="shared" si="2"/>
        <v>-</v>
      </c>
      <c r="G11" s="116" t="str">
        <f t="shared" si="2"/>
        <v>-</v>
      </c>
      <c r="H11" s="115" t="str">
        <f t="shared" si="3"/>
        <v>-</v>
      </c>
      <c r="I11" s="117" t="str">
        <f t="shared" si="3"/>
        <v>-</v>
      </c>
      <c r="J11" s="118" t="str">
        <f t="shared" si="4"/>
        <v>-</v>
      </c>
      <c r="K11" s="118" t="str">
        <f t="shared" si="4"/>
        <v>-</v>
      </c>
      <c r="L11" s="119" t="str">
        <f t="shared" si="5"/>
        <v>-</v>
      </c>
      <c r="M11" s="120" t="str">
        <f t="shared" si="6"/>
        <v>-</v>
      </c>
      <c r="N11" s="117" t="str">
        <f t="shared" si="7"/>
        <v>-</v>
      </c>
      <c r="O11" s="121" t="str">
        <f t="shared" si="7"/>
        <v>-</v>
      </c>
      <c r="P11" s="117" t="str">
        <f t="shared" si="7"/>
        <v>-</v>
      </c>
      <c r="Q11" s="118" t="str">
        <f t="shared" si="8"/>
        <v>-</v>
      </c>
      <c r="R11" s="118" t="str">
        <f t="shared" si="8"/>
        <v>-</v>
      </c>
      <c r="S11" s="119" t="str">
        <f t="shared" si="9"/>
        <v>-</v>
      </c>
      <c r="T11" s="120" t="str">
        <f t="shared" si="10"/>
        <v>-</v>
      </c>
      <c r="U11" s="117" t="str">
        <f t="shared" si="11"/>
        <v>-</v>
      </c>
      <c r="V11" s="162" t="str">
        <f t="shared" si="11"/>
        <v>-</v>
      </c>
      <c r="W11" s="28"/>
      <c r="X11" s="198" t="str">
        <f t="shared" si="12"/>
        <v>-</v>
      </c>
      <c r="Y11" s="199" t="str">
        <f t="shared" si="13"/>
        <v>-</v>
      </c>
      <c r="AA11" s="36"/>
    </row>
    <row r="12" spans="1:27" ht="20.25" customHeight="1">
      <c r="A12" s="12" t="str">
        <f t="shared" si="0"/>
        <v>TSX:P_2018_</v>
      </c>
      <c r="B12" s="12" t="s">
        <v>98</v>
      </c>
      <c r="C12" s="189" t="str">
        <f t="shared" si="1"/>
        <v>-</v>
      </c>
      <c r="D12" s="115" t="str">
        <f ca="1">_xll.ciqfunctions.udf.CIQ(B12, "IQ_MARKETCAP", $A$1,$A$2)</f>
        <v>(Invalid Identifier)</v>
      </c>
      <c r="E12" s="115" t="str">
        <f ca="1">_xll.ciqfunctions.udf.CIQ($B12, "IQ_TEV", $A$1,$A$2)</f>
        <v>(Invalid Identifier)</v>
      </c>
      <c r="F12" s="116" t="str">
        <f t="shared" si="2"/>
        <v>-</v>
      </c>
      <c r="G12" s="116" t="str">
        <f t="shared" si="2"/>
        <v>-</v>
      </c>
      <c r="H12" s="115" t="str">
        <f t="shared" si="3"/>
        <v>-</v>
      </c>
      <c r="I12" s="117" t="str">
        <f t="shared" si="3"/>
        <v>-</v>
      </c>
      <c r="J12" s="118" t="str">
        <f t="shared" si="4"/>
        <v>-</v>
      </c>
      <c r="K12" s="118" t="str">
        <f t="shared" si="4"/>
        <v>-</v>
      </c>
      <c r="L12" s="119" t="str">
        <f t="shared" si="5"/>
        <v>-</v>
      </c>
      <c r="M12" s="120" t="str">
        <f t="shared" si="6"/>
        <v>-</v>
      </c>
      <c r="N12" s="117" t="str">
        <f t="shared" si="7"/>
        <v>-</v>
      </c>
      <c r="O12" s="121" t="str">
        <f t="shared" si="7"/>
        <v>-</v>
      </c>
      <c r="P12" s="117" t="str">
        <f t="shared" si="7"/>
        <v>-</v>
      </c>
      <c r="Q12" s="118" t="str">
        <f t="shared" si="8"/>
        <v>-</v>
      </c>
      <c r="R12" s="118" t="str">
        <f t="shared" si="8"/>
        <v>-</v>
      </c>
      <c r="S12" s="119" t="str">
        <f t="shared" si="9"/>
        <v>-</v>
      </c>
      <c r="T12" s="120" t="str">
        <f t="shared" si="10"/>
        <v>-</v>
      </c>
      <c r="U12" s="117" t="str">
        <f t="shared" si="11"/>
        <v>-</v>
      </c>
      <c r="V12" s="162" t="str">
        <f t="shared" si="11"/>
        <v>-</v>
      </c>
      <c r="W12" s="28"/>
      <c r="X12" s="198" t="str">
        <f t="shared" si="12"/>
        <v>-</v>
      </c>
      <c r="Y12" s="199" t="str">
        <f t="shared" si="13"/>
        <v>-</v>
      </c>
      <c r="AA12" s="36"/>
    </row>
    <row r="13" spans="1:27" ht="20.25" customHeight="1">
      <c r="A13" s="12" t="str">
        <f t="shared" si="0"/>
        <v>TSX:O_2018_</v>
      </c>
      <c r="B13" s="12" t="s">
        <v>97</v>
      </c>
      <c r="C13" s="189" t="str">
        <f t="shared" si="1"/>
        <v>-</v>
      </c>
      <c r="D13" s="115" t="str">
        <f ca="1">_xll.ciqfunctions.udf.CIQ(B13, "IQ_MARKETCAP", $A$1,$A$2)</f>
        <v>(Invalid Identifier)</v>
      </c>
      <c r="E13" s="115" t="str">
        <f ca="1">_xll.ciqfunctions.udf.CIQ($B13, "IQ_TEV", $A$1,$A$2)</f>
        <v>(Invalid Identifier)</v>
      </c>
      <c r="F13" s="116" t="str">
        <f t="shared" si="2"/>
        <v>-</v>
      </c>
      <c r="G13" s="116" t="str">
        <f t="shared" si="2"/>
        <v>-</v>
      </c>
      <c r="H13" s="115" t="str">
        <f t="shared" si="3"/>
        <v>-</v>
      </c>
      <c r="I13" s="117" t="str">
        <f t="shared" si="3"/>
        <v>-</v>
      </c>
      <c r="J13" s="118" t="str">
        <f t="shared" si="4"/>
        <v>-</v>
      </c>
      <c r="K13" s="118" t="str">
        <f t="shared" si="4"/>
        <v>-</v>
      </c>
      <c r="L13" s="119" t="str">
        <f t="shared" si="5"/>
        <v>-</v>
      </c>
      <c r="M13" s="120" t="str">
        <f t="shared" si="6"/>
        <v>-</v>
      </c>
      <c r="N13" s="117" t="str">
        <f t="shared" si="7"/>
        <v>-</v>
      </c>
      <c r="O13" s="121" t="str">
        <f t="shared" si="7"/>
        <v>-</v>
      </c>
      <c r="P13" s="117" t="str">
        <f t="shared" si="7"/>
        <v>-</v>
      </c>
      <c r="Q13" s="118" t="str">
        <f t="shared" si="8"/>
        <v>-</v>
      </c>
      <c r="R13" s="118" t="str">
        <f t="shared" si="8"/>
        <v>-</v>
      </c>
      <c r="S13" s="119" t="str">
        <f t="shared" si="9"/>
        <v>-</v>
      </c>
      <c r="T13" s="120" t="str">
        <f t="shared" si="10"/>
        <v>-</v>
      </c>
      <c r="U13" s="117" t="str">
        <f t="shared" si="11"/>
        <v>-</v>
      </c>
      <c r="V13" s="162" t="str">
        <f t="shared" si="11"/>
        <v>-</v>
      </c>
      <c r="W13" s="28"/>
      <c r="X13" s="198" t="str">
        <f t="shared" si="12"/>
        <v>-</v>
      </c>
      <c r="Y13" s="199" t="str">
        <f t="shared" si="13"/>
        <v>-</v>
      </c>
      <c r="AA13" s="36"/>
    </row>
    <row r="14" spans="1:27" ht="20.25" customHeight="1">
      <c r="A14" s="12" t="str">
        <f t="shared" si="0"/>
        <v>TSX:N_2018_</v>
      </c>
      <c r="B14" s="12" t="s">
        <v>96</v>
      </c>
      <c r="C14" s="189" t="str">
        <f t="shared" si="1"/>
        <v>-</v>
      </c>
      <c r="D14" s="115" t="str">
        <f ca="1">_xll.ciqfunctions.udf.CIQ(B14, "IQ_MARKETCAP", $A$1,$A$2)</f>
        <v>(Invalid Identifier)</v>
      </c>
      <c r="E14" s="115" t="str">
        <f ca="1">_xll.ciqfunctions.udf.CIQ($B14, "IQ_TEV", $A$1,$A$2)</f>
        <v>(Invalid Identifier)</v>
      </c>
      <c r="F14" s="116" t="str">
        <f t="shared" si="2"/>
        <v>-</v>
      </c>
      <c r="G14" s="116" t="str">
        <f t="shared" si="2"/>
        <v>-</v>
      </c>
      <c r="H14" s="115" t="str">
        <f t="shared" si="3"/>
        <v>-</v>
      </c>
      <c r="I14" s="117" t="str">
        <f t="shared" si="3"/>
        <v>-</v>
      </c>
      <c r="J14" s="118" t="str">
        <f t="shared" si="4"/>
        <v>-</v>
      </c>
      <c r="K14" s="118" t="str">
        <f t="shared" si="4"/>
        <v>-</v>
      </c>
      <c r="L14" s="119" t="str">
        <f t="shared" si="5"/>
        <v>-</v>
      </c>
      <c r="M14" s="120" t="str">
        <f t="shared" si="6"/>
        <v>-</v>
      </c>
      <c r="N14" s="117" t="str">
        <f t="shared" si="7"/>
        <v>-</v>
      </c>
      <c r="O14" s="121" t="str">
        <f t="shared" si="7"/>
        <v>-</v>
      </c>
      <c r="P14" s="117" t="str">
        <f t="shared" si="7"/>
        <v>-</v>
      </c>
      <c r="Q14" s="118" t="str">
        <f t="shared" si="8"/>
        <v>-</v>
      </c>
      <c r="R14" s="118" t="str">
        <f t="shared" si="8"/>
        <v>-</v>
      </c>
      <c r="S14" s="119" t="str">
        <f t="shared" si="9"/>
        <v>-</v>
      </c>
      <c r="T14" s="120" t="str">
        <f t="shared" si="10"/>
        <v>-</v>
      </c>
      <c r="U14" s="117" t="str">
        <f t="shared" si="11"/>
        <v>-</v>
      </c>
      <c r="V14" s="162" t="str">
        <f t="shared" si="11"/>
        <v>-</v>
      </c>
      <c r="W14" s="28"/>
      <c r="X14" s="198" t="str">
        <f t="shared" si="12"/>
        <v>-</v>
      </c>
      <c r="Y14" s="199" t="str">
        <f t="shared" si="13"/>
        <v>-</v>
      </c>
      <c r="AA14" s="36"/>
    </row>
    <row r="15" spans="1:27" ht="20.25" customHeight="1">
      <c r="A15" s="12" t="str">
        <f t="shared" si="0"/>
        <v>TSX:M_2018_</v>
      </c>
      <c r="B15" s="12" t="s">
        <v>95</v>
      </c>
      <c r="C15" s="189" t="str">
        <f t="shared" si="1"/>
        <v>-</v>
      </c>
      <c r="D15" s="115" t="str">
        <f ca="1">_xll.ciqfunctions.udf.CIQ(B15, "IQ_MARKETCAP", $A$1,$A$2)</f>
        <v>(Invalid Identifier)</v>
      </c>
      <c r="E15" s="115" t="str">
        <f ca="1">_xll.ciqfunctions.udf.CIQ($B15, "IQ_TEV", $A$1,$A$2)</f>
        <v>(Invalid Identifier)</v>
      </c>
      <c r="F15" s="116" t="str">
        <f t="shared" si="2"/>
        <v>-</v>
      </c>
      <c r="G15" s="116" t="str">
        <f t="shared" si="2"/>
        <v>-</v>
      </c>
      <c r="H15" s="115" t="str">
        <f t="shared" si="3"/>
        <v>-</v>
      </c>
      <c r="I15" s="117" t="str">
        <f t="shared" si="3"/>
        <v>-</v>
      </c>
      <c r="J15" s="118" t="str">
        <f t="shared" si="4"/>
        <v>-</v>
      </c>
      <c r="K15" s="118" t="str">
        <f t="shared" si="4"/>
        <v>-</v>
      </c>
      <c r="L15" s="119" t="str">
        <f t="shared" si="5"/>
        <v>-</v>
      </c>
      <c r="M15" s="120" t="str">
        <f t="shared" si="6"/>
        <v>-</v>
      </c>
      <c r="N15" s="117" t="str">
        <f t="shared" si="7"/>
        <v>-</v>
      </c>
      <c r="O15" s="121" t="str">
        <f t="shared" si="7"/>
        <v>-</v>
      </c>
      <c r="P15" s="117" t="str">
        <f t="shared" si="7"/>
        <v>-</v>
      </c>
      <c r="Q15" s="118" t="str">
        <f t="shared" si="8"/>
        <v>-</v>
      </c>
      <c r="R15" s="118" t="str">
        <f t="shared" si="8"/>
        <v>-</v>
      </c>
      <c r="S15" s="119" t="str">
        <f t="shared" si="9"/>
        <v>-</v>
      </c>
      <c r="T15" s="120" t="str">
        <f t="shared" si="10"/>
        <v>-</v>
      </c>
      <c r="U15" s="117" t="str">
        <f t="shared" si="11"/>
        <v>-</v>
      </c>
      <c r="V15" s="162" t="str">
        <f t="shared" si="11"/>
        <v>-</v>
      </c>
      <c r="W15" s="28"/>
      <c r="X15" s="198" t="str">
        <f t="shared" si="12"/>
        <v>-</v>
      </c>
      <c r="Y15" s="199" t="str">
        <f t="shared" si="13"/>
        <v>-</v>
      </c>
      <c r="AA15" s="36"/>
    </row>
    <row r="16" spans="1:27" ht="20.25" customHeight="1">
      <c r="A16" s="12" t="str">
        <f t="shared" si="0"/>
        <v>TSX:L_2018_</v>
      </c>
      <c r="B16" s="12" t="s">
        <v>94</v>
      </c>
      <c r="C16" s="189" t="str">
        <f t="shared" si="1"/>
        <v>-</v>
      </c>
      <c r="D16" s="115">
        <f ca="1">_xll.ciqfunctions.udf.CIQ(B16, "IQ_MARKETCAP", $A$1,$A$2)</f>
        <v>69884.249859999996</v>
      </c>
      <c r="E16" s="115">
        <f ca="1">_xll.ciqfunctions.udf.CIQ($B16, "IQ_TEV", $A$1,$A$2)</f>
        <v>87934.249849999993</v>
      </c>
      <c r="F16" s="116" t="str">
        <f t="shared" si="2"/>
        <v>-</v>
      </c>
      <c r="G16" s="116" t="str">
        <f t="shared" si="2"/>
        <v>-</v>
      </c>
      <c r="H16" s="115" t="str">
        <f t="shared" si="3"/>
        <v>-</v>
      </c>
      <c r="I16" s="117" t="str">
        <f t="shared" si="3"/>
        <v>-</v>
      </c>
      <c r="J16" s="118" t="str">
        <f t="shared" si="4"/>
        <v>-</v>
      </c>
      <c r="K16" s="118" t="str">
        <f t="shared" si="4"/>
        <v>-</v>
      </c>
      <c r="L16" s="119" t="str">
        <f t="shared" si="5"/>
        <v>-</v>
      </c>
      <c r="M16" s="120" t="str">
        <f t="shared" si="6"/>
        <v>-</v>
      </c>
      <c r="N16" s="117" t="str">
        <f t="shared" si="7"/>
        <v>-</v>
      </c>
      <c r="O16" s="121" t="str">
        <f t="shared" si="7"/>
        <v>-</v>
      </c>
      <c r="P16" s="117" t="str">
        <f t="shared" si="7"/>
        <v>-</v>
      </c>
      <c r="Q16" s="118" t="str">
        <f t="shared" si="8"/>
        <v>-</v>
      </c>
      <c r="R16" s="118" t="str">
        <f t="shared" si="8"/>
        <v>-</v>
      </c>
      <c r="S16" s="119" t="str">
        <f t="shared" si="9"/>
        <v>-</v>
      </c>
      <c r="T16" s="120" t="str">
        <f t="shared" si="10"/>
        <v>-</v>
      </c>
      <c r="U16" s="117" t="str">
        <f t="shared" si="11"/>
        <v>-</v>
      </c>
      <c r="V16" s="162" t="str">
        <f t="shared" si="11"/>
        <v>-</v>
      </c>
      <c r="W16" s="28"/>
      <c r="X16" s="198" t="str">
        <f t="shared" si="12"/>
        <v>-</v>
      </c>
      <c r="Y16" s="199" t="str">
        <f t="shared" si="13"/>
        <v>-</v>
      </c>
      <c r="AA16" s="36"/>
    </row>
    <row r="17" spans="1:27" ht="20.25" customHeight="1">
      <c r="A17" s="12" t="str">
        <f t="shared" si="0"/>
        <v>TSX:K_2018_</v>
      </c>
      <c r="B17" s="12" t="s">
        <v>93</v>
      </c>
      <c r="C17" s="189" t="str">
        <f t="shared" si="1"/>
        <v>-</v>
      </c>
      <c r="D17" s="115">
        <f ca="1">_xll.ciqfunctions.udf.CIQ(B17, "IQ_MARKETCAP", $A$1,$A$2)</f>
        <v>43214.18</v>
      </c>
      <c r="E17" s="115">
        <f ca="1">_xll.ciqfunctions.udf.CIQ($B17, "IQ_TEV", $A$1,$A$2)</f>
        <v>42579.7186</v>
      </c>
      <c r="F17" s="116" t="str">
        <f t="shared" si="2"/>
        <v>-</v>
      </c>
      <c r="G17" s="116" t="str">
        <f t="shared" si="2"/>
        <v>-</v>
      </c>
      <c r="H17" s="115" t="str">
        <f t="shared" si="3"/>
        <v>-</v>
      </c>
      <c r="I17" s="117" t="str">
        <f t="shared" si="3"/>
        <v>-</v>
      </c>
      <c r="J17" s="118" t="str">
        <f t="shared" si="4"/>
        <v>-</v>
      </c>
      <c r="K17" s="118" t="str">
        <f t="shared" si="4"/>
        <v>-</v>
      </c>
      <c r="L17" s="119" t="str">
        <f t="shared" si="5"/>
        <v>-</v>
      </c>
      <c r="M17" s="120" t="str">
        <f t="shared" si="6"/>
        <v>-</v>
      </c>
      <c r="N17" s="117" t="str">
        <f t="shared" si="7"/>
        <v>-</v>
      </c>
      <c r="O17" s="121" t="str">
        <f t="shared" si="7"/>
        <v>-</v>
      </c>
      <c r="P17" s="117" t="str">
        <f t="shared" si="7"/>
        <v>-</v>
      </c>
      <c r="Q17" s="118" t="str">
        <f t="shared" si="8"/>
        <v>-</v>
      </c>
      <c r="R17" s="118" t="str">
        <f t="shared" si="8"/>
        <v>-</v>
      </c>
      <c r="S17" s="119" t="str">
        <f t="shared" si="9"/>
        <v>-</v>
      </c>
      <c r="T17" s="120" t="str">
        <f t="shared" si="10"/>
        <v>-</v>
      </c>
      <c r="U17" s="117" t="str">
        <f t="shared" si="11"/>
        <v>-</v>
      </c>
      <c r="V17" s="162" t="str">
        <f t="shared" si="11"/>
        <v>-</v>
      </c>
      <c r="W17" s="28"/>
      <c r="X17" s="198" t="str">
        <f t="shared" si="12"/>
        <v>-</v>
      </c>
      <c r="Y17" s="199" t="str">
        <f t="shared" si="13"/>
        <v>-</v>
      </c>
      <c r="AA17" s="36"/>
    </row>
    <row r="18" spans="1:27" ht="20.25" customHeight="1">
      <c r="A18" s="12" t="str">
        <f t="shared" si="0"/>
        <v>TSX:J_2018_</v>
      </c>
      <c r="B18" s="12" t="s">
        <v>92</v>
      </c>
      <c r="C18" s="189" t="str">
        <f t="shared" si="1"/>
        <v>-</v>
      </c>
      <c r="D18" s="115">
        <f ca="1">_xll.ciqfunctions.udf.CIQ(B18, "IQ_MARKETCAP", $A$1,$A$2)</f>
        <v>0</v>
      </c>
      <c r="E18" s="115">
        <f ca="1">_xll.ciqfunctions.udf.CIQ($B18, "IQ_TEV", $A$1,$A$2)</f>
        <v>0</v>
      </c>
      <c r="F18" s="116" t="str">
        <f t="shared" si="2"/>
        <v>-</v>
      </c>
      <c r="G18" s="116" t="str">
        <f t="shared" si="2"/>
        <v>-</v>
      </c>
      <c r="H18" s="115" t="str">
        <f t="shared" si="3"/>
        <v>-</v>
      </c>
      <c r="I18" s="117" t="str">
        <f t="shared" si="3"/>
        <v>-</v>
      </c>
      <c r="J18" s="118" t="str">
        <f t="shared" si="4"/>
        <v>-</v>
      </c>
      <c r="K18" s="118" t="str">
        <f t="shared" si="4"/>
        <v>-</v>
      </c>
      <c r="L18" s="119" t="str">
        <f t="shared" si="5"/>
        <v>-</v>
      </c>
      <c r="M18" s="120" t="str">
        <f t="shared" si="6"/>
        <v>-</v>
      </c>
      <c r="N18" s="117" t="str">
        <f t="shared" si="7"/>
        <v>-</v>
      </c>
      <c r="O18" s="121" t="str">
        <f t="shared" si="7"/>
        <v>-</v>
      </c>
      <c r="P18" s="117" t="str">
        <f t="shared" si="7"/>
        <v>-</v>
      </c>
      <c r="Q18" s="118" t="str">
        <f t="shared" si="8"/>
        <v>-</v>
      </c>
      <c r="R18" s="118" t="str">
        <f t="shared" si="8"/>
        <v>-</v>
      </c>
      <c r="S18" s="119" t="str">
        <f t="shared" si="9"/>
        <v>-</v>
      </c>
      <c r="T18" s="120" t="str">
        <f t="shared" si="10"/>
        <v>-</v>
      </c>
      <c r="U18" s="117" t="str">
        <f t="shared" si="11"/>
        <v>-</v>
      </c>
      <c r="V18" s="162" t="str">
        <f t="shared" si="11"/>
        <v>-</v>
      </c>
      <c r="W18" s="28"/>
      <c r="X18" s="198" t="str">
        <f t="shared" si="12"/>
        <v>-</v>
      </c>
      <c r="Y18" s="199" t="str">
        <f t="shared" si="13"/>
        <v>-</v>
      </c>
      <c r="AA18" s="36"/>
    </row>
    <row r="19" spans="1:27" ht="20.25" customHeight="1">
      <c r="A19" s="12" t="str">
        <f t="shared" si="0"/>
        <v>TSX:I_2018_</v>
      </c>
      <c r="B19" s="12" t="s">
        <v>91</v>
      </c>
      <c r="C19" s="189" t="str">
        <f t="shared" si="1"/>
        <v>-</v>
      </c>
      <c r="D19" s="115" t="str">
        <f ca="1">_xll.ciqfunctions.udf.CIQ(B19, "IQ_MARKETCAP", $A$1,$A$2)</f>
        <v>(Invalid Identifier)</v>
      </c>
      <c r="E19" s="115" t="str">
        <f ca="1">_xll.ciqfunctions.udf.CIQ($B19, "IQ_TEV", $A$1,$A$2)</f>
        <v>(Invalid Identifier)</v>
      </c>
      <c r="F19" s="116" t="str">
        <f t="shared" si="2"/>
        <v>-</v>
      </c>
      <c r="G19" s="116" t="str">
        <f t="shared" si="2"/>
        <v>-</v>
      </c>
      <c r="H19" s="115" t="str">
        <f t="shared" si="3"/>
        <v>-</v>
      </c>
      <c r="I19" s="117" t="str">
        <f t="shared" si="3"/>
        <v>-</v>
      </c>
      <c r="J19" s="118" t="str">
        <f t="shared" si="4"/>
        <v>-</v>
      </c>
      <c r="K19" s="118" t="str">
        <f t="shared" si="4"/>
        <v>-</v>
      </c>
      <c r="L19" s="119" t="str">
        <f t="shared" si="5"/>
        <v>-</v>
      </c>
      <c r="M19" s="120" t="str">
        <f t="shared" si="6"/>
        <v>-</v>
      </c>
      <c r="N19" s="117" t="str">
        <f t="shared" si="7"/>
        <v>-</v>
      </c>
      <c r="O19" s="121" t="str">
        <f t="shared" si="7"/>
        <v>-</v>
      </c>
      <c r="P19" s="117" t="str">
        <f t="shared" si="7"/>
        <v>-</v>
      </c>
      <c r="Q19" s="118" t="str">
        <f t="shared" si="8"/>
        <v>-</v>
      </c>
      <c r="R19" s="118" t="str">
        <f t="shared" si="8"/>
        <v>-</v>
      </c>
      <c r="S19" s="119" t="str">
        <f t="shared" si="9"/>
        <v>-</v>
      </c>
      <c r="T19" s="120" t="str">
        <f t="shared" si="10"/>
        <v>-</v>
      </c>
      <c r="U19" s="117" t="str">
        <f t="shared" si="11"/>
        <v>-</v>
      </c>
      <c r="V19" s="162" t="str">
        <f t="shared" si="11"/>
        <v>-</v>
      </c>
      <c r="W19" s="28"/>
      <c r="X19" s="198" t="str">
        <f t="shared" si="12"/>
        <v>-</v>
      </c>
      <c r="Y19" s="199" t="str">
        <f t="shared" si="13"/>
        <v>-</v>
      </c>
      <c r="AA19" s="36"/>
    </row>
    <row r="20" spans="1:27" ht="20.25" customHeight="1">
      <c r="A20" s="12" t="str">
        <f t="shared" si="0"/>
        <v>TSX:H_2018_</v>
      </c>
      <c r="B20" s="12" t="s">
        <v>90</v>
      </c>
      <c r="C20" s="189" t="str">
        <f t="shared" si="1"/>
        <v>-</v>
      </c>
      <c r="D20" s="115">
        <f ca="1">_xll.ciqfunctions.udf.CIQ(B20, "IQ_MARKETCAP", $A$1,$A$2)</f>
        <v>32010.355250000001</v>
      </c>
      <c r="E20" s="115">
        <f ca="1">_xll.ciqfunctions.udf.CIQ($B20, "IQ_TEV", $A$1,$A$2)</f>
        <v>50504.355250000001</v>
      </c>
      <c r="F20" s="116" t="str">
        <f t="shared" si="2"/>
        <v>-</v>
      </c>
      <c r="G20" s="116" t="str">
        <f t="shared" si="2"/>
        <v>-</v>
      </c>
      <c r="H20" s="115" t="str">
        <f t="shared" si="3"/>
        <v>-</v>
      </c>
      <c r="I20" s="117" t="str">
        <f t="shared" si="3"/>
        <v>-</v>
      </c>
      <c r="J20" s="118" t="str">
        <f t="shared" si="4"/>
        <v>-</v>
      </c>
      <c r="K20" s="118" t="str">
        <f t="shared" si="4"/>
        <v>-</v>
      </c>
      <c r="L20" s="119" t="str">
        <f t="shared" si="5"/>
        <v>-</v>
      </c>
      <c r="M20" s="120" t="str">
        <f t="shared" si="6"/>
        <v>-</v>
      </c>
      <c r="N20" s="117" t="str">
        <f t="shared" si="7"/>
        <v>-</v>
      </c>
      <c r="O20" s="121" t="str">
        <f t="shared" si="7"/>
        <v>-</v>
      </c>
      <c r="P20" s="117" t="str">
        <f t="shared" si="7"/>
        <v>-</v>
      </c>
      <c r="Q20" s="118" t="str">
        <f t="shared" si="8"/>
        <v>-</v>
      </c>
      <c r="R20" s="118" t="str">
        <f t="shared" si="8"/>
        <v>-</v>
      </c>
      <c r="S20" s="119" t="str">
        <f t="shared" si="9"/>
        <v>-</v>
      </c>
      <c r="T20" s="120" t="str">
        <f t="shared" si="10"/>
        <v>-</v>
      </c>
      <c r="U20" s="117" t="str">
        <f t="shared" si="11"/>
        <v>-</v>
      </c>
      <c r="V20" s="162" t="str">
        <f t="shared" si="11"/>
        <v>-</v>
      </c>
      <c r="W20" s="28"/>
      <c r="X20" s="198" t="str">
        <f t="shared" si="12"/>
        <v>-</v>
      </c>
      <c r="Y20" s="199" t="str">
        <f t="shared" si="13"/>
        <v>-</v>
      </c>
      <c r="AA20" s="36"/>
    </row>
    <row r="21" spans="1:27" ht="20.25" customHeight="1">
      <c r="A21" s="12" t="str">
        <f t="shared" si="0"/>
        <v>TSX:G_2018_</v>
      </c>
      <c r="B21" s="12" t="s">
        <v>89</v>
      </c>
      <c r="C21" s="189" t="str">
        <f t="shared" si="1"/>
        <v>-</v>
      </c>
      <c r="D21" s="115">
        <f ca="1">_xll.ciqfunctions.udf.CIQ(B21, "IQ_MARKETCAP", $A$1,$A$2)</f>
        <v>0</v>
      </c>
      <c r="E21" s="115">
        <f ca="1">_xll.ciqfunctions.udf.CIQ($B21, "IQ_TEV", $A$1,$A$2)</f>
        <v>0</v>
      </c>
      <c r="F21" s="116" t="str">
        <f t="shared" si="2"/>
        <v>-</v>
      </c>
      <c r="G21" s="116" t="str">
        <f t="shared" si="2"/>
        <v>-</v>
      </c>
      <c r="H21" s="115" t="str">
        <f t="shared" si="3"/>
        <v>-</v>
      </c>
      <c r="I21" s="117" t="str">
        <f t="shared" si="3"/>
        <v>-</v>
      </c>
      <c r="J21" s="118" t="str">
        <f t="shared" si="4"/>
        <v>-</v>
      </c>
      <c r="K21" s="118" t="str">
        <f t="shared" si="4"/>
        <v>-</v>
      </c>
      <c r="L21" s="119" t="str">
        <f t="shared" si="5"/>
        <v>-</v>
      </c>
      <c r="M21" s="120" t="str">
        <f t="shared" si="6"/>
        <v>-</v>
      </c>
      <c r="N21" s="117" t="str">
        <f t="shared" si="7"/>
        <v>-</v>
      </c>
      <c r="O21" s="121" t="str">
        <f t="shared" si="7"/>
        <v>-</v>
      </c>
      <c r="P21" s="117" t="str">
        <f t="shared" si="7"/>
        <v>-</v>
      </c>
      <c r="Q21" s="118" t="str">
        <f t="shared" si="8"/>
        <v>-</v>
      </c>
      <c r="R21" s="118" t="str">
        <f t="shared" si="8"/>
        <v>-</v>
      </c>
      <c r="S21" s="119" t="str">
        <f t="shared" si="9"/>
        <v>-</v>
      </c>
      <c r="T21" s="120" t="str">
        <f t="shared" si="10"/>
        <v>-</v>
      </c>
      <c r="U21" s="117" t="str">
        <f t="shared" si="11"/>
        <v>-</v>
      </c>
      <c r="V21" s="162" t="str">
        <f t="shared" si="11"/>
        <v>-</v>
      </c>
      <c r="W21" s="28"/>
      <c r="X21" s="198" t="str">
        <f t="shared" si="12"/>
        <v>-</v>
      </c>
      <c r="Y21" s="199" t="str">
        <f t="shared" si="13"/>
        <v>-</v>
      </c>
      <c r="AA21" s="36"/>
    </row>
    <row r="22" spans="1:27" ht="20.25" customHeight="1">
      <c r="A22" s="12" t="str">
        <f t="shared" si="0"/>
        <v>TSX:F_2018_</v>
      </c>
      <c r="B22" s="12" t="s">
        <v>88</v>
      </c>
      <c r="C22" s="189" t="str">
        <f t="shared" si="1"/>
        <v>-</v>
      </c>
      <c r="D22" s="115" t="str">
        <f ca="1">_xll.ciqfunctions.udf.CIQ(B22, "IQ_MARKETCAP", $A$1,$A$2)</f>
        <v>(Invalid Identifier)</v>
      </c>
      <c r="E22" s="115" t="str">
        <f ca="1">_xll.ciqfunctions.udf.CIQ($B22, "IQ_TEV", $A$1,$A$2)</f>
        <v>(Invalid Identifier)</v>
      </c>
      <c r="F22" s="116" t="str">
        <f t="shared" si="2"/>
        <v>-</v>
      </c>
      <c r="G22" s="116" t="str">
        <f t="shared" si="2"/>
        <v>-</v>
      </c>
      <c r="H22" s="115" t="str">
        <f t="shared" si="3"/>
        <v>-</v>
      </c>
      <c r="I22" s="117" t="str">
        <f t="shared" si="3"/>
        <v>-</v>
      </c>
      <c r="J22" s="118" t="str">
        <f t="shared" si="4"/>
        <v>-</v>
      </c>
      <c r="K22" s="118" t="str">
        <f t="shared" si="4"/>
        <v>-</v>
      </c>
      <c r="L22" s="119" t="str">
        <f t="shared" si="5"/>
        <v>-</v>
      </c>
      <c r="M22" s="120" t="str">
        <f t="shared" si="6"/>
        <v>-</v>
      </c>
      <c r="N22" s="117" t="str">
        <f t="shared" si="7"/>
        <v>-</v>
      </c>
      <c r="O22" s="121" t="str">
        <f t="shared" si="7"/>
        <v>-</v>
      </c>
      <c r="P22" s="117" t="str">
        <f t="shared" si="7"/>
        <v>-</v>
      </c>
      <c r="Q22" s="118" t="str">
        <f t="shared" si="8"/>
        <v>-</v>
      </c>
      <c r="R22" s="118" t="str">
        <f t="shared" si="8"/>
        <v>-</v>
      </c>
      <c r="S22" s="119" t="str">
        <f t="shared" si="9"/>
        <v>-</v>
      </c>
      <c r="T22" s="120" t="str">
        <f t="shared" si="10"/>
        <v>-</v>
      </c>
      <c r="U22" s="117" t="str">
        <f t="shared" si="11"/>
        <v>-</v>
      </c>
      <c r="V22" s="162" t="str">
        <f t="shared" si="11"/>
        <v>-</v>
      </c>
      <c r="W22" s="28"/>
      <c r="X22" s="198" t="str">
        <f t="shared" si="12"/>
        <v>-</v>
      </c>
      <c r="Y22" s="199" t="str">
        <f t="shared" si="13"/>
        <v>-</v>
      </c>
      <c r="AA22" s="36"/>
    </row>
    <row r="23" spans="1:27" ht="20.25" customHeight="1">
      <c r="A23" s="12" t="str">
        <f t="shared" si="0"/>
        <v>TSX:E_2018_</v>
      </c>
      <c r="B23" s="12" t="s">
        <v>87</v>
      </c>
      <c r="C23" s="189" t="str">
        <f t="shared" si="1"/>
        <v>-</v>
      </c>
      <c r="D23" s="115">
        <f ca="1">_xll.ciqfunctions.udf.CIQ(B23, "IQ_MARKETCAP", $A$1,$A$2)</f>
        <v>102.16365999999999</v>
      </c>
      <c r="E23" s="115">
        <f ca="1">_xll.ciqfunctions.udf.CIQ($B23, "IQ_TEV", $A$1,$A$2)</f>
        <v>119.23239</v>
      </c>
      <c r="F23" s="116" t="str">
        <f t="shared" si="2"/>
        <v>-</v>
      </c>
      <c r="G23" s="116" t="str">
        <f t="shared" si="2"/>
        <v>-</v>
      </c>
      <c r="H23" s="115" t="str">
        <f t="shared" si="3"/>
        <v>-</v>
      </c>
      <c r="I23" s="117" t="str">
        <f t="shared" si="3"/>
        <v>-</v>
      </c>
      <c r="J23" s="118" t="str">
        <f t="shared" si="4"/>
        <v>-</v>
      </c>
      <c r="K23" s="118" t="str">
        <f t="shared" si="4"/>
        <v>-</v>
      </c>
      <c r="L23" s="119" t="str">
        <f t="shared" si="5"/>
        <v>-</v>
      </c>
      <c r="M23" s="120" t="str">
        <f t="shared" si="6"/>
        <v>-</v>
      </c>
      <c r="N23" s="117" t="str">
        <f t="shared" si="7"/>
        <v>-</v>
      </c>
      <c r="O23" s="121" t="str">
        <f t="shared" si="7"/>
        <v>-</v>
      </c>
      <c r="P23" s="117" t="str">
        <f t="shared" si="7"/>
        <v>-</v>
      </c>
      <c r="Q23" s="118" t="str">
        <f t="shared" si="8"/>
        <v>-</v>
      </c>
      <c r="R23" s="118" t="str">
        <f t="shared" si="8"/>
        <v>-</v>
      </c>
      <c r="S23" s="119" t="str">
        <f t="shared" si="9"/>
        <v>-</v>
      </c>
      <c r="T23" s="120" t="str">
        <f t="shared" si="10"/>
        <v>-</v>
      </c>
      <c r="U23" s="117" t="str">
        <f t="shared" si="11"/>
        <v>-</v>
      </c>
      <c r="V23" s="162" t="str">
        <f t="shared" si="11"/>
        <v>-</v>
      </c>
      <c r="W23" s="28"/>
      <c r="X23" s="198" t="str">
        <f t="shared" si="12"/>
        <v>-</v>
      </c>
      <c r="Y23" s="199" t="str">
        <f t="shared" si="13"/>
        <v>-</v>
      </c>
      <c r="AA23" s="36"/>
    </row>
    <row r="24" spans="1:27" ht="20.25" customHeight="1">
      <c r="A24" s="12" t="str">
        <f t="shared" si="0"/>
        <v>TSX:D_2018_</v>
      </c>
      <c r="B24" s="12" t="s">
        <v>86</v>
      </c>
      <c r="C24" s="189" t="str">
        <f t="shared" si="1"/>
        <v>-</v>
      </c>
      <c r="D24" s="115" t="str">
        <f ca="1">_xll.ciqfunctions.udf.CIQ(B24, "IQ_MARKETCAP", $A$1,$A$2)</f>
        <v>(Invalid Identifier)</v>
      </c>
      <c r="E24" s="115" t="str">
        <f ca="1">_xll.ciqfunctions.udf.CIQ($B24, "IQ_TEV", $A$1,$A$2)</f>
        <v>(Invalid Identifier)</v>
      </c>
      <c r="F24" s="116" t="str">
        <f t="shared" si="2"/>
        <v>-</v>
      </c>
      <c r="G24" s="116" t="str">
        <f t="shared" si="2"/>
        <v>-</v>
      </c>
      <c r="H24" s="115" t="str">
        <f t="shared" si="3"/>
        <v>-</v>
      </c>
      <c r="I24" s="117" t="str">
        <f t="shared" si="3"/>
        <v>-</v>
      </c>
      <c r="J24" s="118" t="str">
        <f t="shared" si="4"/>
        <v>-</v>
      </c>
      <c r="K24" s="118" t="str">
        <f t="shared" si="4"/>
        <v>-</v>
      </c>
      <c r="L24" s="119" t="str">
        <f t="shared" si="5"/>
        <v>-</v>
      </c>
      <c r="M24" s="120" t="str">
        <f t="shared" si="6"/>
        <v>-</v>
      </c>
      <c r="N24" s="117" t="str">
        <f t="shared" si="7"/>
        <v>-</v>
      </c>
      <c r="O24" s="121" t="str">
        <f t="shared" si="7"/>
        <v>-</v>
      </c>
      <c r="P24" s="117" t="str">
        <f t="shared" si="7"/>
        <v>-</v>
      </c>
      <c r="Q24" s="118" t="str">
        <f t="shared" si="8"/>
        <v>-</v>
      </c>
      <c r="R24" s="118" t="str">
        <f t="shared" si="8"/>
        <v>-</v>
      </c>
      <c r="S24" s="119" t="str">
        <f t="shared" si="9"/>
        <v>-</v>
      </c>
      <c r="T24" s="120" t="str">
        <f t="shared" si="10"/>
        <v>-</v>
      </c>
      <c r="U24" s="117" t="str">
        <f t="shared" si="11"/>
        <v>-</v>
      </c>
      <c r="V24" s="162" t="str">
        <f t="shared" si="11"/>
        <v>-</v>
      </c>
      <c r="W24" s="28"/>
      <c r="X24" s="198" t="str">
        <f t="shared" si="12"/>
        <v>-</v>
      </c>
      <c r="Y24" s="199" t="str">
        <f t="shared" si="13"/>
        <v>-</v>
      </c>
      <c r="AA24" s="36"/>
    </row>
    <row r="25" spans="1:27" ht="20.25" customHeight="1">
      <c r="A25" s="12" t="str">
        <f t="shared" si="0"/>
        <v>TSX:C_2018_</v>
      </c>
      <c r="B25" s="12" t="s">
        <v>85</v>
      </c>
      <c r="C25" s="189" t="str">
        <f t="shared" si="1"/>
        <v>-</v>
      </c>
      <c r="D25" s="115" t="str">
        <f ca="1">_xll.ciqfunctions.udf.CIQ(B25, "IQ_MARKETCAP", $A$1,$A$2)</f>
        <v>(Invalid Identifier)</v>
      </c>
      <c r="E25" s="115" t="str">
        <f ca="1">_xll.ciqfunctions.udf.CIQ($B25, "IQ_TEV", $A$1,$A$2)</f>
        <v>(Invalid Identifier)</v>
      </c>
      <c r="F25" s="116" t="str">
        <f t="shared" si="2"/>
        <v>-</v>
      </c>
      <c r="G25" s="116" t="str">
        <f t="shared" si="2"/>
        <v>-</v>
      </c>
      <c r="H25" s="115" t="str">
        <f t="shared" si="3"/>
        <v>-</v>
      </c>
      <c r="I25" s="117" t="str">
        <f t="shared" si="3"/>
        <v>-</v>
      </c>
      <c r="J25" s="118" t="str">
        <f t="shared" si="4"/>
        <v>-</v>
      </c>
      <c r="K25" s="118" t="str">
        <f t="shared" si="4"/>
        <v>-</v>
      </c>
      <c r="L25" s="119" t="str">
        <f t="shared" si="5"/>
        <v>-</v>
      </c>
      <c r="M25" s="120" t="str">
        <f t="shared" si="6"/>
        <v>-</v>
      </c>
      <c r="N25" s="117" t="str">
        <f t="shared" si="7"/>
        <v>-</v>
      </c>
      <c r="O25" s="121" t="str">
        <f t="shared" si="7"/>
        <v>-</v>
      </c>
      <c r="P25" s="117" t="str">
        <f t="shared" si="7"/>
        <v>-</v>
      </c>
      <c r="Q25" s="118" t="str">
        <f t="shared" si="8"/>
        <v>-</v>
      </c>
      <c r="R25" s="118" t="str">
        <f t="shared" si="8"/>
        <v>-</v>
      </c>
      <c r="S25" s="119" t="str">
        <f t="shared" si="9"/>
        <v>-</v>
      </c>
      <c r="T25" s="120" t="str">
        <f t="shared" si="10"/>
        <v>-</v>
      </c>
      <c r="U25" s="117" t="str">
        <f t="shared" si="11"/>
        <v>-</v>
      </c>
      <c r="V25" s="162" t="str">
        <f t="shared" si="11"/>
        <v>-</v>
      </c>
      <c r="W25" s="28"/>
      <c r="X25" s="198" t="str">
        <f t="shared" si="12"/>
        <v>-</v>
      </c>
      <c r="Y25" s="199" t="str">
        <f t="shared" si="13"/>
        <v>-</v>
      </c>
      <c r="AA25" s="36"/>
    </row>
    <row r="26" spans="1:27" ht="20.25" customHeight="1">
      <c r="A26" s="12" t="str">
        <f t="shared" si="0"/>
        <v>TSX:B_2018_</v>
      </c>
      <c r="B26" s="12" t="s">
        <v>84</v>
      </c>
      <c r="C26" s="189" t="str">
        <f t="shared" si="1"/>
        <v>-</v>
      </c>
      <c r="D26" s="115" t="str">
        <f ca="1">_xll.ciqfunctions.udf.CIQ(B26, "IQ_MARKETCAP", $A$1,$A$2)</f>
        <v>(Invalid Identifier)</v>
      </c>
      <c r="E26" s="115" t="str">
        <f ca="1">_xll.ciqfunctions.udf.CIQ($B26, "IQ_TEV", $A$1,$A$2)</f>
        <v>(Invalid Identifier)</v>
      </c>
      <c r="F26" s="116" t="str">
        <f t="shared" si="2"/>
        <v>-</v>
      </c>
      <c r="G26" s="116" t="str">
        <f t="shared" si="2"/>
        <v>-</v>
      </c>
      <c r="H26" s="115" t="str">
        <f t="shared" si="3"/>
        <v>-</v>
      </c>
      <c r="I26" s="117" t="str">
        <f t="shared" si="3"/>
        <v>-</v>
      </c>
      <c r="J26" s="118" t="str">
        <f t="shared" si="4"/>
        <v>-</v>
      </c>
      <c r="K26" s="118" t="str">
        <f t="shared" si="4"/>
        <v>-</v>
      </c>
      <c r="L26" s="119" t="str">
        <f t="shared" si="5"/>
        <v>-</v>
      </c>
      <c r="M26" s="120" t="str">
        <f t="shared" si="6"/>
        <v>-</v>
      </c>
      <c r="N26" s="117" t="str">
        <f t="shared" si="7"/>
        <v>-</v>
      </c>
      <c r="O26" s="121" t="str">
        <f t="shared" si="7"/>
        <v>-</v>
      </c>
      <c r="P26" s="117" t="str">
        <f t="shared" si="7"/>
        <v>-</v>
      </c>
      <c r="Q26" s="118" t="str">
        <f t="shared" si="8"/>
        <v>-</v>
      </c>
      <c r="R26" s="118" t="str">
        <f t="shared" si="8"/>
        <v>-</v>
      </c>
      <c r="S26" s="119" t="str">
        <f t="shared" si="9"/>
        <v>-</v>
      </c>
      <c r="T26" s="120" t="str">
        <f t="shared" si="10"/>
        <v>-</v>
      </c>
      <c r="U26" s="117" t="str">
        <f t="shared" si="11"/>
        <v>-</v>
      </c>
      <c r="V26" s="162" t="str">
        <f t="shared" si="11"/>
        <v>-</v>
      </c>
      <c r="W26" s="28"/>
      <c r="X26" s="198" t="str">
        <f t="shared" si="12"/>
        <v>-</v>
      </c>
      <c r="Y26" s="199" t="str">
        <f t="shared" si="13"/>
        <v>-</v>
      </c>
      <c r="AA26" s="36"/>
    </row>
    <row r="27" spans="1:27" ht="20.25" customHeight="1">
      <c r="A27" s="17" t="str">
        <f t="shared" si="0"/>
        <v>TSX:A_2018_</v>
      </c>
      <c r="B27" s="17" t="s">
        <v>83</v>
      </c>
      <c r="C27" s="189" t="str">
        <f t="shared" si="1"/>
        <v>-</v>
      </c>
      <c r="D27" s="115" t="str">
        <f ca="1">_xll.ciqfunctions.udf.CIQ(B27, "IQ_MARKETCAP", $A$1,$A$2)</f>
        <v>(Invalid Identifier)</v>
      </c>
      <c r="E27" s="115" t="str">
        <f ca="1">_xll.ciqfunctions.udf.CIQ($B27, "IQ_TEV", $A$1,$A$2)</f>
        <v>(Invalid Identifier)</v>
      </c>
      <c r="F27" s="116" t="str">
        <f t="shared" si="2"/>
        <v>-</v>
      </c>
      <c r="G27" s="116" t="str">
        <f t="shared" si="2"/>
        <v>-</v>
      </c>
      <c r="H27" s="115" t="str">
        <f t="shared" si="3"/>
        <v>-</v>
      </c>
      <c r="I27" s="117" t="str">
        <f t="shared" si="3"/>
        <v>-</v>
      </c>
      <c r="J27" s="118" t="str">
        <f t="shared" si="4"/>
        <v>-</v>
      </c>
      <c r="K27" s="118" t="str">
        <f t="shared" si="4"/>
        <v>-</v>
      </c>
      <c r="L27" s="119" t="str">
        <f t="shared" si="5"/>
        <v>-</v>
      </c>
      <c r="M27" s="120" t="str">
        <f t="shared" si="6"/>
        <v>-</v>
      </c>
      <c r="N27" s="117" t="str">
        <f t="shared" si="7"/>
        <v>-</v>
      </c>
      <c r="O27" s="121" t="str">
        <f t="shared" si="7"/>
        <v>-</v>
      </c>
      <c r="P27" s="117" t="str">
        <f t="shared" si="7"/>
        <v>-</v>
      </c>
      <c r="Q27" s="118" t="str">
        <f t="shared" si="8"/>
        <v>-</v>
      </c>
      <c r="R27" s="118" t="str">
        <f t="shared" si="8"/>
        <v>-</v>
      </c>
      <c r="S27" s="119" t="str">
        <f t="shared" si="9"/>
        <v>-</v>
      </c>
      <c r="T27" s="120" t="str">
        <f t="shared" si="10"/>
        <v>-</v>
      </c>
      <c r="U27" s="117" t="str">
        <f t="shared" si="11"/>
        <v>-</v>
      </c>
      <c r="V27" s="162" t="str">
        <f t="shared" si="11"/>
        <v>-</v>
      </c>
      <c r="W27" s="28"/>
      <c r="X27" s="198" t="str">
        <f t="shared" si="12"/>
        <v>-</v>
      </c>
      <c r="Y27" s="199" t="str">
        <f t="shared" si="13"/>
        <v>-</v>
      </c>
      <c r="AA27" s="36"/>
    </row>
    <row r="28" spans="1:27" ht="15" customHeight="1">
      <c r="C28" s="193" t="s">
        <v>77</v>
      </c>
      <c r="D28" s="194"/>
      <c r="E28" s="194"/>
      <c r="F28" s="194"/>
      <c r="G28" s="194"/>
      <c r="H28" s="194"/>
      <c r="I28" s="195"/>
      <c r="J28" s="196"/>
      <c r="K28" s="196"/>
      <c r="L28" s="195"/>
      <c r="M28" s="196"/>
      <c r="N28" s="195"/>
      <c r="O28" s="195"/>
      <c r="P28" s="195"/>
      <c r="Q28" s="196"/>
      <c r="R28" s="196"/>
      <c r="S28" s="195"/>
      <c r="T28" s="196"/>
      <c r="U28" s="195"/>
      <c r="V28" s="197"/>
      <c r="W28" s="26"/>
      <c r="X28" s="183"/>
      <c r="Y28" s="184"/>
    </row>
    <row r="29" spans="1:27" s="17" customFormat="1" ht="18.75" customHeight="1">
      <c r="B29" s="17">
        <v>0.75</v>
      </c>
      <c r="C29" s="190" t="s">
        <v>9</v>
      </c>
      <c r="D29" s="92">
        <f t="shared" ref="D29:E31" ca="1" si="14">PERCENTILE(D$8:D$27,$B29)</f>
        <v>34811.3114375</v>
      </c>
      <c r="E29" s="92">
        <f t="shared" ca="1" si="14"/>
        <v>53321.206437500005</v>
      </c>
      <c r="F29" s="91"/>
      <c r="G29" s="91"/>
      <c r="H29" s="92" t="e">
        <f t="shared" ref="H29:V31" si="15">PERCENTILE(H$8:H$27,$B29)</f>
        <v>#NUM!</v>
      </c>
      <c r="I29" s="97" t="e">
        <f t="shared" si="15"/>
        <v>#NUM!</v>
      </c>
      <c r="J29" s="98" t="e">
        <f t="shared" si="15"/>
        <v>#NUM!</v>
      </c>
      <c r="K29" s="98" t="e">
        <f t="shared" si="15"/>
        <v>#NUM!</v>
      </c>
      <c r="L29" s="99" t="e">
        <f t="shared" si="15"/>
        <v>#NUM!</v>
      </c>
      <c r="M29" s="100" t="e">
        <f t="shared" si="15"/>
        <v>#NUM!</v>
      </c>
      <c r="N29" s="97" t="e">
        <f t="shared" si="15"/>
        <v>#NUM!</v>
      </c>
      <c r="O29" s="102" t="e">
        <f t="shared" si="15"/>
        <v>#NUM!</v>
      </c>
      <c r="P29" s="107" t="e">
        <f t="shared" si="15"/>
        <v>#NUM!</v>
      </c>
      <c r="Q29" s="108" t="e">
        <f t="shared" si="15"/>
        <v>#NUM!</v>
      </c>
      <c r="R29" s="108" t="e">
        <f t="shared" si="15"/>
        <v>#NUM!</v>
      </c>
      <c r="S29" s="109" t="e">
        <f t="shared" si="15"/>
        <v>#NUM!</v>
      </c>
      <c r="T29" s="110" t="e">
        <f t="shared" si="15"/>
        <v>#NUM!</v>
      </c>
      <c r="U29" s="97" t="e">
        <f t="shared" si="15"/>
        <v>#NUM!</v>
      </c>
      <c r="V29" s="102" t="e">
        <f t="shared" si="15"/>
        <v>#NUM!</v>
      </c>
      <c r="W29" s="43"/>
      <c r="X29" s="200" t="e">
        <f t="shared" ref="X29:Y31" si="16">PERCENTILE(X$8:X$27,$B29)</f>
        <v>#NUM!</v>
      </c>
      <c r="Y29" s="100" t="e">
        <f t="shared" si="16"/>
        <v>#NUM!</v>
      </c>
      <c r="AA29" s="18"/>
    </row>
    <row r="30" spans="1:27" s="17" customFormat="1" ht="18.75" customHeight="1">
      <c r="B30" s="17">
        <v>0.5</v>
      </c>
      <c r="C30" s="142" t="s">
        <v>8</v>
      </c>
      <c r="D30" s="90">
        <f t="shared" ca="1" si="14"/>
        <v>16010.96183</v>
      </c>
      <c r="E30" s="90">
        <f t="shared" ca="1" si="14"/>
        <v>21423.577344999998</v>
      </c>
      <c r="F30" s="89"/>
      <c r="G30" s="89"/>
      <c r="H30" s="90" t="e">
        <f t="shared" si="15"/>
        <v>#NUM!</v>
      </c>
      <c r="I30" s="93" t="e">
        <f t="shared" si="15"/>
        <v>#NUM!</v>
      </c>
      <c r="J30" s="94" t="e">
        <f t="shared" si="15"/>
        <v>#NUM!</v>
      </c>
      <c r="K30" s="94" t="e">
        <f t="shared" si="15"/>
        <v>#NUM!</v>
      </c>
      <c r="L30" s="95" t="e">
        <f t="shared" si="15"/>
        <v>#NUM!</v>
      </c>
      <c r="M30" s="96" t="e">
        <f t="shared" si="15"/>
        <v>#NUM!</v>
      </c>
      <c r="N30" s="93" t="e">
        <f t="shared" si="15"/>
        <v>#NUM!</v>
      </c>
      <c r="O30" s="101" t="e">
        <f t="shared" si="15"/>
        <v>#NUM!</v>
      </c>
      <c r="P30" s="103" t="e">
        <f t="shared" si="15"/>
        <v>#NUM!</v>
      </c>
      <c r="Q30" s="104" t="e">
        <f t="shared" si="15"/>
        <v>#NUM!</v>
      </c>
      <c r="R30" s="104" t="e">
        <f t="shared" si="15"/>
        <v>#NUM!</v>
      </c>
      <c r="S30" s="105" t="e">
        <f t="shared" si="15"/>
        <v>#NUM!</v>
      </c>
      <c r="T30" s="106" t="e">
        <f t="shared" si="15"/>
        <v>#NUM!</v>
      </c>
      <c r="U30" s="93" t="e">
        <f t="shared" si="15"/>
        <v>#NUM!</v>
      </c>
      <c r="V30" s="101" t="e">
        <f t="shared" si="15"/>
        <v>#NUM!</v>
      </c>
      <c r="W30" s="20"/>
      <c r="X30" s="201" t="e">
        <f t="shared" si="16"/>
        <v>#NUM!</v>
      </c>
      <c r="Y30" s="96" t="e">
        <f t="shared" si="16"/>
        <v>#NUM!</v>
      </c>
      <c r="AA30" s="18"/>
    </row>
    <row r="31" spans="1:27" s="17" customFormat="1" ht="18.75" customHeight="1">
      <c r="B31" s="17">
        <v>0.25</v>
      </c>
      <c r="C31" s="190" t="s">
        <v>7</v>
      </c>
      <c r="D31" s="92">
        <f t="shared" ca="1" si="14"/>
        <v>46.527067500000001</v>
      </c>
      <c r="E31" s="92">
        <f t="shared" ca="1" si="14"/>
        <v>89.424292499999993</v>
      </c>
      <c r="F31" s="91"/>
      <c r="G31" s="91"/>
      <c r="H31" s="92" t="e">
        <f t="shared" si="15"/>
        <v>#NUM!</v>
      </c>
      <c r="I31" s="97" t="e">
        <f t="shared" si="15"/>
        <v>#NUM!</v>
      </c>
      <c r="J31" s="98" t="e">
        <f t="shared" si="15"/>
        <v>#NUM!</v>
      </c>
      <c r="K31" s="98" t="e">
        <f t="shared" si="15"/>
        <v>#NUM!</v>
      </c>
      <c r="L31" s="99" t="e">
        <f t="shared" si="15"/>
        <v>#NUM!</v>
      </c>
      <c r="M31" s="100" t="e">
        <f t="shared" si="15"/>
        <v>#NUM!</v>
      </c>
      <c r="N31" s="97" t="e">
        <f t="shared" si="15"/>
        <v>#NUM!</v>
      </c>
      <c r="O31" s="102" t="e">
        <f t="shared" si="15"/>
        <v>#NUM!</v>
      </c>
      <c r="P31" s="107" t="e">
        <f t="shared" si="15"/>
        <v>#NUM!</v>
      </c>
      <c r="Q31" s="108" t="e">
        <f t="shared" si="15"/>
        <v>#NUM!</v>
      </c>
      <c r="R31" s="108" t="e">
        <f t="shared" si="15"/>
        <v>#NUM!</v>
      </c>
      <c r="S31" s="109" t="e">
        <f t="shared" si="15"/>
        <v>#NUM!</v>
      </c>
      <c r="T31" s="110" t="e">
        <f t="shared" si="15"/>
        <v>#NUM!</v>
      </c>
      <c r="U31" s="97" t="e">
        <f t="shared" si="15"/>
        <v>#NUM!</v>
      </c>
      <c r="V31" s="102" t="e">
        <f t="shared" si="15"/>
        <v>#NUM!</v>
      </c>
      <c r="W31" s="43"/>
      <c r="X31" s="200" t="e">
        <f t="shared" si="16"/>
        <v>#NUM!</v>
      </c>
      <c r="Y31" s="100" t="e">
        <f t="shared" si="16"/>
        <v>#NUM!</v>
      </c>
      <c r="AA31" s="18"/>
    </row>
    <row r="32" spans="1:27" s="17" customFormat="1" ht="18.75" customHeight="1">
      <c r="A32" s="12"/>
      <c r="B32" s="12"/>
      <c r="C32" s="164" t="s">
        <v>6</v>
      </c>
      <c r="D32" s="163">
        <f ca="1">AVERAGE(D8:D27)</f>
        <v>22149.093107499997</v>
      </c>
      <c r="E32" s="163">
        <f ca="1">AVERAGE(E8:E27)</f>
        <v>30397.094022499998</v>
      </c>
      <c r="F32" s="164"/>
      <c r="G32" s="164"/>
      <c r="H32" s="163" t="e">
        <f t="shared" ref="H32:V32" si="17">AVERAGE(H8:H27)</f>
        <v>#DIV/0!</v>
      </c>
      <c r="I32" s="165" t="e">
        <f t="shared" si="17"/>
        <v>#DIV/0!</v>
      </c>
      <c r="J32" s="166" t="e">
        <f t="shared" si="17"/>
        <v>#DIV/0!</v>
      </c>
      <c r="K32" s="166" t="e">
        <f t="shared" si="17"/>
        <v>#DIV/0!</v>
      </c>
      <c r="L32" s="167" t="e">
        <f t="shared" si="17"/>
        <v>#DIV/0!</v>
      </c>
      <c r="M32" s="168" t="e">
        <f t="shared" si="17"/>
        <v>#DIV/0!</v>
      </c>
      <c r="N32" s="165" t="e">
        <f t="shared" si="17"/>
        <v>#DIV/0!</v>
      </c>
      <c r="O32" s="169" t="e">
        <f t="shared" si="17"/>
        <v>#DIV/0!</v>
      </c>
      <c r="P32" s="165" t="e">
        <f t="shared" si="17"/>
        <v>#DIV/0!</v>
      </c>
      <c r="Q32" s="166" t="e">
        <f t="shared" si="17"/>
        <v>#DIV/0!</v>
      </c>
      <c r="R32" s="166" t="e">
        <f t="shared" si="17"/>
        <v>#DIV/0!</v>
      </c>
      <c r="S32" s="167" t="e">
        <f t="shared" si="17"/>
        <v>#DIV/0!</v>
      </c>
      <c r="T32" s="168" t="e">
        <f t="shared" si="17"/>
        <v>#DIV/0!</v>
      </c>
      <c r="U32" s="165" t="e">
        <f t="shared" si="17"/>
        <v>#DIV/0!</v>
      </c>
      <c r="V32" s="169" t="e">
        <f t="shared" si="17"/>
        <v>#DIV/0!</v>
      </c>
      <c r="W32" s="42"/>
      <c r="X32" s="202" t="e">
        <f>AVERAGE(X8:X27)</f>
        <v>#DIV/0!</v>
      </c>
      <c r="Y32" s="168" t="e">
        <f>AVERAGE(Y8:Y27)</f>
        <v>#DIV/0!</v>
      </c>
      <c r="AA32" s="18"/>
    </row>
    <row r="33" spans="1:27" ht="5.15" customHeight="1">
      <c r="C33" s="28"/>
      <c r="D33" s="28"/>
      <c r="E33" s="28"/>
      <c r="F33" s="28"/>
      <c r="G33" s="28"/>
      <c r="H33" s="29"/>
      <c r="I33" s="39"/>
      <c r="J33" s="40"/>
      <c r="K33" s="40"/>
      <c r="L33" s="38"/>
      <c r="M33" s="41"/>
      <c r="N33" s="39"/>
      <c r="O33" s="38"/>
      <c r="P33" s="38"/>
      <c r="Q33" s="41"/>
      <c r="R33" s="41"/>
      <c r="S33" s="39"/>
      <c r="T33" s="40"/>
      <c r="U33" s="39"/>
      <c r="V33" s="38"/>
      <c r="W33" s="28"/>
      <c r="X33" s="28"/>
      <c r="Y33" s="28"/>
    </row>
    <row r="34" spans="1:27" s="35" customFormat="1" ht="22.5" customHeight="1">
      <c r="A34" s="35" t="str">
        <f>$B34&amp;"_"&amp;$C$3&amp;"_"&amp;$C$2</f>
        <v>TSX:RY_2018_</v>
      </c>
      <c r="B34" s="35" t="s">
        <v>103</v>
      </c>
      <c r="C34" s="191" t="str">
        <f>IFERROR(INDEX(Raw_Data,MATCH($A34,Look_Up,0),MATCH(C$4,Component,0)),"-")</f>
        <v>-</v>
      </c>
      <c r="D34" s="170">
        <f ca="1">_xll.ciqfunctions.udf.CIQ(B34, "IQ_MARKETCAP", $A$1,$A$2)</f>
        <v>289217.22402000002</v>
      </c>
      <c r="E34" s="170">
        <f ca="1">_xll.ciqfunctions.udf.CIQ($B34, "IQ_TEV", $A$1,$A$2)</f>
        <v>0</v>
      </c>
      <c r="F34" s="171" t="str">
        <f>IFERROR(INDEX(Raw_Data,MATCH($A34,Look_Up,0),MATCH(F$4,Component,0)),"-")</f>
        <v>-</v>
      </c>
      <c r="G34" s="171" t="str">
        <f>IFERROR(INDEX(Raw_Data,MATCH($A34,Look_Up,0),MATCH(G$4,Component,0)),"-")</f>
        <v>-</v>
      </c>
      <c r="H34" s="170" t="str">
        <f>IFERROR(INDEX(Raw_Data,MATCH($A34,Look_Up,0),MATCH(H$4,Component,0))/1000,"-")</f>
        <v>-</v>
      </c>
      <c r="I34" s="170" t="str">
        <f>IFERROR(INDEX(Raw_Data,MATCH($A34,Look_Up,0),MATCH(I$4,Component,0))/1000,"-")</f>
        <v>-</v>
      </c>
      <c r="J34" s="172" t="str">
        <f>IFERROR(INDEX(Raw_Data,MATCH($A34,Look_Up,0),MATCH(J$4,Component,0)),"-")</f>
        <v>-</v>
      </c>
      <c r="K34" s="172" t="str">
        <f>IFERROR(INDEX(Raw_Data,MATCH($A34,Look_Up,0),MATCH(K$4,Component,0)),"-")</f>
        <v>-</v>
      </c>
      <c r="L34" s="173" t="str">
        <f>IFERROR(INDEX(Raw_Data,MATCH($A34,Look_Up,0),MATCH(L$4,Component,0))/1000,"-")</f>
        <v>-</v>
      </c>
      <c r="M34" s="174" t="str">
        <f>IFERROR(INDEX(Raw_Data,MATCH($A34,Look_Up,0),MATCH(M$4,Component,0)),"-")</f>
        <v>-</v>
      </c>
      <c r="N34" s="170" t="str">
        <f>IFERROR(INDEX(Raw_Data,MATCH($A34,Look_Up,0),MATCH(N$4,Component,0))/1000,"-")</f>
        <v>-</v>
      </c>
      <c r="O34" s="173" t="str">
        <f>IFERROR(INDEX(Raw_Data,MATCH($A34,Look_Up,0),MATCH(O$4,Component,0))/1000,"-")</f>
        <v>-</v>
      </c>
      <c r="P34" s="170" t="str">
        <f>IFERROR(INDEX(Raw_Data,MATCH($A34,Look_Up,0),MATCH(P$4,Component,0))/1000,"-")</f>
        <v>-</v>
      </c>
      <c r="Q34" s="172" t="str">
        <f>IFERROR(INDEX(Raw_Data,MATCH($A34,Look_Up,0),MATCH(Q$4,Component,0)),"-")</f>
        <v>-</v>
      </c>
      <c r="R34" s="172" t="str">
        <f>IFERROR(INDEX(Raw_Data,MATCH($A34,Look_Up,0),MATCH(R$4,Component,0)),"-")</f>
        <v>-</v>
      </c>
      <c r="S34" s="170" t="str">
        <f>IFERROR(INDEX(Raw_Data,MATCH($A34,Look_Up,0),MATCH(S$4,Component,0))/1000,"-")</f>
        <v>-</v>
      </c>
      <c r="T34" s="172" t="str">
        <f>IFERROR(INDEX(Raw_Data,MATCH($A34,Look_Up,0),MATCH(T$4,Component,0)),"-")</f>
        <v>-</v>
      </c>
      <c r="U34" s="170" t="str">
        <f>IFERROR(INDEX(Raw_Data,MATCH($A34,Look_Up,0),MATCH(U$4,Component,0))/1000,"-")</f>
        <v>-</v>
      </c>
      <c r="V34" s="175" t="str">
        <f>IFERROR(INDEX(Raw_Data,MATCH($A34,Look_Up,0),MATCH(V$4,Component,0))/1000,"-")</f>
        <v>-</v>
      </c>
      <c r="W34" s="37"/>
      <c r="X34" s="185" t="str">
        <f>IFERROR(N34/U34,"-")</f>
        <v>-</v>
      </c>
      <c r="Y34" s="186" t="str">
        <f>IFERROR(P34/U34,"-")</f>
        <v>-</v>
      </c>
      <c r="AA34" s="36"/>
    </row>
    <row r="35" spans="1:27" ht="19.5" customHeight="1">
      <c r="B35" s="33"/>
      <c r="C35" s="192" t="s">
        <v>5</v>
      </c>
      <c r="D35" s="176" t="str">
        <f ca="1">IF(D$34&gt;=MAX(D$8:D$27),"max",IF(D$34&lt;=MIN(D$8:D$27),"min",PERCENTRANK(D$8:D$27,D$34)))</f>
        <v>max</v>
      </c>
      <c r="E35" s="176" t="str">
        <f ca="1">IF(E$34&gt;=MAX(E$8:E$27),"max",IF(E$34&lt;=MIN(E$8:E$27),"min",PERCENTRANK(E$8:E$27,E$34)))</f>
        <v>min</v>
      </c>
      <c r="F35" s="177"/>
      <c r="G35" s="177"/>
      <c r="H35" s="176" t="str">
        <f t="shared" ref="H35:V35" si="18">IF(H$34&gt;=MAX(H$8:H$27),"max",IF(H$34&lt;=MIN(H$8:H$27),"min",PERCENTRANK(H$8:H$27,H$34)))</f>
        <v>max</v>
      </c>
      <c r="I35" s="176" t="str">
        <f t="shared" si="18"/>
        <v>max</v>
      </c>
      <c r="J35" s="178" t="str">
        <f t="shared" si="18"/>
        <v>max</v>
      </c>
      <c r="K35" s="178" t="str">
        <f t="shared" si="18"/>
        <v>max</v>
      </c>
      <c r="L35" s="176" t="str">
        <f t="shared" si="18"/>
        <v>max</v>
      </c>
      <c r="M35" s="178" t="str">
        <f t="shared" si="18"/>
        <v>max</v>
      </c>
      <c r="N35" s="176" t="str">
        <f t="shared" si="18"/>
        <v>max</v>
      </c>
      <c r="O35" s="176" t="str">
        <f t="shared" si="18"/>
        <v>max</v>
      </c>
      <c r="P35" s="176" t="str">
        <f t="shared" si="18"/>
        <v>max</v>
      </c>
      <c r="Q35" s="178" t="str">
        <f t="shared" si="18"/>
        <v>max</v>
      </c>
      <c r="R35" s="178" t="str">
        <f t="shared" si="18"/>
        <v>max</v>
      </c>
      <c r="S35" s="176" t="str">
        <f t="shared" si="18"/>
        <v>max</v>
      </c>
      <c r="T35" s="178" t="str">
        <f t="shared" si="18"/>
        <v>max</v>
      </c>
      <c r="U35" s="176" t="str">
        <f t="shared" si="18"/>
        <v>max</v>
      </c>
      <c r="V35" s="179" t="str">
        <f t="shared" si="18"/>
        <v>max</v>
      </c>
      <c r="W35" s="34"/>
      <c r="X35" s="187" t="str">
        <f>IF(X$34&gt;=MAX(X$8:X27),"max",IF(X$34&lt;=MIN(X$8:X27),"min",PERCENTRANK(X$8:X27,X$34)))</f>
        <v>max</v>
      </c>
      <c r="Y35" s="188" t="str">
        <f>IF(Y$34&gt;=MAX(Y$8:Y27),"max",IF(Y$34&lt;=MIN(Y$8:Y27),"min",PERCENTRANK(Y$8:Y27,Y$34)))</f>
        <v>max</v>
      </c>
    </row>
    <row r="36" spans="1:27" ht="8.25" customHeight="1">
      <c r="B36" s="33"/>
      <c r="C36" s="32"/>
      <c r="D36" s="32"/>
      <c r="E36" s="28"/>
      <c r="F36" s="28"/>
      <c r="G36" s="28"/>
      <c r="H36" s="29"/>
      <c r="I36" s="29"/>
      <c r="J36" s="29"/>
      <c r="K36" s="29"/>
      <c r="L36" s="29"/>
      <c r="M36" s="29"/>
      <c r="N36" s="29"/>
      <c r="O36" s="29"/>
      <c r="P36" s="29"/>
      <c r="Q36" s="29"/>
      <c r="R36" s="29"/>
      <c r="S36" s="29"/>
      <c r="T36" s="29"/>
      <c r="U36" s="29"/>
      <c r="V36" s="29"/>
      <c r="W36" s="28"/>
      <c r="X36" s="28"/>
      <c r="Y36" s="28"/>
    </row>
    <row r="37" spans="1:27" ht="15" customHeight="1">
      <c r="B37" s="33"/>
      <c r="C37" s="32" t="str">
        <f>+"Sources: "&amp;C3&amp;" proxy data"</f>
        <v>Sources: 2018 proxy data</v>
      </c>
      <c r="D37" s="32"/>
      <c r="E37" s="28"/>
      <c r="F37" s="28"/>
      <c r="G37" s="28"/>
      <c r="H37" s="29"/>
      <c r="I37" s="29"/>
      <c r="J37" s="29"/>
      <c r="K37" s="29"/>
      <c r="L37" s="29"/>
      <c r="M37" s="29"/>
      <c r="N37" s="29"/>
      <c r="O37" s="29"/>
      <c r="P37" s="29"/>
      <c r="Q37" s="29"/>
      <c r="R37" s="29"/>
      <c r="S37" s="29"/>
      <c r="T37" s="29"/>
      <c r="U37" s="29"/>
      <c r="V37" s="29"/>
      <c r="W37" s="28"/>
      <c r="X37" s="28"/>
      <c r="Y37" s="28"/>
    </row>
    <row r="38" spans="1:27" ht="15" customHeight="1">
      <c r="B38" s="33"/>
      <c r="C38" s="143" t="s">
        <v>32</v>
      </c>
      <c r="D38" s="32"/>
      <c r="E38" s="28"/>
      <c r="F38" s="28"/>
      <c r="G38" s="28"/>
      <c r="H38" s="29"/>
      <c r="I38" s="31"/>
      <c r="J38" s="31"/>
      <c r="K38" s="31"/>
      <c r="L38" s="30"/>
      <c r="M38" s="29"/>
      <c r="N38" s="29"/>
      <c r="O38" s="29"/>
      <c r="P38" s="29"/>
      <c r="Q38" s="29"/>
      <c r="R38" s="29"/>
      <c r="S38" s="29"/>
      <c r="T38" s="29"/>
      <c r="U38" s="29"/>
      <c r="V38" s="29"/>
      <c r="W38" s="28"/>
      <c r="X38" s="28"/>
      <c r="Y38" s="28"/>
    </row>
    <row r="39" spans="1:27" ht="15" customHeight="1">
      <c r="B39" s="15"/>
      <c r="C39" s="27" t="str">
        <f>IFERROR(INDEX(Raw_Data,MATCH(#REF!,Look_Up,0),MATCH(C$38,Component,0)),"N/A")</f>
        <v>N/A</v>
      </c>
      <c r="D39" s="27"/>
      <c r="E39" s="27"/>
      <c r="F39" s="27"/>
      <c r="G39" s="27"/>
      <c r="H39" s="27"/>
      <c r="I39" s="27"/>
      <c r="J39" s="27"/>
      <c r="K39" s="27"/>
      <c r="L39" s="27"/>
      <c r="M39" s="27"/>
      <c r="N39" s="27"/>
      <c r="O39" s="27"/>
      <c r="P39" s="27"/>
      <c r="Q39" s="27"/>
      <c r="R39" s="27"/>
      <c r="S39" s="27"/>
      <c r="T39" s="27"/>
      <c r="U39" s="27"/>
      <c r="V39" s="27"/>
      <c r="W39" s="26"/>
      <c r="X39" s="26"/>
      <c r="Y39" s="26"/>
    </row>
    <row r="40" spans="1:27">
      <c r="B40" s="15"/>
      <c r="C40" s="14"/>
      <c r="D40" s="14"/>
      <c r="E40" s="14"/>
      <c r="F40" s="14"/>
      <c r="G40" s="14"/>
      <c r="H40" s="14"/>
      <c r="I40" s="14"/>
      <c r="J40" s="14"/>
      <c r="K40" s="14"/>
      <c r="L40" s="14"/>
      <c r="M40" s="14"/>
      <c r="N40" s="14"/>
      <c r="O40" s="14"/>
      <c r="P40" s="14"/>
      <c r="Q40" s="14"/>
      <c r="R40" s="14"/>
      <c r="S40" s="14"/>
      <c r="T40" s="14"/>
      <c r="U40" s="14"/>
      <c r="V40" s="14"/>
      <c r="W40" s="26"/>
      <c r="X40" s="26"/>
      <c r="Y40" s="26"/>
    </row>
    <row r="41" spans="1:27">
      <c r="B41" s="15"/>
      <c r="C41" s="14"/>
      <c r="D41" s="14"/>
      <c r="E41" s="14"/>
      <c r="F41" s="14"/>
      <c r="G41" s="14"/>
      <c r="H41" s="14"/>
      <c r="I41" s="14"/>
      <c r="J41" s="14"/>
      <c r="K41" s="14"/>
      <c r="L41" s="14"/>
      <c r="M41" s="14"/>
      <c r="N41" s="14"/>
      <c r="O41" s="14"/>
      <c r="P41" s="14"/>
      <c r="Q41" s="14"/>
      <c r="R41" s="14"/>
      <c r="S41" s="14"/>
      <c r="T41" s="14"/>
      <c r="U41" s="14"/>
      <c r="V41" s="14"/>
      <c r="W41" s="27"/>
      <c r="X41" s="27"/>
      <c r="Y41" s="27"/>
    </row>
    <row r="42" spans="1:27">
      <c r="B42" s="15"/>
      <c r="C42" s="14"/>
      <c r="D42" s="14"/>
      <c r="E42" s="14"/>
      <c r="F42" s="14"/>
      <c r="G42" s="14"/>
      <c r="H42" s="14"/>
      <c r="I42" s="14"/>
      <c r="J42" s="14"/>
      <c r="K42" s="14"/>
      <c r="L42" s="14"/>
      <c r="M42" s="14"/>
      <c r="N42" s="14"/>
      <c r="O42" s="14"/>
      <c r="P42" s="14"/>
      <c r="Q42" s="14"/>
      <c r="R42" s="14"/>
      <c r="S42" s="14"/>
      <c r="T42" s="14"/>
      <c r="U42" s="14"/>
      <c r="V42" s="14"/>
      <c r="W42" s="27"/>
      <c r="X42" s="27"/>
      <c r="Y42" s="27"/>
    </row>
    <row r="43" spans="1:27">
      <c r="B43" s="15"/>
      <c r="C43" s="14"/>
      <c r="D43" s="14"/>
      <c r="E43" s="14"/>
      <c r="F43" s="14"/>
      <c r="G43" s="14"/>
      <c r="H43" s="14"/>
      <c r="I43" s="14"/>
      <c r="J43" s="14"/>
      <c r="K43" s="14"/>
      <c r="L43" s="14"/>
      <c r="M43" s="14"/>
      <c r="N43" s="14"/>
      <c r="O43" s="14"/>
      <c r="P43" s="14"/>
      <c r="Q43" s="14"/>
      <c r="R43" s="14"/>
      <c r="S43" s="14"/>
      <c r="T43" s="14"/>
      <c r="U43" s="14"/>
      <c r="V43" s="14"/>
    </row>
    <row r="44" spans="1:27">
      <c r="B44" s="15"/>
      <c r="C44" s="14"/>
      <c r="D44" s="14"/>
      <c r="E44" s="14"/>
      <c r="F44" s="14"/>
      <c r="G44" s="14"/>
      <c r="H44" s="14"/>
      <c r="I44" s="14"/>
      <c r="J44" s="14"/>
      <c r="K44" s="14"/>
      <c r="L44" s="14"/>
      <c r="M44" s="14"/>
      <c r="N44" s="14"/>
      <c r="O44" s="14"/>
      <c r="P44" s="14"/>
      <c r="Q44" s="14"/>
      <c r="R44" s="14"/>
      <c r="S44" s="14"/>
      <c r="T44" s="14"/>
      <c r="U44" s="14"/>
      <c r="V44" s="14"/>
    </row>
    <row r="45" spans="1:27">
      <c r="B45" s="15"/>
      <c r="C45" s="14"/>
      <c r="D45" s="14"/>
      <c r="E45" s="14"/>
      <c r="F45" s="14"/>
      <c r="G45" s="14"/>
      <c r="H45" s="14"/>
      <c r="I45" s="14"/>
      <c r="J45" s="14"/>
      <c r="K45" s="14"/>
      <c r="L45" s="14"/>
      <c r="M45" s="14"/>
      <c r="N45" s="14"/>
      <c r="O45" s="14"/>
      <c r="P45" s="14"/>
      <c r="Q45" s="14"/>
      <c r="R45" s="14"/>
      <c r="S45" s="14"/>
      <c r="T45" s="14"/>
      <c r="U45" s="14"/>
      <c r="V45" s="14"/>
    </row>
    <row r="46" spans="1:27">
      <c r="B46" s="15"/>
      <c r="C46" s="14"/>
      <c r="D46" s="26"/>
    </row>
    <row r="47" spans="1:27">
      <c r="B47" s="15"/>
      <c r="C47" s="14"/>
      <c r="D47" s="26"/>
    </row>
    <row r="48" spans="1:27">
      <c r="C48" s="14"/>
    </row>
    <row r="49" spans="2:27">
      <c r="C49" s="14"/>
    </row>
    <row r="50" spans="2:27" s="17" customFormat="1" ht="16">
      <c r="B50" s="25"/>
      <c r="C50" s="14"/>
      <c r="D50" s="22"/>
      <c r="E50" s="22"/>
      <c r="F50" s="20"/>
      <c r="G50" s="20"/>
      <c r="H50" s="22"/>
      <c r="I50" s="22"/>
      <c r="J50" s="23"/>
      <c r="K50" s="23"/>
      <c r="L50" s="21"/>
      <c r="M50" s="24"/>
      <c r="N50" s="22"/>
      <c r="O50" s="21"/>
      <c r="P50" s="21"/>
      <c r="Q50" s="24"/>
      <c r="R50" s="24"/>
      <c r="S50" s="22"/>
      <c r="T50" s="23"/>
      <c r="U50" s="22"/>
      <c r="V50" s="21"/>
      <c r="W50" s="20"/>
      <c r="X50" s="19"/>
      <c r="Y50" s="19"/>
      <c r="AA50" s="18"/>
    </row>
    <row r="51" spans="2:27">
      <c r="C51" s="14"/>
      <c r="H51" s="16"/>
      <c r="I51" s="16"/>
      <c r="J51" s="16"/>
      <c r="K51" s="16"/>
      <c r="L51" s="16"/>
      <c r="M51" s="16"/>
      <c r="N51" s="16"/>
      <c r="O51" s="16"/>
      <c r="P51" s="16"/>
      <c r="Q51" s="16"/>
      <c r="R51" s="16"/>
      <c r="S51" s="16"/>
      <c r="T51" s="16"/>
      <c r="U51" s="16"/>
      <c r="V51" s="16"/>
    </row>
    <row r="52" spans="2:27">
      <c r="C52" s="14"/>
      <c r="AA52" s="12"/>
    </row>
    <row r="53" spans="2:27">
      <c r="C53" s="14"/>
      <c r="AA53" s="12"/>
    </row>
    <row r="54" spans="2:27">
      <c r="C54" s="14"/>
      <c r="AA54" s="12"/>
    </row>
    <row r="55" spans="2:27">
      <c r="C55" s="14"/>
      <c r="AA55" s="12"/>
    </row>
  </sheetData>
  <mergeCells count="6">
    <mergeCell ref="H6:H7"/>
    <mergeCell ref="C6:C7"/>
    <mergeCell ref="D6:D7"/>
    <mergeCell ref="E6:E7"/>
    <mergeCell ref="F6:F7"/>
    <mergeCell ref="G6:G7"/>
  </mergeCells>
  <conditionalFormatting sqref="C8:V27 X8:Y27 C29:V32 X29:Y32">
    <cfRule type="expression" dxfId="198" priority="9">
      <formula>MOD(ROW(),2)=0</formula>
    </cfRule>
  </conditionalFormatting>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75</v>
      </c>
      <c r="D3" s="78" t="s">
        <v>75</v>
      </c>
      <c r="E3" s="77" t="s">
        <v>75</v>
      </c>
    </row>
    <row r="4" spans="2:5" ht="15">
      <c r="B4" s="76"/>
      <c r="C4" s="75" t="s">
        <v>17</v>
      </c>
      <c r="D4" s="75" t="s">
        <v>59</v>
      </c>
      <c r="E4" s="75" t="s">
        <v>68</v>
      </c>
    </row>
    <row r="5" spans="2:5">
      <c r="B5" s="74" t="s">
        <v>67</v>
      </c>
      <c r="C5" s="73"/>
      <c r="D5" s="73"/>
      <c r="E5" s="73"/>
    </row>
    <row r="6" spans="2:5">
      <c r="B6" s="67" t="s">
        <v>9</v>
      </c>
      <c r="C6" s="72" t="e">
        <f>'Master - Summary'!H29</f>
        <v>#NUM!</v>
      </c>
      <c r="D6" s="72" t="e">
        <f>'Master - Summary'!O29</f>
        <v>#NUM!</v>
      </c>
      <c r="E6" s="72" t="e">
        <f>'Master - Summary'!V29</f>
        <v>#NUM!</v>
      </c>
    </row>
    <row r="7" spans="2:5">
      <c r="B7" s="65" t="s">
        <v>8</v>
      </c>
      <c r="C7" s="64" t="e">
        <f>'Master - Summary'!H30</f>
        <v>#NUM!</v>
      </c>
      <c r="D7" s="64" t="e">
        <f>'Master - Summary'!O30</f>
        <v>#NUM!</v>
      </c>
      <c r="E7" s="64" t="e">
        <f>'Master - Summary'!V30</f>
        <v>#NUM!</v>
      </c>
    </row>
    <row r="8" spans="2:5">
      <c r="B8" s="63" t="s">
        <v>7</v>
      </c>
      <c r="C8" s="64" t="e">
        <f>'Master - Summary'!H31</f>
        <v>#NUM!</v>
      </c>
      <c r="D8" s="64" t="e">
        <f>'Master - Summary'!O31</f>
        <v>#NUM!</v>
      </c>
      <c r="E8" s="64" t="e">
        <f>'Master - Summary'!V31</f>
        <v>#NUM!</v>
      </c>
    </row>
    <row r="9" spans="2:5">
      <c r="B9" s="61" t="s">
        <v>6</v>
      </c>
      <c r="C9" s="60" t="e">
        <f>'Master - Summary'!H32</f>
        <v>#DIV/0!</v>
      </c>
      <c r="D9" s="64" t="e">
        <f>'Master - Summary'!O32</f>
        <v>#DIV/0!</v>
      </c>
      <c r="E9" s="60" t="e">
        <f>'Master - Summary'!V32</f>
        <v>#DIV/0!</v>
      </c>
    </row>
    <row r="10" spans="2:5">
      <c r="B10" s="59" t="str">
        <f>'Master - Summary'!C34</f>
        <v>-</v>
      </c>
      <c r="C10" s="58" t="str">
        <f>'Master - Summary'!H34</f>
        <v>-</v>
      </c>
      <c r="D10" s="58" t="str">
        <f>'Master - Summary'!O34</f>
        <v>-</v>
      </c>
      <c r="E10" s="58" t="str">
        <f>'Master - Summary'!V34</f>
        <v>-</v>
      </c>
    </row>
    <row r="11" spans="2:5">
      <c r="B11" s="71"/>
      <c r="C11" s="70"/>
      <c r="D11" s="70"/>
      <c r="E11" s="70"/>
    </row>
    <row r="12" spans="2:5">
      <c r="B12" s="69" t="s">
        <v>66</v>
      </c>
      <c r="C12" s="68"/>
      <c r="D12" s="68"/>
      <c r="E12" s="68"/>
    </row>
    <row r="13" spans="2:5">
      <c r="B13" s="67" t="s">
        <v>65</v>
      </c>
      <c r="C13" s="66" t="e">
        <f>C8</f>
        <v>#NUM!</v>
      </c>
      <c r="D13" s="66" t="e">
        <f>D8</f>
        <v>#NUM!</v>
      </c>
      <c r="E13" s="66" t="e">
        <f>E8</f>
        <v>#NUM!</v>
      </c>
    </row>
    <row r="14" spans="2:5">
      <c r="B14" s="65" t="s">
        <v>64</v>
      </c>
      <c r="C14" s="64" t="e">
        <f>(C7-C8)</f>
        <v>#NUM!</v>
      </c>
      <c r="D14" s="64" t="e">
        <f>(D7-D8)</f>
        <v>#NUM!</v>
      </c>
      <c r="E14" s="64" t="e">
        <f>(E7-E8)</f>
        <v>#NUM!</v>
      </c>
    </row>
    <row r="15" spans="2:5">
      <c r="B15" s="63" t="s">
        <v>63</v>
      </c>
      <c r="C15" s="62" t="e">
        <f>(C6-C7)</f>
        <v>#NUM!</v>
      </c>
      <c r="D15" s="62" t="e">
        <f>(D6-D7)</f>
        <v>#NUM!</v>
      </c>
      <c r="E15" s="62" t="e">
        <f>(E6-E7)</f>
        <v>#NUM!</v>
      </c>
    </row>
    <row r="16" spans="2:5">
      <c r="B16" s="61" t="s">
        <v>6</v>
      </c>
      <c r="C16" s="60" t="e">
        <f t="shared" ref="C16:E17" si="0">C9</f>
        <v>#DIV/0!</v>
      </c>
      <c r="D16" s="60" t="e">
        <f t="shared" si="0"/>
        <v>#DIV/0!</v>
      </c>
      <c r="E16" s="60" t="e">
        <f t="shared" si="0"/>
        <v>#DIV/0!</v>
      </c>
    </row>
    <row r="17" spans="2:5">
      <c r="B17" s="59" t="str">
        <f>'Master - Summary'!C34</f>
        <v>-</v>
      </c>
      <c r="C17" s="58" t="str">
        <f t="shared" si="0"/>
        <v>-</v>
      </c>
      <c r="D17" s="58" t="str">
        <f t="shared" si="0"/>
        <v>-</v>
      </c>
      <c r="E17" s="58" t="str">
        <f t="shared" si="0"/>
        <v>-</v>
      </c>
    </row>
    <row r="19" spans="2:5">
      <c r="B19" s="57" t="s">
        <v>62</v>
      </c>
      <c r="C19" s="56" t="e">
        <f>C10-C7</f>
        <v>#VALUE!</v>
      </c>
      <c r="D19" s="56" t="e">
        <f>D10-D7</f>
        <v>#VALUE!</v>
      </c>
      <c r="E19" s="56" t="e">
        <f>E10-E7</f>
        <v>#VALUE!</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D234-4768-4B54-96B7-5AE8CD25BDC4}">
  <sheetPr>
    <tabColor theme="9"/>
    <pageSetUpPr autoPageBreaks="0"/>
  </sheetPr>
  <dimension ref="B2:Q71"/>
  <sheetViews>
    <sheetView showGridLines="0" topLeftCell="J30" zoomScaleNormal="100" workbookViewId="0">
      <selection activeCell="X33" sqref="X33"/>
    </sheetView>
  </sheetViews>
  <sheetFormatPr defaultRowHeight="14.5" outlineLevelRow="1"/>
  <cols>
    <col min="2" max="2" width="26.26953125" bestFit="1" customWidth="1"/>
    <col min="3" max="14" width="15.7265625" customWidth="1"/>
    <col min="15" max="15" width="10.81640625" customWidth="1"/>
  </cols>
  <sheetData>
    <row r="2" spans="2:14" hidden="1" outlineLevel="1">
      <c r="B2" s="523" t="s">
        <v>808</v>
      </c>
      <c r="C2" s="525" t="str">
        <f t="shared" ref="C2:N2" si="0">C24</f>
        <v>CEO</v>
      </c>
      <c r="D2" s="525" t="str">
        <f t="shared" si="0"/>
        <v>CEO</v>
      </c>
      <c r="E2" s="525" t="str">
        <f t="shared" si="0"/>
        <v>CFO</v>
      </c>
      <c r="F2" s="525" t="str">
        <f t="shared" si="0"/>
        <v>CFO</v>
      </c>
      <c r="G2" s="525" t="str">
        <f t="shared" si="0"/>
        <v>COO</v>
      </c>
      <c r="H2" s="525" t="str">
        <f t="shared" si="0"/>
        <v>COO</v>
      </c>
      <c r="I2" s="525" t="str">
        <f t="shared" si="0"/>
        <v>Legal</v>
      </c>
      <c r="J2" s="525" t="str">
        <f t="shared" si="0"/>
        <v>Legal</v>
      </c>
      <c r="K2" s="525" t="str">
        <f t="shared" si="0"/>
        <v>NEO4</v>
      </c>
      <c r="L2" s="525" t="str">
        <f t="shared" si="0"/>
        <v>NEO4</v>
      </c>
      <c r="M2" s="525" t="str">
        <f t="shared" si="0"/>
        <v>NEO5</v>
      </c>
      <c r="N2" s="525" t="str">
        <f t="shared" si="0"/>
        <v>NEO5</v>
      </c>
    </row>
    <row r="3" spans="2:14" hidden="1" outlineLevel="1">
      <c r="B3" s="522" t="s">
        <v>9</v>
      </c>
      <c r="C3" s="960">
        <v>34</v>
      </c>
      <c r="D3" s="960">
        <v>34</v>
      </c>
      <c r="E3" s="960">
        <v>34</v>
      </c>
      <c r="F3" s="960">
        <v>34</v>
      </c>
      <c r="G3" s="960">
        <v>33</v>
      </c>
      <c r="H3" s="960">
        <v>33</v>
      </c>
      <c r="I3" s="960">
        <v>22</v>
      </c>
      <c r="J3" s="960">
        <v>22</v>
      </c>
      <c r="K3" s="960">
        <v>34</v>
      </c>
      <c r="L3" s="960">
        <v>34</v>
      </c>
      <c r="M3" s="960">
        <v>34</v>
      </c>
      <c r="N3" s="960">
        <v>34</v>
      </c>
    </row>
    <row r="4" spans="2:14" hidden="1" outlineLevel="1">
      <c r="B4" s="522" t="s">
        <v>8</v>
      </c>
      <c r="C4" s="157">
        <f>C3+1</f>
        <v>35</v>
      </c>
      <c r="D4" s="157">
        <f>D3+1</f>
        <v>35</v>
      </c>
      <c r="E4" s="157">
        <f t="shared" ref="E4" si="1">E3+1</f>
        <v>35</v>
      </c>
      <c r="F4" s="157">
        <f t="shared" ref="D4:M6" si="2">F3+1</f>
        <v>35</v>
      </c>
      <c r="G4" s="157">
        <f t="shared" si="2"/>
        <v>34</v>
      </c>
      <c r="H4" s="157">
        <f t="shared" ref="H4" si="3">H3+1</f>
        <v>34</v>
      </c>
      <c r="I4" s="157">
        <f t="shared" si="2"/>
        <v>23</v>
      </c>
      <c r="J4" s="157">
        <f t="shared" ref="J4" si="4">J3+1</f>
        <v>23</v>
      </c>
      <c r="K4" s="157">
        <f t="shared" si="2"/>
        <v>35</v>
      </c>
      <c r="L4" s="157">
        <f t="shared" ref="L4" si="5">L3+1</f>
        <v>35</v>
      </c>
      <c r="M4" s="157">
        <f t="shared" si="2"/>
        <v>35</v>
      </c>
      <c r="N4" s="157">
        <f t="shared" ref="N4" si="6">N3+1</f>
        <v>35</v>
      </c>
    </row>
    <row r="5" spans="2:14" hidden="1" outlineLevel="1">
      <c r="B5" s="522" t="s">
        <v>7</v>
      </c>
      <c r="C5" s="157">
        <f>C4+1</f>
        <v>36</v>
      </c>
      <c r="D5" s="157">
        <f t="shared" si="2"/>
        <v>36</v>
      </c>
      <c r="E5" s="157">
        <f t="shared" ref="E5" si="7">E4+1</f>
        <v>36</v>
      </c>
      <c r="F5" s="157">
        <f t="shared" si="2"/>
        <v>36</v>
      </c>
      <c r="G5" s="157">
        <f t="shared" si="2"/>
        <v>35</v>
      </c>
      <c r="H5" s="157">
        <f t="shared" ref="H5" si="8">H4+1</f>
        <v>35</v>
      </c>
      <c r="I5" s="157">
        <f t="shared" si="2"/>
        <v>24</v>
      </c>
      <c r="J5" s="157">
        <f t="shared" ref="J5" si="9">J4+1</f>
        <v>24</v>
      </c>
      <c r="K5" s="157">
        <f t="shared" si="2"/>
        <v>36</v>
      </c>
      <c r="L5" s="157">
        <f t="shared" ref="L5" si="10">L4+1</f>
        <v>36</v>
      </c>
      <c r="M5" s="157">
        <f t="shared" si="2"/>
        <v>36</v>
      </c>
      <c r="N5" s="157">
        <f t="shared" ref="N5" si="11">N4+1</f>
        <v>36</v>
      </c>
    </row>
    <row r="6" spans="2:14" hidden="1" outlineLevel="1">
      <c r="B6" s="522" t="s">
        <v>6</v>
      </c>
      <c r="C6" s="157">
        <f>C5+1</f>
        <v>37</v>
      </c>
      <c r="D6" s="157">
        <f t="shared" si="2"/>
        <v>37</v>
      </c>
      <c r="E6" s="157">
        <f t="shared" ref="E6" si="12">E5+1</f>
        <v>37</v>
      </c>
      <c r="F6" s="157">
        <f t="shared" si="2"/>
        <v>37</v>
      </c>
      <c r="G6" s="157">
        <f t="shared" si="2"/>
        <v>36</v>
      </c>
      <c r="H6" s="157">
        <f t="shared" ref="H6" si="13">H5+1</f>
        <v>36</v>
      </c>
      <c r="I6" s="157">
        <f t="shared" si="2"/>
        <v>25</v>
      </c>
      <c r="J6" s="157">
        <f t="shared" ref="J6" si="14">J5+1</f>
        <v>25</v>
      </c>
      <c r="K6" s="157">
        <f t="shared" si="2"/>
        <v>37</v>
      </c>
      <c r="L6" s="157">
        <f t="shared" ref="L6" si="15">L5+1</f>
        <v>37</v>
      </c>
      <c r="M6" s="157">
        <f t="shared" si="2"/>
        <v>37</v>
      </c>
      <c r="N6" s="157">
        <f t="shared" ref="N6" si="16">N5+1</f>
        <v>37</v>
      </c>
    </row>
    <row r="7" spans="2:14" hidden="1" outlineLevel="1">
      <c r="B7" s="522" t="s">
        <v>677</v>
      </c>
      <c r="C7" s="960">
        <v>39</v>
      </c>
      <c r="D7" s="960">
        <v>39</v>
      </c>
      <c r="E7" s="960">
        <v>39</v>
      </c>
      <c r="F7" s="960">
        <v>39</v>
      </c>
      <c r="G7" s="960">
        <v>38</v>
      </c>
      <c r="H7" s="960">
        <v>38</v>
      </c>
      <c r="I7" s="960">
        <v>27</v>
      </c>
      <c r="J7" s="960">
        <v>27</v>
      </c>
      <c r="K7" s="960">
        <v>39</v>
      </c>
      <c r="L7" s="960">
        <v>39</v>
      </c>
      <c r="M7" s="960">
        <v>39</v>
      </c>
      <c r="N7" s="960">
        <v>39</v>
      </c>
    </row>
    <row r="8" spans="2:14" hidden="1" outlineLevel="1">
      <c r="B8" s="55" t="s">
        <v>814</v>
      </c>
      <c r="C8" s="961"/>
      <c r="D8" s="961"/>
      <c r="E8" s="961"/>
      <c r="F8" s="961"/>
      <c r="G8" s="961"/>
      <c r="H8" s="961"/>
      <c r="I8" s="961"/>
      <c r="J8" s="961"/>
      <c r="K8" s="961"/>
      <c r="L8" s="961"/>
      <c r="M8" s="960">
        <f>M7+2</f>
        <v>41</v>
      </c>
      <c r="N8" s="960">
        <f>N7+2</f>
        <v>41</v>
      </c>
    </row>
    <row r="9" spans="2:14" hidden="1" outlineLevel="1">
      <c r="B9" s="55" t="s">
        <v>815</v>
      </c>
      <c r="C9" s="961"/>
      <c r="D9" s="961"/>
      <c r="E9" s="961"/>
      <c r="F9" s="961"/>
      <c r="G9" s="961"/>
      <c r="H9" s="961"/>
      <c r="I9" s="961"/>
      <c r="J9" s="961"/>
      <c r="K9" s="961"/>
      <c r="L9" s="961"/>
      <c r="M9" s="960">
        <f>M8+2</f>
        <v>43</v>
      </c>
      <c r="N9" s="960">
        <f>N8+2</f>
        <v>43</v>
      </c>
    </row>
    <row r="10" spans="2:14" hidden="1" outlineLevel="1">
      <c r="B10" s="55" t="s">
        <v>810</v>
      </c>
      <c r="C10" s="960">
        <f t="shared" ref="C10:N10" si="17">C7+1</f>
        <v>40</v>
      </c>
      <c r="D10" s="960">
        <f t="shared" si="17"/>
        <v>40</v>
      </c>
      <c r="E10" s="960">
        <f t="shared" si="17"/>
        <v>40</v>
      </c>
      <c r="F10" s="960">
        <f t="shared" si="17"/>
        <v>40</v>
      </c>
      <c r="G10" s="960">
        <f t="shared" si="17"/>
        <v>39</v>
      </c>
      <c r="H10" s="960">
        <f t="shared" si="17"/>
        <v>39</v>
      </c>
      <c r="I10" s="960">
        <f t="shared" si="17"/>
        <v>28</v>
      </c>
      <c r="J10" s="960">
        <f t="shared" si="17"/>
        <v>28</v>
      </c>
      <c r="K10" s="960">
        <f t="shared" si="17"/>
        <v>40</v>
      </c>
      <c r="L10" s="960">
        <f t="shared" si="17"/>
        <v>40</v>
      </c>
      <c r="M10" s="960">
        <f t="shared" si="17"/>
        <v>40</v>
      </c>
      <c r="N10" s="960">
        <f t="shared" si="17"/>
        <v>40</v>
      </c>
    </row>
    <row r="11" spans="2:14" hidden="1" outlineLevel="1"/>
    <row r="12" spans="2:14" hidden="1" outlineLevel="1">
      <c r="B12" s="523" t="s">
        <v>662</v>
      </c>
      <c r="C12" s="525" t="s">
        <v>806</v>
      </c>
      <c r="D12" s="525" t="s">
        <v>807</v>
      </c>
      <c r="E12" s="525" t="str">
        <f>C12</f>
        <v>W</v>
      </c>
      <c r="F12" s="525" t="str">
        <f t="shared" ref="F12:N12" si="18">D12</f>
        <v>AA</v>
      </c>
      <c r="G12" s="525" t="str">
        <f t="shared" si="18"/>
        <v>W</v>
      </c>
      <c r="H12" s="525" t="str">
        <f t="shared" si="18"/>
        <v>AA</v>
      </c>
      <c r="I12" s="525" t="str">
        <f t="shared" si="18"/>
        <v>W</v>
      </c>
      <c r="J12" s="525" t="str">
        <f t="shared" si="18"/>
        <v>AA</v>
      </c>
      <c r="K12" s="525" t="str">
        <f t="shared" si="18"/>
        <v>W</v>
      </c>
      <c r="L12" s="525" t="str">
        <f t="shared" si="18"/>
        <v>AA</v>
      </c>
      <c r="M12" s="525" t="str">
        <f t="shared" si="18"/>
        <v>W</v>
      </c>
      <c r="N12" s="525" t="str">
        <f t="shared" si="18"/>
        <v>AA</v>
      </c>
    </row>
    <row r="13" spans="2:14" hidden="1" outlineLevel="1">
      <c r="B13" s="522" t="str">
        <f>B28</f>
        <v>75th Percentile</v>
      </c>
      <c r="C13" s="157" t="str">
        <f t="shared" ref="C13:N13" si="19">C$12&amp;C3</f>
        <v>W34</v>
      </c>
      <c r="D13" s="157" t="str">
        <f t="shared" si="19"/>
        <v>AA34</v>
      </c>
      <c r="E13" s="157" t="str">
        <f t="shared" si="19"/>
        <v>W34</v>
      </c>
      <c r="F13" s="157" t="str">
        <f t="shared" si="19"/>
        <v>AA34</v>
      </c>
      <c r="G13" s="157" t="str">
        <f t="shared" si="19"/>
        <v>W33</v>
      </c>
      <c r="H13" s="157" t="str">
        <f t="shared" si="19"/>
        <v>AA33</v>
      </c>
      <c r="I13" s="157" t="str">
        <f t="shared" si="19"/>
        <v>W22</v>
      </c>
      <c r="J13" s="157" t="str">
        <f t="shared" si="19"/>
        <v>AA22</v>
      </c>
      <c r="K13" s="157" t="str">
        <f t="shared" si="19"/>
        <v>W34</v>
      </c>
      <c r="L13" s="157" t="str">
        <f t="shared" si="19"/>
        <v>AA34</v>
      </c>
      <c r="M13" s="157" t="str">
        <f t="shared" si="19"/>
        <v>W34</v>
      </c>
      <c r="N13" s="157" t="str">
        <f t="shared" si="19"/>
        <v>AA34</v>
      </c>
    </row>
    <row r="14" spans="2:14" hidden="1" outlineLevel="1">
      <c r="B14" s="522" t="str">
        <f>B29</f>
        <v>Median</v>
      </c>
      <c r="C14" s="157" t="str">
        <f t="shared" ref="C14:N14" si="20">C$12&amp;C4</f>
        <v>W35</v>
      </c>
      <c r="D14" s="157" t="str">
        <f t="shared" si="20"/>
        <v>AA35</v>
      </c>
      <c r="E14" s="157" t="str">
        <f t="shared" si="20"/>
        <v>W35</v>
      </c>
      <c r="F14" s="157" t="str">
        <f t="shared" si="20"/>
        <v>AA35</v>
      </c>
      <c r="G14" s="157" t="str">
        <f t="shared" si="20"/>
        <v>W34</v>
      </c>
      <c r="H14" s="157" t="str">
        <f t="shared" si="20"/>
        <v>AA34</v>
      </c>
      <c r="I14" s="157" t="str">
        <f t="shared" si="20"/>
        <v>W23</v>
      </c>
      <c r="J14" s="157" t="str">
        <f t="shared" si="20"/>
        <v>AA23</v>
      </c>
      <c r="K14" s="157" t="str">
        <f t="shared" si="20"/>
        <v>W35</v>
      </c>
      <c r="L14" s="157" t="str">
        <f t="shared" si="20"/>
        <v>AA35</v>
      </c>
      <c r="M14" s="157" t="str">
        <f t="shared" si="20"/>
        <v>W35</v>
      </c>
      <c r="N14" s="157" t="str">
        <f t="shared" si="20"/>
        <v>AA35</v>
      </c>
    </row>
    <row r="15" spans="2:14" hidden="1" outlineLevel="1">
      <c r="B15" s="522" t="str">
        <f>B30</f>
        <v>25th Percentile</v>
      </c>
      <c r="C15" s="157" t="str">
        <f t="shared" ref="C15:N15" si="21">C$12&amp;C5</f>
        <v>W36</v>
      </c>
      <c r="D15" s="157" t="str">
        <f t="shared" si="21"/>
        <v>AA36</v>
      </c>
      <c r="E15" s="157" t="str">
        <f t="shared" si="21"/>
        <v>W36</v>
      </c>
      <c r="F15" s="157" t="str">
        <f t="shared" si="21"/>
        <v>AA36</v>
      </c>
      <c r="G15" s="157" t="str">
        <f t="shared" si="21"/>
        <v>W35</v>
      </c>
      <c r="H15" s="157" t="str">
        <f t="shared" si="21"/>
        <v>AA35</v>
      </c>
      <c r="I15" s="157" t="str">
        <f t="shared" si="21"/>
        <v>W24</v>
      </c>
      <c r="J15" s="157" t="str">
        <f t="shared" si="21"/>
        <v>AA24</v>
      </c>
      <c r="K15" s="157" t="str">
        <f t="shared" si="21"/>
        <v>W36</v>
      </c>
      <c r="L15" s="157" t="str">
        <f t="shared" si="21"/>
        <v>AA36</v>
      </c>
      <c r="M15" s="157" t="str">
        <f t="shared" si="21"/>
        <v>W36</v>
      </c>
      <c r="N15" s="157" t="str">
        <f t="shared" si="21"/>
        <v>AA36</v>
      </c>
    </row>
    <row r="16" spans="2:14" hidden="1" outlineLevel="1">
      <c r="B16" s="522" t="str">
        <f>B31</f>
        <v>Average</v>
      </c>
      <c r="C16" s="157" t="str">
        <f t="shared" ref="C16:N16" si="22">C$12&amp;C6</f>
        <v>W37</v>
      </c>
      <c r="D16" s="157" t="str">
        <f t="shared" si="22"/>
        <v>AA37</v>
      </c>
      <c r="E16" s="157" t="str">
        <f t="shared" si="22"/>
        <v>W37</v>
      </c>
      <c r="F16" s="157" t="str">
        <f t="shared" si="22"/>
        <v>AA37</v>
      </c>
      <c r="G16" s="157" t="str">
        <f t="shared" si="22"/>
        <v>W36</v>
      </c>
      <c r="H16" s="157" t="str">
        <f t="shared" si="22"/>
        <v>AA36</v>
      </c>
      <c r="I16" s="157" t="str">
        <f t="shared" si="22"/>
        <v>W25</v>
      </c>
      <c r="J16" s="157" t="str">
        <f t="shared" si="22"/>
        <v>AA25</v>
      </c>
      <c r="K16" s="157" t="str">
        <f t="shared" si="22"/>
        <v>W37</v>
      </c>
      <c r="L16" s="157" t="str">
        <f t="shared" si="22"/>
        <v>AA37</v>
      </c>
      <c r="M16" s="157" t="str">
        <f t="shared" si="22"/>
        <v>W37</v>
      </c>
      <c r="N16" s="157" t="str">
        <f t="shared" si="22"/>
        <v>AA37</v>
      </c>
    </row>
    <row r="17" spans="2:17" hidden="1" outlineLevel="1">
      <c r="B17" s="522" t="str">
        <f>B32</f>
        <v>Hudbay Minerals Inc.</v>
      </c>
      <c r="C17" s="157" t="str">
        <f t="shared" ref="C17:N17" si="23">C$12&amp;C7</f>
        <v>W39</v>
      </c>
      <c r="D17" s="157" t="str">
        <f t="shared" si="23"/>
        <v>AA39</v>
      </c>
      <c r="E17" s="157" t="str">
        <f t="shared" si="23"/>
        <v>W39</v>
      </c>
      <c r="F17" s="157" t="str">
        <f t="shared" si="23"/>
        <v>AA39</v>
      </c>
      <c r="G17" s="157" t="str">
        <f t="shared" si="23"/>
        <v>W38</v>
      </c>
      <c r="H17" s="157" t="str">
        <f t="shared" si="23"/>
        <v>AA38</v>
      </c>
      <c r="I17" s="157" t="str">
        <f t="shared" si="23"/>
        <v>W27</v>
      </c>
      <c r="J17" s="157" t="str">
        <f t="shared" si="23"/>
        <v>AA27</v>
      </c>
      <c r="K17" s="157" t="str">
        <f t="shared" si="23"/>
        <v>W39</v>
      </c>
      <c r="L17" s="157" t="str">
        <f t="shared" si="23"/>
        <v>AA39</v>
      </c>
      <c r="M17" s="157" t="str">
        <f t="shared" si="23"/>
        <v>W39</v>
      </c>
      <c r="N17" s="157" t="str">
        <f t="shared" si="23"/>
        <v>AA39</v>
      </c>
    </row>
    <row r="18" spans="2:17" hidden="1" outlineLevel="1">
      <c r="B18" s="522" t="str">
        <f>B8</f>
        <v>Hudbay2</v>
      </c>
      <c r="C18" s="157"/>
      <c r="D18" s="157"/>
      <c r="E18" s="157"/>
      <c r="F18" s="157"/>
      <c r="G18" s="157"/>
      <c r="H18" s="157"/>
      <c r="I18" s="157"/>
      <c r="J18" s="157"/>
      <c r="K18" s="157"/>
      <c r="L18" s="157"/>
      <c r="M18" s="157" t="str">
        <f t="shared" ref="M18:N20" si="24">M$12&amp;M8</f>
        <v>W41</v>
      </c>
      <c r="N18" s="157" t="str">
        <f t="shared" si="24"/>
        <v>AA41</v>
      </c>
    </row>
    <row r="19" spans="2:17" hidden="1" outlineLevel="1">
      <c r="B19" s="522" t="str">
        <f>B9</f>
        <v>Hudbay3</v>
      </c>
      <c r="C19" s="157"/>
      <c r="D19" s="157"/>
      <c r="E19" s="157"/>
      <c r="F19" s="157"/>
      <c r="G19" s="157"/>
      <c r="H19" s="157"/>
      <c r="I19" s="157"/>
      <c r="J19" s="157"/>
      <c r="K19" s="157"/>
      <c r="L19" s="157"/>
      <c r="M19" s="157" t="str">
        <f t="shared" si="24"/>
        <v>W43</v>
      </c>
      <c r="N19" s="157" t="str">
        <f t="shared" si="24"/>
        <v>AA43</v>
      </c>
    </row>
    <row r="20" spans="2:17" hidden="1" outlineLevel="1">
      <c r="B20" s="522" t="str">
        <f>B10</f>
        <v>Percentiles</v>
      </c>
      <c r="C20" s="157" t="str">
        <f t="shared" ref="C20:L20" si="25">C$12&amp;C10</f>
        <v>W40</v>
      </c>
      <c r="D20" s="157" t="str">
        <f t="shared" si="25"/>
        <v>AA40</v>
      </c>
      <c r="E20" s="157" t="str">
        <f t="shared" si="25"/>
        <v>W40</v>
      </c>
      <c r="F20" s="157" t="str">
        <f t="shared" si="25"/>
        <v>AA40</v>
      </c>
      <c r="G20" s="157" t="str">
        <f t="shared" si="25"/>
        <v>W39</v>
      </c>
      <c r="H20" s="157" t="str">
        <f t="shared" si="25"/>
        <v>AA39</v>
      </c>
      <c r="I20" s="157" t="str">
        <f t="shared" si="25"/>
        <v>W28</v>
      </c>
      <c r="J20" s="157" t="str">
        <f t="shared" si="25"/>
        <v>AA28</v>
      </c>
      <c r="K20" s="157" t="str">
        <f t="shared" si="25"/>
        <v>W40</v>
      </c>
      <c r="L20" s="157" t="str">
        <f t="shared" si="25"/>
        <v>AA40</v>
      </c>
      <c r="M20" s="157" t="str">
        <f t="shared" si="24"/>
        <v>W40</v>
      </c>
      <c r="N20" s="157" t="str">
        <f t="shared" si="24"/>
        <v>AA40</v>
      </c>
    </row>
    <row r="21" spans="2:17" hidden="1" outlineLevel="1">
      <c r="B21" s="55"/>
      <c r="C21" s="157"/>
      <c r="D21" s="157"/>
      <c r="E21" s="157"/>
      <c r="F21" s="157"/>
      <c r="G21" s="157"/>
      <c r="H21" s="157"/>
      <c r="I21" s="157"/>
      <c r="J21" s="157"/>
      <c r="K21" s="157"/>
      <c r="L21" s="157"/>
      <c r="M21" s="157" t="str">
        <f>M$12&amp;M$10+2</f>
        <v>W42</v>
      </c>
      <c r="N21" s="157" t="str">
        <f>N$12&amp;N$10+2</f>
        <v>AA42</v>
      </c>
    </row>
    <row r="22" spans="2:17" hidden="1" outlineLevel="1">
      <c r="M22" s="157" t="str">
        <f>M$12&amp;M$10+4</f>
        <v>W44</v>
      </c>
      <c r="N22" s="157" t="str">
        <f>N$12&amp;N$10+4</f>
        <v>AA44</v>
      </c>
    </row>
    <row r="23" spans="2:17" collapsed="1"/>
    <row r="24" spans="2:17">
      <c r="C24" s="945" t="s">
        <v>79</v>
      </c>
      <c r="D24" s="944" t="str">
        <f>C24</f>
        <v>CEO</v>
      </c>
      <c r="E24" s="944" t="s">
        <v>106</v>
      </c>
      <c r="F24" s="944" t="str">
        <f>E24</f>
        <v>CFO</v>
      </c>
      <c r="G24" s="944" t="s">
        <v>277</v>
      </c>
      <c r="H24" s="944" t="str">
        <f>G24</f>
        <v>COO</v>
      </c>
      <c r="I24" s="944" t="s">
        <v>468</v>
      </c>
      <c r="J24" s="944" t="str">
        <f>I24</f>
        <v>Legal</v>
      </c>
      <c r="K24" s="944" t="s">
        <v>449</v>
      </c>
      <c r="L24" s="944" t="str">
        <f>K24</f>
        <v>NEO4</v>
      </c>
      <c r="M24" s="944" t="s">
        <v>450</v>
      </c>
      <c r="N24" s="944" t="str">
        <f>M24</f>
        <v>NEO5</v>
      </c>
    </row>
    <row r="25" spans="2:17" ht="15" customHeight="1">
      <c r="B25" s="76"/>
      <c r="C25" s="518" t="s">
        <v>844</v>
      </c>
      <c r="D25" s="943"/>
      <c r="E25" s="518" t="s">
        <v>845</v>
      </c>
      <c r="F25" s="943"/>
      <c r="G25" s="518" t="s">
        <v>846</v>
      </c>
      <c r="H25" s="943"/>
      <c r="I25" s="518" t="s">
        <v>847</v>
      </c>
      <c r="J25" s="943"/>
      <c r="K25" s="518" t="s">
        <v>848</v>
      </c>
      <c r="L25" s="943"/>
      <c r="M25" s="518" t="s">
        <v>849</v>
      </c>
      <c r="N25" s="943"/>
    </row>
    <row r="26" spans="2:17" ht="15">
      <c r="B26" s="76"/>
      <c r="C26" s="75" t="s">
        <v>118</v>
      </c>
      <c r="D26" s="75" t="s">
        <v>246</v>
      </c>
      <c r="E26" s="75" t="str">
        <f>C26</f>
        <v>TDC</v>
      </c>
      <c r="F26" s="75" t="str">
        <f t="shared" ref="F26:N26" si="26">D26</f>
        <v>TC</v>
      </c>
      <c r="G26" s="75" t="str">
        <f t="shared" si="26"/>
        <v>TDC</v>
      </c>
      <c r="H26" s="75" t="str">
        <f t="shared" si="26"/>
        <v>TC</v>
      </c>
      <c r="I26" s="75" t="str">
        <f t="shared" si="26"/>
        <v>TDC</v>
      </c>
      <c r="J26" s="75" t="str">
        <f t="shared" si="26"/>
        <v>TC</v>
      </c>
      <c r="K26" s="75" t="str">
        <f t="shared" si="26"/>
        <v>TDC</v>
      </c>
      <c r="L26" s="75" t="str">
        <f t="shared" si="26"/>
        <v>TC</v>
      </c>
      <c r="M26" s="75" t="str">
        <f t="shared" si="26"/>
        <v>TDC</v>
      </c>
      <c r="N26" s="75" t="str">
        <f t="shared" si="26"/>
        <v>TC</v>
      </c>
    </row>
    <row r="27" spans="2:17">
      <c r="B27" s="74" t="s">
        <v>67</v>
      </c>
      <c r="C27" s="73"/>
      <c r="D27" s="73"/>
      <c r="E27" s="73"/>
      <c r="F27" s="73"/>
      <c r="G27" s="73"/>
      <c r="H27" s="73"/>
      <c r="I27" s="73"/>
      <c r="J27" s="73"/>
      <c r="K27" s="73"/>
      <c r="L27" s="73"/>
      <c r="M27" s="73"/>
      <c r="N27" s="73"/>
    </row>
    <row r="28" spans="2:17">
      <c r="B28" s="67" t="s">
        <v>9</v>
      </c>
      <c r="C28" s="72" cm="1">
        <f t="array" aca="1" ref="C28" ca="1">INDIRECT("'"&amp;C$24&amp;"'!"&amp;C13)</f>
        <v>7308.3083328333332</v>
      </c>
      <c r="D28" s="72" cm="1">
        <f t="array" aca="1" ref="D28" ca="1">INDIRECT("'"&amp;D$24&amp;"'!"&amp;D13)</f>
        <v>7314.592016940278</v>
      </c>
      <c r="E28" s="737" cm="1">
        <f t="array" aca="1" ref="E28" ca="1">INDIRECT("'"&amp;E$24&amp;"'!"&amp;E13)</f>
        <v>2606.1398881547925</v>
      </c>
      <c r="F28" s="737" cm="1">
        <f t="array" aca="1" ref="F28" ca="1">INDIRECT("'"&amp;F$24&amp;"'!"&amp;F13)</f>
        <v>2687.8052300102231</v>
      </c>
      <c r="G28" s="737" cm="1">
        <f t="array" aca="1" ref="G28" ca="1">INDIRECT("'"&amp;G$24&amp;"'!"&amp;G13)</f>
        <v>2780.6960143592996</v>
      </c>
      <c r="H28" s="737" cm="1">
        <f t="array" aca="1" ref="H28" ca="1">INDIRECT("'"&amp;H$24&amp;"'!"&amp;H13)</f>
        <v>2981.7173505000001</v>
      </c>
      <c r="I28" s="737" cm="1">
        <f t="array" aca="1" ref="I28" ca="1">INDIRECT("'"&amp;I$24&amp;"'!"&amp;I13)</f>
        <v>2154.5281529310505</v>
      </c>
      <c r="J28" s="737" cm="1">
        <f t="array" aca="1" ref="J28" ca="1">INDIRECT("'"&amp;J$24&amp;"'!"&amp;J13)</f>
        <v>2432.1550940763918</v>
      </c>
      <c r="K28" s="737" cm="1">
        <f t="array" aca="1" ref="K28" ca="1">INDIRECT("'"&amp;K$24&amp;"'!"&amp;K13)</f>
        <v>2582.7045812814722</v>
      </c>
      <c r="L28" s="737" cm="1">
        <f t="array" aca="1" ref="L28" ca="1">INDIRECT("'"&amp;L$24&amp;"'!"&amp;L13)</f>
        <v>2818.3957825899965</v>
      </c>
      <c r="M28" s="737" cm="1">
        <f t="array" aca="1" ref="M28" ca="1">INDIRECT("'"&amp;M$24&amp;"'!"&amp;M13)</f>
        <v>2053.2028843103499</v>
      </c>
      <c r="N28" s="737" cm="1">
        <f t="array" aca="1" ref="N28" ca="1">INDIRECT("'"&amp;N$24&amp;"'!"&amp;N13)</f>
        <v>2284.5596532103505</v>
      </c>
      <c r="P28" s="732"/>
      <c r="Q28" s="732"/>
    </row>
    <row r="29" spans="2:17">
      <c r="B29" s="65" t="s">
        <v>8</v>
      </c>
      <c r="C29" s="738" cm="1">
        <f t="array" aca="1" ref="C29" ca="1">INDIRECT("'"&amp;C$24&amp;"'!"&amp;C14)</f>
        <v>5171.8977999999997</v>
      </c>
      <c r="D29" s="738" cm="1">
        <f t="array" aca="1" ref="D29" ca="1">INDIRECT("'"&amp;D$24&amp;"'!"&amp;D14)</f>
        <v>5486.9212555185377</v>
      </c>
      <c r="E29" s="738" cm="1">
        <f t="array" aca="1" ref="E29" ca="1">INDIRECT("'"&amp;E$24&amp;"'!"&amp;E14)</f>
        <v>2005.61813725</v>
      </c>
      <c r="F29" s="738" cm="1">
        <f t="array" aca="1" ref="F29" ca="1">INDIRECT("'"&amp;F$24&amp;"'!"&amp;F14)</f>
        <v>2116.8867076200004</v>
      </c>
      <c r="G29" s="738" cm="1">
        <f t="array" aca="1" ref="G29" ca="1">INDIRECT("'"&amp;G$24&amp;"'!"&amp;G14)</f>
        <v>2603.8725688303662</v>
      </c>
      <c r="H29" s="738" cm="1">
        <f t="array" aca="1" ref="H29" ca="1">INDIRECT("'"&amp;H$24&amp;"'!"&amp;H14)</f>
        <v>2646.9629034403661</v>
      </c>
      <c r="I29" s="738" cm="1">
        <f t="array" aca="1" ref="I29" ca="1">INDIRECT("'"&amp;I$24&amp;"'!"&amp;I14)</f>
        <v>1724.5541806810281</v>
      </c>
      <c r="J29" s="738" cm="1">
        <f t="array" aca="1" ref="J29" ca="1">INDIRECT("'"&amp;J$24&amp;"'!"&amp;J14)</f>
        <v>1876.9390326110283</v>
      </c>
      <c r="K29" s="738" cm="1">
        <f t="array" aca="1" ref="K29" ca="1">INDIRECT("'"&amp;K$24&amp;"'!"&amp;K14)</f>
        <v>1936.7730911146282</v>
      </c>
      <c r="L29" s="738" cm="1">
        <f t="array" aca="1" ref="L29" ca="1">INDIRECT("'"&amp;L$24&amp;"'!"&amp;L14)</f>
        <v>2047.4295461857646</v>
      </c>
      <c r="M29" s="738" cm="1">
        <f t="array" aca="1" ref="M29" ca="1">INDIRECT("'"&amp;M$24&amp;"'!"&amp;M14)</f>
        <v>1591.6156004248865</v>
      </c>
      <c r="N29" s="738" cm="1">
        <f t="array" aca="1" ref="N29" ca="1">INDIRECT("'"&amp;N$24&amp;"'!"&amp;N14)</f>
        <v>1639.1807900000001</v>
      </c>
      <c r="O29" s="571"/>
      <c r="P29" s="732"/>
      <c r="Q29" s="743"/>
    </row>
    <row r="30" spans="2:17">
      <c r="B30" s="63" t="s">
        <v>7</v>
      </c>
      <c r="C30" s="738" cm="1">
        <f t="array" aca="1" ref="C30" ca="1">INDIRECT("'"&amp;C$24&amp;"'!"&amp;C15)</f>
        <v>4412.0242187500007</v>
      </c>
      <c r="D30" s="738" cm="1">
        <f t="array" aca="1" ref="D30" ca="1">INDIRECT("'"&amp;D$24&amp;"'!"&amp;D15)</f>
        <v>4495.8069976325005</v>
      </c>
      <c r="E30" s="738" cm="1">
        <f t="array" aca="1" ref="E30" ca="1">INDIRECT("'"&amp;E$24&amp;"'!"&amp;E15)</f>
        <v>1835.1016758663027</v>
      </c>
      <c r="F30" s="738" cm="1">
        <f t="array" aca="1" ref="F30" ca="1">INDIRECT("'"&amp;F$24&amp;"'!"&amp;F15)</f>
        <v>1908.7374252364079</v>
      </c>
      <c r="G30" s="738" cm="1">
        <f t="array" aca="1" ref="G30" ca="1">INDIRECT("'"&amp;G$24&amp;"'!"&amp;G15)</f>
        <v>2191.283285</v>
      </c>
      <c r="H30" s="738" cm="1">
        <f t="array" aca="1" ref="H30" ca="1">INDIRECT("'"&amp;H$24&amp;"'!"&amp;H15)</f>
        <v>2231.5866249999999</v>
      </c>
      <c r="I30" s="738" cm="1">
        <f t="array" aca="1" ref="I30" ca="1">INDIRECT("'"&amp;I$24&amp;"'!"&amp;I15)</f>
        <v>1506.127285</v>
      </c>
      <c r="J30" s="738" cm="1">
        <f t="array" aca="1" ref="J30" ca="1">INDIRECT("'"&amp;J$24&amp;"'!"&amp;J15)</f>
        <v>1633.0278450000001</v>
      </c>
      <c r="K30" s="738" cm="1">
        <f t="array" aca="1" ref="K30" ca="1">INDIRECT("'"&amp;K$24&amp;"'!"&amp;K15)</f>
        <v>1670.454</v>
      </c>
      <c r="L30" s="738" cm="1">
        <f t="array" aca="1" ref="L30" ca="1">INDIRECT("'"&amp;L$24&amp;"'!"&amp;L15)</f>
        <v>1727.7329999999999</v>
      </c>
      <c r="M30" s="738" cm="1">
        <f t="array" aca="1" ref="M30" ca="1">INDIRECT("'"&amp;M$24&amp;"'!"&amp;M15)</f>
        <v>1457.4747200000002</v>
      </c>
      <c r="N30" s="738" cm="1">
        <f t="array" aca="1" ref="N30" ca="1">INDIRECT("'"&amp;N$24&amp;"'!"&amp;N15)</f>
        <v>1557.1222647336897</v>
      </c>
      <c r="O30" s="732"/>
    </row>
    <row r="31" spans="2:17">
      <c r="B31" s="61" t="s">
        <v>6</v>
      </c>
      <c r="C31" s="739" cm="1">
        <f t="array" aca="1" ref="C31" ca="1">INDIRECT("'"&amp;C$24&amp;"'!"&amp;C16)</f>
        <v>5748.5394797901872</v>
      </c>
      <c r="D31" s="739" cm="1">
        <f t="array" aca="1" ref="D31" ca="1">INDIRECT("'"&amp;D$24&amp;"'!"&amp;D16)</f>
        <v>5997.4396654028842</v>
      </c>
      <c r="E31" s="738" cm="1">
        <f t="array" aca="1" ref="E31" ca="1">INDIRECT("'"&amp;E$24&amp;"'!"&amp;E16)</f>
        <v>2155.0188331924646</v>
      </c>
      <c r="F31" s="738" cm="1">
        <f t="array" aca="1" ref="F31" ca="1">INDIRECT("'"&amp;F$24&amp;"'!"&amp;F16)</f>
        <v>2247.7604954460353</v>
      </c>
      <c r="G31" s="738" cm="1">
        <f t="array" aca="1" ref="G31" ca="1">INDIRECT("'"&amp;G$24&amp;"'!"&amp;G16)</f>
        <v>2516.0841360159611</v>
      </c>
      <c r="H31" s="738" cm="1">
        <f t="array" aca="1" ref="H31" ca="1">INDIRECT("'"&amp;H$24&amp;"'!"&amp;H16)</f>
        <v>2629.0557957934611</v>
      </c>
      <c r="I31" s="738" cm="1">
        <f t="array" aca="1" ref="I31" ca="1">INDIRECT("'"&amp;I$24&amp;"'!"&amp;I16)</f>
        <v>1913.374464891853</v>
      </c>
      <c r="J31" s="738" cm="1">
        <f t="array" aca="1" ref="J31" ca="1">INDIRECT("'"&amp;J$24&amp;"'!"&amp;J16)</f>
        <v>2059.2209540431031</v>
      </c>
      <c r="K31" s="738" cm="1">
        <f t="array" aca="1" ref="K31" ca="1">INDIRECT("'"&amp;K$24&amp;"'!"&amp;K16)</f>
        <v>2081.9385066605696</v>
      </c>
      <c r="L31" s="738" cm="1">
        <f t="array" aca="1" ref="L31" ca="1">INDIRECT("'"&amp;L$24&amp;"'!"&amp;L16)</f>
        <v>2191.7691142285894</v>
      </c>
      <c r="M31" s="738" cm="1">
        <f t="array" aca="1" ref="M31" ca="1">INDIRECT("'"&amp;M$24&amp;"'!"&amp;M16)</f>
        <v>1761.9856810713468</v>
      </c>
      <c r="N31" s="738" cm="1">
        <f t="array" aca="1" ref="N31" ca="1">INDIRECT("'"&amp;N$24&amp;"'!"&amp;N16)</f>
        <v>1856.3996225099183</v>
      </c>
      <c r="O31" s="744"/>
    </row>
    <row r="32" spans="2:17">
      <c r="B32" s="59" t="str">
        <f>CEO!C39</f>
        <v>Hudbay Minerals Inc.</v>
      </c>
      <c r="C32" s="740" cm="1">
        <f t="array" aca="1" ref="C32" ca="1">INDIRECT("'"&amp;C$24&amp;"'!"&amp;C17)</f>
        <v>5080.4962500000001</v>
      </c>
      <c r="D32" s="740" cm="1">
        <f t="array" aca="1" ref="D32" ca="1">INDIRECT("'"&amp;D$24&amp;"'!"&amp;D17)</f>
        <v>5457.5722500000002</v>
      </c>
      <c r="E32" s="740" cm="1">
        <f t="array" aca="1" ref="E32" ca="1">INDIRECT("'"&amp;E$24&amp;"'!"&amp;E17)</f>
        <v>2065.2516000000001</v>
      </c>
      <c r="F32" s="740" cm="1">
        <f t="array" aca="1" ref="F32" ca="1">INDIRECT("'"&amp;F$24&amp;"'!"&amp;F17)</f>
        <v>2300.9745999999996</v>
      </c>
      <c r="G32" s="740" cm="1">
        <f t="array" aca="1" ref="G32" ca="1">INDIRECT("'"&amp;G$24&amp;"'!"&amp;G17)</f>
        <v>2343.6</v>
      </c>
      <c r="H32" s="740" cm="1">
        <f t="array" aca="1" ref="H32" ca="1">INDIRECT("'"&amp;H$24&amp;"'!"&amp;H17)</f>
        <v>2503.127</v>
      </c>
      <c r="I32" s="740" cm="1">
        <f t="array" aca="1" ref="I32" ca="1">INDIRECT("'"&amp;I$24&amp;"'!"&amp;I17)</f>
        <v>1630.39175</v>
      </c>
      <c r="J32" s="740" cm="1">
        <f t="array" aca="1" ref="J32" ca="1">INDIRECT("'"&amp;J$24&amp;"'!"&amp;J17)</f>
        <v>1837.9277500000001</v>
      </c>
      <c r="K32" s="740" cm="1">
        <f t="array" aca="1" ref="K32" ca="1">INDIRECT("'"&amp;K$24&amp;"'!"&amp;K17)</f>
        <v>1630.39175</v>
      </c>
      <c r="L32" s="740" cm="1">
        <f t="array" aca="1" ref="L32" ca="1">INDIRECT("'"&amp;L$24&amp;"'!"&amp;L17)</f>
        <v>1837.9277500000001</v>
      </c>
      <c r="M32" s="740" cm="1">
        <f t="array" aca="1" ref="M32" ca="1">INDIRECT("'"&amp;M$24&amp;"'!"&amp;M17)</f>
        <v>1698.922012984</v>
      </c>
      <c r="N32" s="740" cm="1">
        <f t="array" aca="1" ref="N32" ca="1">INDIRECT("'"&amp;N$24&amp;"'!"&amp;N17)</f>
        <v>1818.9596503340001</v>
      </c>
      <c r="O32" s="745"/>
    </row>
    <row r="33" spans="2:15">
      <c r="B33" s="71" t="str">
        <f>'NEO5'!G43</f>
        <v>SVP, Canada</v>
      </c>
      <c r="C33" s="946"/>
      <c r="D33" s="946"/>
      <c r="E33" s="946"/>
      <c r="F33" s="946"/>
      <c r="G33" s="946"/>
      <c r="H33" s="946"/>
      <c r="I33" s="946"/>
      <c r="J33" s="946"/>
      <c r="K33" s="946"/>
      <c r="L33" s="946"/>
      <c r="M33" s="740" cm="1">
        <f t="array" aca="1" ref="M33" ca="1">INDIRECT("'"&amp;M$24&amp;"'!"&amp;M18)</f>
        <v>1304.3800000000001</v>
      </c>
      <c r="N33" s="954"/>
      <c r="O33" s="745"/>
    </row>
    <row r="34" spans="2:15">
      <c r="B34" s="71" t="str">
        <f>'NEO5'!G41</f>
        <v>SVP, Exploration and Technical Services</v>
      </c>
      <c r="C34" s="946"/>
      <c r="D34" s="946"/>
      <c r="E34" s="946"/>
      <c r="F34" s="946"/>
      <c r="G34" s="946"/>
      <c r="H34" s="946"/>
      <c r="I34" s="946"/>
      <c r="J34" s="946"/>
      <c r="K34" s="946"/>
      <c r="L34" s="946"/>
      <c r="M34" s="740" cm="1">
        <f t="array" aca="1" ref="M34" ca="1">INDIRECT("'"&amp;M$24&amp;"'!"&amp;M19)</f>
        <v>1269.8</v>
      </c>
      <c r="N34" s="954"/>
      <c r="O34" s="745"/>
    </row>
    <row r="35" spans="2:15">
      <c r="B35" s="71"/>
      <c r="C35" s="70"/>
      <c r="D35" s="70"/>
      <c r="E35" s="70"/>
      <c r="F35" s="70"/>
      <c r="G35" s="70"/>
      <c r="H35" s="70"/>
      <c r="I35" s="70"/>
      <c r="J35" s="70"/>
      <c r="K35" s="70"/>
      <c r="L35" s="70"/>
      <c r="M35" s="70"/>
      <c r="N35" s="70"/>
    </row>
    <row r="36" spans="2:15">
      <c r="B36" s="69" t="s">
        <v>66</v>
      </c>
      <c r="C36" s="68"/>
      <c r="D36" s="68"/>
      <c r="E36" s="68"/>
      <c r="F36" s="68"/>
      <c r="G36" s="68"/>
      <c r="H36" s="68"/>
      <c r="I36" s="68"/>
      <c r="J36" s="68"/>
      <c r="K36" s="68"/>
      <c r="L36" s="68"/>
      <c r="M36" s="68"/>
      <c r="N36" s="68"/>
    </row>
    <row r="37" spans="2:15">
      <c r="B37" s="67" t="s">
        <v>65</v>
      </c>
      <c r="C37" s="66">
        <f ca="1">C30</f>
        <v>4412.0242187500007</v>
      </c>
      <c r="D37" s="66">
        <f t="shared" ref="D37:N37" ca="1" si="27">D30</f>
        <v>4495.8069976325005</v>
      </c>
      <c r="E37" s="66">
        <f t="shared" ca="1" si="27"/>
        <v>1835.1016758663027</v>
      </c>
      <c r="F37" s="66">
        <f t="shared" ca="1" si="27"/>
        <v>1908.7374252364079</v>
      </c>
      <c r="G37" s="66">
        <f t="shared" ca="1" si="27"/>
        <v>2191.283285</v>
      </c>
      <c r="H37" s="66">
        <f t="shared" ca="1" si="27"/>
        <v>2231.5866249999999</v>
      </c>
      <c r="I37" s="66">
        <f t="shared" ca="1" si="27"/>
        <v>1506.127285</v>
      </c>
      <c r="J37" s="66">
        <f t="shared" ca="1" si="27"/>
        <v>1633.0278450000001</v>
      </c>
      <c r="K37" s="66">
        <f t="shared" ca="1" si="27"/>
        <v>1670.454</v>
      </c>
      <c r="L37" s="66">
        <f t="shared" ca="1" si="27"/>
        <v>1727.7329999999999</v>
      </c>
      <c r="M37" s="66">
        <f t="shared" ca="1" si="27"/>
        <v>1457.4747200000002</v>
      </c>
      <c r="N37" s="66">
        <f t="shared" ca="1" si="27"/>
        <v>1557.1222647336897</v>
      </c>
    </row>
    <row r="38" spans="2:15">
      <c r="B38" s="65" t="s">
        <v>64</v>
      </c>
      <c r="C38" s="64">
        <f ca="1">(C29-C30)</f>
        <v>759.87358124999901</v>
      </c>
      <c r="D38" s="64">
        <f t="shared" ref="D38:N38" ca="1" si="28">(D29-D30)</f>
        <v>991.11425788603719</v>
      </c>
      <c r="E38" s="64">
        <f t="shared" ca="1" si="28"/>
        <v>170.51646138369733</v>
      </c>
      <c r="F38" s="64">
        <f t="shared" ca="1" si="28"/>
        <v>208.14928238359244</v>
      </c>
      <c r="G38" s="64">
        <f t="shared" ca="1" si="28"/>
        <v>412.58928383036618</v>
      </c>
      <c r="H38" s="64">
        <f t="shared" ca="1" si="28"/>
        <v>415.37627844036615</v>
      </c>
      <c r="I38" s="64">
        <f t="shared" ca="1" si="28"/>
        <v>218.4268956810281</v>
      </c>
      <c r="J38" s="64">
        <f t="shared" ca="1" si="28"/>
        <v>243.91118761102825</v>
      </c>
      <c r="K38" s="64">
        <f t="shared" ca="1" si="28"/>
        <v>266.31909111462824</v>
      </c>
      <c r="L38" s="64">
        <f t="shared" ca="1" si="28"/>
        <v>319.69654618576465</v>
      </c>
      <c r="M38" s="64">
        <f t="shared" ca="1" si="28"/>
        <v>134.14088042488629</v>
      </c>
      <c r="N38" s="64">
        <f t="shared" ca="1" si="28"/>
        <v>82.058525266310426</v>
      </c>
    </row>
    <row r="39" spans="2:15">
      <c r="B39" s="63" t="s">
        <v>63</v>
      </c>
      <c r="C39" s="62">
        <f ca="1">(C28-C29)</f>
        <v>2136.4105328333335</v>
      </c>
      <c r="D39" s="62">
        <f t="shared" ref="D39:N39" ca="1" si="29">(D28-D29)</f>
        <v>1827.6707614217403</v>
      </c>
      <c r="E39" s="62">
        <f t="shared" ca="1" si="29"/>
        <v>600.5217509047925</v>
      </c>
      <c r="F39" s="62">
        <f t="shared" ca="1" si="29"/>
        <v>570.91852239022273</v>
      </c>
      <c r="G39" s="62">
        <f t="shared" ca="1" si="29"/>
        <v>176.82344552893346</v>
      </c>
      <c r="H39" s="62">
        <f t="shared" ca="1" si="29"/>
        <v>334.754447059634</v>
      </c>
      <c r="I39" s="62">
        <f t="shared" ca="1" si="29"/>
        <v>429.97397225002237</v>
      </c>
      <c r="J39" s="62">
        <f t="shared" ca="1" si="29"/>
        <v>555.21606146536351</v>
      </c>
      <c r="K39" s="62">
        <f t="shared" ca="1" si="29"/>
        <v>645.93149016684401</v>
      </c>
      <c r="L39" s="62">
        <f t="shared" ca="1" si="29"/>
        <v>770.96623640423195</v>
      </c>
      <c r="M39" s="62">
        <f t="shared" ca="1" si="29"/>
        <v>461.58728388546342</v>
      </c>
      <c r="N39" s="62">
        <f t="shared" ca="1" si="29"/>
        <v>645.37886321035035</v>
      </c>
    </row>
    <row r="40" spans="2:15">
      <c r="B40" s="61" t="s">
        <v>6</v>
      </c>
      <c r="C40" s="60">
        <f ca="1">C31</f>
        <v>5748.5394797901872</v>
      </c>
      <c r="D40" s="60">
        <f t="shared" ref="D40:N40" ca="1" si="30">D31</f>
        <v>5997.4396654028842</v>
      </c>
      <c r="E40" s="60">
        <f t="shared" ca="1" si="30"/>
        <v>2155.0188331924646</v>
      </c>
      <c r="F40" s="60">
        <f t="shared" ca="1" si="30"/>
        <v>2247.7604954460353</v>
      </c>
      <c r="G40" s="60">
        <f t="shared" ca="1" si="30"/>
        <v>2516.0841360159611</v>
      </c>
      <c r="H40" s="60">
        <f t="shared" ca="1" si="30"/>
        <v>2629.0557957934611</v>
      </c>
      <c r="I40" s="60">
        <f t="shared" ca="1" si="30"/>
        <v>1913.374464891853</v>
      </c>
      <c r="J40" s="60">
        <f t="shared" ca="1" si="30"/>
        <v>2059.2209540431031</v>
      </c>
      <c r="K40" s="60">
        <f t="shared" ca="1" si="30"/>
        <v>2081.9385066605696</v>
      </c>
      <c r="L40" s="60">
        <f t="shared" ca="1" si="30"/>
        <v>2191.7691142285894</v>
      </c>
      <c r="M40" s="60">
        <f t="shared" ca="1" si="30"/>
        <v>1761.9856810713468</v>
      </c>
      <c r="N40" s="60">
        <f t="shared" ca="1" si="30"/>
        <v>1856.3996225099183</v>
      </c>
    </row>
    <row r="41" spans="2:15">
      <c r="B41" s="59" t="str">
        <f>B32</f>
        <v>Hudbay Minerals Inc.</v>
      </c>
      <c r="C41" s="58">
        <f ca="1">C32</f>
        <v>5080.4962500000001</v>
      </c>
      <c r="D41" s="58">
        <f t="shared" ref="D41:N41" ca="1" si="31">D32</f>
        <v>5457.5722500000002</v>
      </c>
      <c r="E41" s="58">
        <f t="shared" ca="1" si="31"/>
        <v>2065.2516000000001</v>
      </c>
      <c r="F41" s="58">
        <f t="shared" ca="1" si="31"/>
        <v>2300.9745999999996</v>
      </c>
      <c r="G41" s="58">
        <f t="shared" ca="1" si="31"/>
        <v>2343.6</v>
      </c>
      <c r="H41" s="58">
        <f t="shared" ca="1" si="31"/>
        <v>2503.127</v>
      </c>
      <c r="I41" s="58">
        <f t="shared" ca="1" si="31"/>
        <v>1630.39175</v>
      </c>
      <c r="J41" s="58">
        <f t="shared" ca="1" si="31"/>
        <v>1837.9277500000001</v>
      </c>
      <c r="K41" s="58">
        <f t="shared" ca="1" si="31"/>
        <v>1630.39175</v>
      </c>
      <c r="L41" s="58">
        <f t="shared" ca="1" si="31"/>
        <v>1837.9277500000001</v>
      </c>
      <c r="M41" s="58">
        <f t="shared" ca="1" si="31"/>
        <v>1698.922012984</v>
      </c>
      <c r="N41" s="58">
        <f t="shared" ca="1" si="31"/>
        <v>1818.9596503340001</v>
      </c>
    </row>
    <row r="42" spans="2:15">
      <c r="B42" s="947" t="s">
        <v>811</v>
      </c>
      <c r="C42" s="948" cm="1">
        <f t="array" aca="1" ref="C42" ca="1">INDIRECT("'"&amp;C$24&amp;"'!"&amp;C20)*100</f>
        <v>49</v>
      </c>
      <c r="D42" s="948" cm="1">
        <f t="array" aca="1" ref="D42" ca="1">INDIRECT("'"&amp;D$24&amp;"'!"&amp;D20)*100</f>
        <v>49.6</v>
      </c>
      <c r="E42" s="948" cm="1">
        <f t="array" aca="1" ref="E42" ca="1">INDIRECT("'"&amp;E$24&amp;"'!"&amp;E20)*100</f>
        <v>52.2</v>
      </c>
      <c r="F42" s="948" cm="1">
        <f t="array" aca="1" ref="F42" ca="1">INDIRECT("'"&amp;F$24&amp;"'!"&amp;F20)*100</f>
        <v>62</v>
      </c>
      <c r="G42" s="948" cm="1">
        <f t="array" aca="1" ref="G42" ca="1">INDIRECT("'"&amp;G$24&amp;"'!"&amp;G20)*100</f>
        <v>34.4</v>
      </c>
      <c r="H42" s="948" cm="1">
        <f t="array" aca="1" ref="H42" ca="1">INDIRECT("'"&amp;H$24&amp;"'!"&amp;H20)*100</f>
        <v>34.4</v>
      </c>
      <c r="I42" s="948" cm="1">
        <f t="array" aca="1" ref="I42" ca="1">INDIRECT("'"&amp;I$24&amp;"'!"&amp;I20)*100</f>
        <v>44.1</v>
      </c>
      <c r="J42" s="948" cm="1">
        <f t="array" aca="1" ref="J42" ca="1">INDIRECT("'"&amp;J$24&amp;"'!"&amp;J20)*100</f>
        <v>48.4</v>
      </c>
      <c r="K42" s="948" cm="1">
        <f t="array" aca="1" ref="K42" ca="1">INDIRECT("'"&amp;K$24&amp;"'!"&amp;K20)*100</f>
        <v>21.7</v>
      </c>
      <c r="L42" s="948" cm="1">
        <f t="array" aca="1" ref="L42" ca="1">INDIRECT("'"&amp;L$24&amp;"'!"&amp;L20)*100</f>
        <v>37.1</v>
      </c>
      <c r="M42" s="948" cm="1">
        <f t="array" aca="1" ref="M42" ca="1">INDIRECT("'"&amp;M$24&amp;"'!"&amp;M20)*100</f>
        <v>62.1</v>
      </c>
      <c r="N42" s="948" cm="1">
        <f t="array" aca="1" ref="N42" ca="1">INDIRECT("'"&amp;N$24&amp;"'!"&amp;N20)*100</f>
        <v>62</v>
      </c>
    </row>
    <row r="43" spans="2:15">
      <c r="M43" s="948" cm="1">
        <f t="array" aca="1" ref="M43" ca="1">IFERROR(INDIRECT("'"&amp;M$24&amp;"'!"&amp;M21)*100,"P00")</f>
        <v>1.0999999999999999</v>
      </c>
      <c r="N43" s="948" t="str" cm="1">
        <f t="array" aca="1" ref="N43" ca="1">IFERROR(INDIRECT("'"&amp;N$24&amp;"'!"&amp;N21)*100,"P00")</f>
        <v>P00</v>
      </c>
    </row>
    <row r="44" spans="2:15">
      <c r="M44" s="948" t="str" cm="1">
        <f t="array" aca="1" ref="M44" ca="1">IFERROR(INDIRECT("'"&amp;M$24&amp;"'!"&amp;M22)*100,"P00")</f>
        <v>P00</v>
      </c>
      <c r="N44" s="948" t="str" cm="1">
        <f t="array" aca="1" ref="N44" ca="1">IFERROR(INDIRECT("'"&amp;N$24&amp;"'!"&amp;N22)*100,"P00")</f>
        <v>P00</v>
      </c>
    </row>
    <row r="45" spans="2:15">
      <c r="N45" s="948">
        <f>'NEO5'!AB40*100</f>
        <v>16.600000000000001</v>
      </c>
    </row>
    <row r="46" spans="2:15">
      <c r="B46" s="57" t="s">
        <v>62</v>
      </c>
      <c r="C46" s="56">
        <f ca="1">C32-C29</f>
        <v>-91.401549999999588</v>
      </c>
      <c r="D46" s="56">
        <f t="shared" ref="D46:N46" ca="1" si="32">D32-D29</f>
        <v>-29.349005518537524</v>
      </c>
      <c r="E46" s="56">
        <f t="shared" ca="1" si="32"/>
        <v>59.633462750000035</v>
      </c>
      <c r="F46" s="56">
        <f t="shared" ca="1" si="32"/>
        <v>184.08789237999918</v>
      </c>
      <c r="G46" s="56">
        <f t="shared" ca="1" si="32"/>
        <v>-260.27256883036625</v>
      </c>
      <c r="H46" s="56">
        <f t="shared" ca="1" si="32"/>
        <v>-143.83590344036611</v>
      </c>
      <c r="I46" s="56">
        <f t="shared" ca="1" si="32"/>
        <v>-94.162430681028127</v>
      </c>
      <c r="J46" s="56">
        <f t="shared" ca="1" si="32"/>
        <v>-39.011282611028264</v>
      </c>
      <c r="K46" s="56">
        <f t="shared" ca="1" si="32"/>
        <v>-306.38134111462819</v>
      </c>
      <c r="L46" s="56">
        <f t="shared" ca="1" si="32"/>
        <v>-209.50179618576453</v>
      </c>
      <c r="M46" s="56">
        <f t="shared" ca="1" si="32"/>
        <v>107.3064125591136</v>
      </c>
      <c r="N46" s="56">
        <f t="shared" ca="1" si="32"/>
        <v>179.778860334</v>
      </c>
    </row>
    <row r="48" spans="2:15">
      <c r="B48" s="520" t="s">
        <v>695</v>
      </c>
      <c r="C48" s="521"/>
      <c r="D48" s="521"/>
      <c r="E48" s="521"/>
      <c r="F48" s="521"/>
      <c r="G48" s="521"/>
      <c r="H48" s="521"/>
      <c r="I48" s="521"/>
      <c r="J48" s="521"/>
      <c r="K48" s="521"/>
      <c r="L48" s="521"/>
      <c r="M48" s="521"/>
      <c r="N48" s="521"/>
    </row>
    <row r="49" spans="2:15">
      <c r="B49" t="str">
        <f>B33</f>
        <v>SVP, Canada</v>
      </c>
      <c r="M49" s="953">
        <v>10.8</v>
      </c>
      <c r="N49" s="953">
        <f>M49+1</f>
        <v>11.8</v>
      </c>
    </row>
    <row r="50" spans="2:15">
      <c r="B50" t="str">
        <f>B34</f>
        <v>SVP, Exploration and Technical Services</v>
      </c>
      <c r="C50" s="54"/>
      <c r="D50" s="54"/>
      <c r="E50" s="54"/>
      <c r="F50" s="54"/>
      <c r="G50" s="54"/>
      <c r="H50" s="54"/>
      <c r="I50" s="54"/>
      <c r="J50" s="54"/>
      <c r="K50" s="54"/>
      <c r="L50" s="54"/>
      <c r="M50" s="952">
        <v>11.2</v>
      </c>
      <c r="N50" s="952">
        <f>M50+1</f>
        <v>12.2</v>
      </c>
    </row>
    <row r="51" spans="2:15">
      <c r="B51" t="s">
        <v>826</v>
      </c>
      <c r="C51" s="54"/>
      <c r="D51" s="54"/>
      <c r="E51" s="54"/>
      <c r="F51" s="54"/>
      <c r="G51" s="54"/>
      <c r="H51" s="54"/>
      <c r="I51" s="54"/>
      <c r="J51" s="54"/>
      <c r="K51" s="54"/>
      <c r="L51" s="54"/>
      <c r="M51" s="54"/>
      <c r="N51" s="54">
        <f>'NEO5'!AB39</f>
        <v>1397.2466503340002</v>
      </c>
    </row>
    <row r="52" spans="2:15">
      <c r="B52" t="s">
        <v>694</v>
      </c>
    </row>
    <row r="53" spans="2:15">
      <c r="C53" s="602"/>
      <c r="D53" s="602"/>
      <c r="E53" s="602"/>
      <c r="F53" s="602"/>
      <c r="G53" s="602"/>
      <c r="H53" s="602"/>
      <c r="I53" s="602"/>
      <c r="J53" s="602"/>
      <c r="K53" s="602"/>
      <c r="L53" s="602"/>
      <c r="M53" s="602"/>
      <c r="N53" s="602"/>
    </row>
    <row r="54" spans="2:15">
      <c r="B54" s="520" t="s">
        <v>809</v>
      </c>
      <c r="C54" s="521"/>
      <c r="D54" s="521"/>
      <c r="E54" s="521"/>
      <c r="F54" s="521"/>
      <c r="G54" s="521"/>
      <c r="H54" s="521"/>
      <c r="I54" s="521"/>
      <c r="J54" s="521"/>
      <c r="K54" s="521"/>
      <c r="L54" s="521"/>
      <c r="M54" s="521"/>
      <c r="N54" s="521"/>
      <c r="O54" t="s">
        <v>819</v>
      </c>
    </row>
    <row r="55" spans="2:15">
      <c r="B55" t="str">
        <f>B28</f>
        <v>75th Percentile</v>
      </c>
      <c r="D55" s="949">
        <f ca="1">D28/C28-1</f>
        <v>8.5980008242336758E-4</v>
      </c>
      <c r="F55" s="949">
        <f ca="1">F28/E28-1</f>
        <v>3.133574764217717E-2</v>
      </c>
      <c r="H55" s="949">
        <f ca="1">H28/G28-1</f>
        <v>7.2291733833055316E-2</v>
      </c>
      <c r="J55" s="949">
        <f ca="1">J28/I28-1</f>
        <v>0.12885742094743757</v>
      </c>
      <c r="L55" s="949">
        <f ca="1">L28/K28-1</f>
        <v>9.1257514706378107E-2</v>
      </c>
      <c r="N55" s="949">
        <f ca="1">N28/M28-1</f>
        <v>0.11268090974736333</v>
      </c>
      <c r="O55" s="956">
        <f ca="1">AVERAGE(C55:N55)</f>
        <v>7.2880521159805811E-2</v>
      </c>
    </row>
    <row r="56" spans="2:15">
      <c r="B56" t="str">
        <f>B29</f>
        <v>Median</v>
      </c>
      <c r="D56" s="949">
        <f t="shared" ref="D56:F59" ca="1" si="33">D29/C29-1</f>
        <v>6.0910611094932676E-2</v>
      </c>
      <c r="F56" s="949">
        <f t="shared" ca="1" si="33"/>
        <v>5.547844243299771E-2</v>
      </c>
      <c r="H56" s="949">
        <f ca="1">H29/G29-1</f>
        <v>1.654855737788874E-2</v>
      </c>
      <c r="J56" s="949">
        <f ca="1">J29/I29-1</f>
        <v>8.8361881370304873E-2</v>
      </c>
      <c r="L56" s="949">
        <f ca="1">L29/K29-1</f>
        <v>5.7134444700206233E-2</v>
      </c>
      <c r="N56" s="949">
        <f ca="1">N29/M29-1</f>
        <v>2.9884847548877991E-2</v>
      </c>
      <c r="O56" s="956">
        <f ca="1">AVERAGE(C56:N56)</f>
        <v>5.1386464087534701E-2</v>
      </c>
    </row>
    <row r="57" spans="2:15">
      <c r="B57" t="str">
        <f>B30</f>
        <v>25th Percentile</v>
      </c>
      <c r="D57" s="949">
        <f t="shared" ca="1" si="33"/>
        <v>1.8989646186991394E-2</v>
      </c>
      <c r="F57" s="949">
        <f t="shared" ca="1" si="33"/>
        <v>4.0126250408083708E-2</v>
      </c>
      <c r="H57" s="949">
        <f ca="1">H30/G30-1</f>
        <v>1.8392574011716567E-2</v>
      </c>
      <c r="J57" s="949">
        <f ca="1">J30/I30-1</f>
        <v>8.4256198837802776E-2</v>
      </c>
      <c r="L57" s="949">
        <f ca="1">L30/K30-1</f>
        <v>3.4289480584320131E-2</v>
      </c>
      <c r="N57" s="949">
        <f ca="1">N30/M30-1</f>
        <v>6.8369998715099189E-2</v>
      </c>
      <c r="O57" s="956">
        <f ca="1">AVERAGE(C57:N57)</f>
        <v>4.407069145733563E-2</v>
      </c>
    </row>
    <row r="58" spans="2:15">
      <c r="B58" t="str">
        <f>B31</f>
        <v>Average</v>
      </c>
      <c r="D58" s="949">
        <f t="shared" ca="1" si="33"/>
        <v>4.3297986642997E-2</v>
      </c>
      <c r="F58" s="949">
        <f t="shared" ca="1" si="33"/>
        <v>4.3035198034061972E-2</v>
      </c>
      <c r="H58" s="949">
        <f ca="1">H31/G31-1</f>
        <v>4.489979415250489E-2</v>
      </c>
      <c r="J58" s="949">
        <f ca="1">J31/I31-1</f>
        <v>7.6224749429534056E-2</v>
      </c>
      <c r="L58" s="949">
        <f ca="1">L31/K31-1</f>
        <v>5.2754011329656514E-2</v>
      </c>
      <c r="N58" s="949">
        <f ca="1">N31/M31-1</f>
        <v>5.3583830137123867E-2</v>
      </c>
      <c r="O58" s="956">
        <f ca="1">AVERAGE(C58:N58)</f>
        <v>5.2299261620979719E-2</v>
      </c>
    </row>
    <row r="59" spans="2:15">
      <c r="B59" s="950" t="str">
        <f>B32</f>
        <v>Hudbay Minerals Inc.</v>
      </c>
      <c r="C59" s="950"/>
      <c r="D59" s="951">
        <f t="shared" ca="1" si="33"/>
        <v>7.4220308695238213E-2</v>
      </c>
      <c r="E59" s="950"/>
      <c r="F59" s="951">
        <f t="shared" ca="1" si="33"/>
        <v>0.11413766729438657</v>
      </c>
      <c r="G59" s="950"/>
      <c r="H59" s="951">
        <f ca="1">H32/G32-1</f>
        <v>6.8069209762758209E-2</v>
      </c>
      <c r="I59" s="950"/>
      <c r="J59" s="951">
        <f ca="1">J32/I32-1</f>
        <v>0.1272921063296597</v>
      </c>
      <c r="K59" s="950"/>
      <c r="L59" s="951">
        <f ca="1">L32/K32-1</f>
        <v>0.1272921063296597</v>
      </c>
      <c r="M59" s="950"/>
      <c r="N59" s="951">
        <f ca="1">N32/M32-1</f>
        <v>7.0655178067394075E-2</v>
      </c>
      <c r="O59" s="956">
        <f ca="1">AVERAGE(C59:N59)</f>
        <v>9.6944429413182751E-2</v>
      </c>
    </row>
    <row r="60" spans="2:15">
      <c r="B60" t="s">
        <v>812</v>
      </c>
      <c r="D60" s="949" t="str">
        <f ca="1">IF(D59&gt;D56,"Yes","No")</f>
        <v>Yes</v>
      </c>
      <c r="F60" s="949" t="str">
        <f ca="1">IF(F59&gt;F56,"Yes","No")</f>
        <v>Yes</v>
      </c>
      <c r="G60" s="949"/>
      <c r="H60" s="949" t="str">
        <f ca="1">IF(H59&gt;H56,"Yes","No")</f>
        <v>Yes</v>
      </c>
      <c r="J60" s="949" t="str">
        <f ca="1">IF(J59&gt;J56,"Yes","No")</f>
        <v>Yes</v>
      </c>
      <c r="L60" s="949" t="str">
        <f ca="1">IF(L59&gt;L56,"Yes","No")</f>
        <v>Yes</v>
      </c>
      <c r="N60" s="949" t="str">
        <f ca="1">IF(N59&gt;N56,"Yes","No")</f>
        <v>Yes</v>
      </c>
      <c r="O60" s="949"/>
    </row>
    <row r="61" spans="2:15">
      <c r="B61" t="s">
        <v>813</v>
      </c>
      <c r="D61" s="949" t="str">
        <f ca="1">IF(D59&gt;D57,"Yes","No")</f>
        <v>Yes</v>
      </c>
      <c r="F61" s="949" t="str">
        <f ca="1">IF(F59&gt;F57,"Yes","No")</f>
        <v>Yes</v>
      </c>
      <c r="H61" s="949" t="str">
        <f ca="1">IF(H59&gt;H57,"Yes","No")</f>
        <v>Yes</v>
      </c>
      <c r="J61" s="949" t="str">
        <f ca="1">IF(J59&gt;J57,"Yes","No")</f>
        <v>Yes</v>
      </c>
      <c r="L61" s="949" t="str">
        <f ca="1">IF(L59&gt;L57,"Yes","No")</f>
        <v>Yes</v>
      </c>
      <c r="N61" s="949" t="str">
        <f ca="1">IF(N59&gt;N57,"Yes","No")</f>
        <v>Yes</v>
      </c>
    </row>
    <row r="66" spans="2:2">
      <c r="B66" t="s">
        <v>273</v>
      </c>
    </row>
    <row r="67" spans="2:2">
      <c r="B67" t="s">
        <v>279</v>
      </c>
    </row>
    <row r="68" spans="2:2">
      <c r="B68" t="s">
        <v>278</v>
      </c>
    </row>
    <row r="69" spans="2:2">
      <c r="B69" t="s">
        <v>282</v>
      </c>
    </row>
    <row r="70" spans="2:2">
      <c r="B70" t="s">
        <v>282</v>
      </c>
    </row>
    <row r="71" spans="2:2">
      <c r="B71" t="s">
        <v>285</v>
      </c>
    </row>
  </sheetData>
  <pageMargins left="0.7" right="0.7" top="0.75" bottom="0.75" header="0.3" footer="0.3"/>
  <pageSetup orientation="portrait" r:id="rId1"/>
  <customProperties>
    <customPr name="Guid" r:id="rId2"/>
  </customProperties>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5278-3763-4860-BB27-4FF317178294}">
  <sheetPr codeName="Sheet9">
    <tabColor theme="3"/>
    <pageSetUpPr fitToPage="1"/>
  </sheetPr>
  <dimension ref="A1:AY72"/>
  <sheetViews>
    <sheetView topLeftCell="A4" zoomScale="70" zoomScaleNormal="70" workbookViewId="0">
      <selection activeCell="F39" sqref="F39"/>
    </sheetView>
  </sheetViews>
  <sheetFormatPr defaultColWidth="9.1796875" defaultRowHeight="14" outlineLevelRow="1" outlineLevelCol="3"/>
  <cols>
    <col min="1" max="1" width="10.453125" style="12" bestFit="1" customWidth="1"/>
    <col min="2" max="2" width="8.1796875" style="12" customWidth="1"/>
    <col min="3" max="3" width="26.7265625" style="12" bestFit="1" customWidth="1"/>
    <col min="4" max="5" width="14.453125" style="12" hidden="1" customWidth="1" outlineLevel="1"/>
    <col min="6" max="6" width="20" style="12" customWidth="1" outlineLevel="1"/>
    <col min="7" max="7" width="20.1796875" style="12" bestFit="1"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5" width="9.54296875" style="12" customWidth="1" outlineLevel="3"/>
    <col min="26"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41" width="9.1796875" style="12"/>
    <col min="42" max="42" width="34.26953125" style="12" customWidth="1"/>
    <col min="43" max="45" width="9.1796875" style="12"/>
    <col min="46" max="46" width="12.26953125" style="12" bestFit="1" customWidth="1"/>
    <col min="47" max="47" width="11" style="12" bestFit="1" customWidth="1"/>
    <col min="48" max="48" width="11.453125" style="12" bestFit="1" customWidth="1"/>
    <col min="49" max="16384" width="9.1796875" style="12"/>
  </cols>
  <sheetData>
    <row r="1" spans="1:51" s="48" customFormat="1" ht="17.25" customHeight="1">
      <c r="A1" s="111">
        <v>45839</v>
      </c>
    </row>
    <row r="2" spans="1:51">
      <c r="A2" s="12" t="s">
        <v>2</v>
      </c>
      <c r="B2" s="49" t="s">
        <v>24</v>
      </c>
      <c r="C2" s="53" t="s">
        <v>79</v>
      </c>
    </row>
    <row r="3" spans="1:51">
      <c r="B3" s="49" t="s">
        <v>23</v>
      </c>
      <c r="C3" s="53">
        <f>'Raw Data'!$F$9</f>
        <v>2024</v>
      </c>
    </row>
    <row r="4" spans="1:51"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51" ht="21">
      <c r="B5" s="26"/>
      <c r="C5" s="256" t="str">
        <f>+C2&amp; " Benchmarking - "&amp;'Raw Data'!G5&amp;" $000s"</f>
        <v>CEO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51" ht="40" customHeight="1">
      <c r="B6" s="45"/>
      <c r="C6" s="1089" t="s">
        <v>22</v>
      </c>
      <c r="D6" s="1091" t="s">
        <v>21</v>
      </c>
      <c r="E6" s="1091" t="s">
        <v>20</v>
      </c>
      <c r="F6" s="1091" t="s">
        <v>19</v>
      </c>
      <c r="G6" s="1091" t="s">
        <v>18</v>
      </c>
      <c r="H6" s="1098" t="s">
        <v>114</v>
      </c>
      <c r="I6" s="1098" t="s">
        <v>17</v>
      </c>
      <c r="J6" s="962" t="s">
        <v>16</v>
      </c>
      <c r="K6" s="962"/>
      <c r="L6" s="962"/>
      <c r="M6" s="962" t="s">
        <v>16</v>
      </c>
      <c r="N6" s="962"/>
      <c r="O6" s="962" t="s">
        <v>15</v>
      </c>
      <c r="P6" s="962"/>
      <c r="Q6" s="962" t="s">
        <v>14</v>
      </c>
      <c r="R6" s="962"/>
      <c r="S6" s="962"/>
      <c r="T6" s="962" t="s">
        <v>14</v>
      </c>
      <c r="U6" s="962"/>
      <c r="V6" s="962" t="s">
        <v>656</v>
      </c>
      <c r="W6" s="962"/>
      <c r="X6" s="1093" t="s">
        <v>31</v>
      </c>
      <c r="Y6" s="1095" t="s">
        <v>245</v>
      </c>
      <c r="Z6" s="1095" t="s">
        <v>244</v>
      </c>
      <c r="AA6" s="1097"/>
      <c r="AB6" s="698"/>
      <c r="AC6" s="685" t="s">
        <v>12</v>
      </c>
      <c r="AD6" s="610"/>
      <c r="AE6" s="698">
        <v>2023</v>
      </c>
      <c r="AF6" s="699"/>
      <c r="AG6" s="688" t="s">
        <v>657</v>
      </c>
      <c r="AH6" s="689"/>
      <c r="AI6" s="689"/>
      <c r="AJ6" s="689"/>
      <c r="AK6" s="689"/>
      <c r="AL6" s="688" t="s">
        <v>657</v>
      </c>
      <c r="AM6" s="690"/>
      <c r="AN6" s="682"/>
      <c r="AT6" s="729">
        <v>45848</v>
      </c>
    </row>
    <row r="7" spans="1:51" ht="20.149999999999999" customHeight="1">
      <c r="A7" s="52" t="s">
        <v>54</v>
      </c>
      <c r="B7" s="52" t="s">
        <v>25</v>
      </c>
      <c r="C7" s="1090"/>
      <c r="D7" s="1092" t="s">
        <v>21</v>
      </c>
      <c r="E7" s="1092" t="s">
        <v>20</v>
      </c>
      <c r="F7" s="1092" t="s">
        <v>19</v>
      </c>
      <c r="G7" s="1092" t="s">
        <v>18</v>
      </c>
      <c r="H7" s="1099" t="s">
        <v>17</v>
      </c>
      <c r="I7" s="1099" t="s">
        <v>17</v>
      </c>
      <c r="J7" s="963" t="s">
        <v>40</v>
      </c>
      <c r="K7" s="964" t="s">
        <v>51</v>
      </c>
      <c r="L7" s="964" t="s">
        <v>104</v>
      </c>
      <c r="M7" s="964" t="s">
        <v>42</v>
      </c>
      <c r="N7" s="963" t="s">
        <v>41</v>
      </c>
      <c r="O7" s="963" t="s">
        <v>53</v>
      </c>
      <c r="P7" s="963" t="s">
        <v>42</v>
      </c>
      <c r="Q7" s="964" t="s">
        <v>40</v>
      </c>
      <c r="R7" s="965" t="s">
        <v>52</v>
      </c>
      <c r="S7" s="965" t="s">
        <v>105</v>
      </c>
      <c r="T7" s="964" t="s">
        <v>42</v>
      </c>
      <c r="U7" s="966" t="s">
        <v>41</v>
      </c>
      <c r="V7" s="963" t="s">
        <v>40</v>
      </c>
      <c r="W7" s="963" t="s">
        <v>42</v>
      </c>
      <c r="X7" s="1094"/>
      <c r="Y7" s="1096"/>
      <c r="Z7" s="963" t="s">
        <v>40</v>
      </c>
      <c r="AA7" s="967" t="s">
        <v>42</v>
      </c>
      <c r="AB7" s="698"/>
      <c r="AC7" s="686" t="s">
        <v>11</v>
      </c>
      <c r="AD7" s="687" t="s">
        <v>10</v>
      </c>
      <c r="AE7" s="699" t="str">
        <f>AE6&amp;" Lookup"</f>
        <v>2023 Lookup</v>
      </c>
      <c r="AF7" s="699"/>
      <c r="AG7" s="691" t="s">
        <v>22</v>
      </c>
      <c r="AH7" s="692" t="s">
        <v>19</v>
      </c>
      <c r="AI7" s="692" t="s">
        <v>660</v>
      </c>
      <c r="AJ7" s="693" t="s">
        <v>658</v>
      </c>
      <c r="AK7" s="692" t="s">
        <v>18</v>
      </c>
      <c r="AL7" s="694" t="s">
        <v>40</v>
      </c>
      <c r="AM7" s="695" t="s">
        <v>42</v>
      </c>
      <c r="AN7" s="502" t="s">
        <v>659</v>
      </c>
      <c r="AR7" s="12" t="s">
        <v>743</v>
      </c>
      <c r="AS7" s="728" t="s">
        <v>737</v>
      </c>
      <c r="AT7" s="728" t="s">
        <v>740</v>
      </c>
      <c r="AU7" s="728" t="s">
        <v>479</v>
      </c>
      <c r="AV7" s="728" t="s">
        <v>68</v>
      </c>
      <c r="AW7" s="12" t="s">
        <v>747</v>
      </c>
      <c r="AX7" s="12" t="s">
        <v>748</v>
      </c>
      <c r="AY7" s="12" t="s">
        <v>750</v>
      </c>
    </row>
    <row r="8" spans="1:51" ht="20.25" customHeight="1">
      <c r="A8" s="12" t="str">
        <f t="shared" ref="A8:A21" si="0">$B8&amp;"_"&amp;$C$3&amp;"_"&amp;$C$2</f>
        <v>TSX:K_2024_CEO</v>
      </c>
      <c r="B8" s="12" t="str">
        <f>'Raw Data'!D5</f>
        <v>TSX:K</v>
      </c>
      <c r="C8" s="968" t="str">
        <f t="shared" ref="C8:C21" si="1">IFERROR(INDEX(Raw_Data,MATCH($A8,Look_Up,0),MATCH(C$4,Component,0)),"-")</f>
        <v>Kinross Gold Corporation</v>
      </c>
      <c r="D8" s="969">
        <f>_xll.ciqfunctions.udf.CIQ(B8, "IQ_MARKETCAP", $A$1,$A$2)</f>
        <v>26106.304</v>
      </c>
      <c r="E8" s="969">
        <f>_xll.ciqfunctions.udf.CIQ($B8, "IQ_TEV", $A$1,$A$2)</f>
        <v>27085.71429</v>
      </c>
      <c r="F8" s="970" t="str">
        <f t="shared" ref="F8:G21" si="2">IFERROR(INDEX(Raw_Data,MATCH($A8,Look_Up,0),MATCH(F$4,Component,0)),"-")</f>
        <v>J. Paul Rollinson</v>
      </c>
      <c r="G8" s="970" t="str">
        <f t="shared" si="2"/>
        <v>CEO</v>
      </c>
      <c r="H8" s="969">
        <f t="shared" ref="H8:J21" si="3">IFERROR(INDEX(Raw_Data,MATCH($A8,Look_Up,0),MATCH(H$4,Component,0))/1000,"-")</f>
        <v>1700</v>
      </c>
      <c r="I8" s="969">
        <f t="shared" si="3"/>
        <v>1618.8558550000002</v>
      </c>
      <c r="J8" s="971">
        <f t="shared" si="3"/>
        <v>3096.0621652300006</v>
      </c>
      <c r="K8" s="972">
        <f t="shared" ref="K8:L21" si="4">IFERROR(INDEX(Raw_Data,MATCH($A8,Look_Up,0),MATCH(K$4,Component,0)),"-")</f>
        <v>1.9125002115954295</v>
      </c>
      <c r="L8" s="972">
        <f t="shared" si="4"/>
        <v>1.5787500676332247</v>
      </c>
      <c r="M8" s="973">
        <f t="shared" ref="M8:M21" si="5">IFERROR(INDEX(Raw_Data,MATCH($A8,Look_Up,0),MATCH(M$4,Component,0))/1000,"-")</f>
        <v>2428.2837825000001</v>
      </c>
      <c r="N8" s="974">
        <f t="shared" ref="N8:N21" si="6">IFERROR(IF(INDEX(Raw_Data,MATCH($A8,Look_Up,0),MATCH(N$4,Component,0))="-",L8,INDEX(Raw_Data,MATCH($A8,Look_Up,0),MATCH(N$4,Component,0))),"-")</f>
        <v>1.5</v>
      </c>
      <c r="O8" s="971">
        <f t="shared" ref="O8:Q21" si="7">IFERROR(INDEX(Raw_Data,MATCH($A8,Look_Up,0),MATCH(O$4,Component,0))/1000,"-")</f>
        <v>4714.9180202300013</v>
      </c>
      <c r="P8" s="975">
        <f t="shared" si="7"/>
        <v>4047.1396375000004</v>
      </c>
      <c r="Q8" s="971">
        <f t="shared" si="7"/>
        <v>4629.9277453000004</v>
      </c>
      <c r="R8" s="972">
        <f t="shared" ref="R8:S21" si="8">IFERROR(INDEX(Raw_Data,MATCH($A8,Look_Up,0),MATCH(R$4,Component,0)),"-")</f>
        <v>2.86</v>
      </c>
      <c r="S8" s="972">
        <f t="shared" si="8"/>
        <v>2.8733336276689747</v>
      </c>
      <c r="T8" s="973">
        <f t="shared" ref="T8:T21" si="9">IFERROR(INDEX(Raw_Data,MATCH($A8,Look_Up,0),MATCH(T$4,Component,0))/1000,"-")</f>
        <v>4651.5129665203103</v>
      </c>
      <c r="U8" s="974">
        <f t="shared" ref="U8:U21" si="10">IFERROR(IF(INDEX(Raw_Data,MATCH($A8,Look_Up,0),MATCH(U$4,Component,0))="-",S8,INDEX(Raw_Data,MATCH($A8,Look_Up,0),MATCH(U$4,Component,0))),"-")</f>
        <v>2.8733336276689747</v>
      </c>
      <c r="V8" s="971">
        <f t="shared" ref="V8:W21" si="11">IFERROR(INDEX(Raw_Data,MATCH($A8,Look_Up,0),MATCH(V$4,Component,0))/1000,"-")</f>
        <v>9344.8457655300008</v>
      </c>
      <c r="W8" s="976">
        <f t="shared" si="11"/>
        <v>8698.6526040203098</v>
      </c>
      <c r="X8" s="971">
        <f t="shared" ref="X8:Y21" si="12">IFERROR((INDEX(Raw_Data,MATCH($A8,Look_Up,0),MATCH(X$4,Component,0))/1000),"-")</f>
        <v>728.48513475000004</v>
      </c>
      <c r="Y8" s="976">
        <f t="shared" si="12"/>
        <v>411.37024961000003</v>
      </c>
      <c r="Z8" s="971">
        <f t="shared" ref="Z8:AA21" si="13">IFERROR(INDEX(Raw_Data,MATCH($A8,Look_Up,0),MATCH(Z$4,Component,0))/1000,"-")</f>
        <v>10484.701149889999</v>
      </c>
      <c r="AA8" s="976">
        <f t="shared" si="13"/>
        <v>9838.5079883803101</v>
      </c>
      <c r="AB8" s="775"/>
      <c r="AC8" s="776">
        <f t="shared" ref="AC8:AC21" si="14">IFERROR(P8/W8,0)</f>
        <v>0.46526052042008309</v>
      </c>
      <c r="AD8" s="777">
        <f t="shared" ref="AD8:AD21" si="15">IFERROR(T8/W8,0)</f>
        <v>0.53473947957991697</v>
      </c>
      <c r="AE8" s="778" t="str">
        <f t="shared" ref="AE8:AE21" si="16">B8&amp;"_"&amp;$AE$6&amp;"_"&amp;$C$2</f>
        <v>TSX:K_2023_CEO</v>
      </c>
      <c r="AF8" s="778"/>
      <c r="AG8" s="779" t="str" cm="1">
        <f t="array" ref="AG8">IFERROR(INDEX('Import 2023 Data'!$E$4:$I$113,_xlfn.XMATCH(CEO!$AE8,'Import 2023 Data'!$C$4:$C$113),_xlfn.XMATCH(CEO!AG$5,'Import 2023 Data'!$E$3:$I$3)),"-")</f>
        <v>Kinross Gold Corporation</v>
      </c>
      <c r="AH8" s="780" t="str" cm="1">
        <f t="array" ref="AH8">IFERROR(INDEX('Import 2023 Data'!$E$4:$I$113,_xlfn.XMATCH(CEO!$AE8,'Import 2023 Data'!$C$4:$C$113),_xlfn.XMATCH(CEO!AH$5,'Import 2023 Data'!$E$3:$I$3)),"-")</f>
        <v>J. Paul Rollinson</v>
      </c>
      <c r="AI8" s="781" t="str">
        <f>IF(ISNUMBER(_xlfn.XMATCH(C8,'Import 2023 Data'!$E$4:$E$113)),"N","Y")</f>
        <v>N</v>
      </c>
      <c r="AJ8" s="781" t="str">
        <f t="shared" ref="AJ8:AJ21" si="17">IFERROR(IF(TRIM(LOWER(AH8))=TRIM(LOWER(F8)),"N","Y"),"-")</f>
        <v>N</v>
      </c>
      <c r="AK8" s="780" t="str" cm="1">
        <f t="array" ref="AK8">IFERROR(INDEX('Import 2023 Data'!$E$4:$I$113,_xlfn.XMATCH(CEO!$AE8,'Import 2023 Data'!$C$4:$C$113),_xlfn.XMATCH(CEO!AK$5,'Import 2023 Data'!$E$3:$I$3)),"-")</f>
        <v>President and CEO</v>
      </c>
      <c r="AL8" s="889" cm="1">
        <f t="array" ref="AL8">IFERROR(INDEX('Import 2023 Data'!$E$4:$I$113,_xlfn.XMATCH(CEO!$AE8,'Import 2023 Data'!$C$4:$C$113),_xlfn.XMATCH(CEO!AL$5,'Import 2023 Data'!$E$3:$I$3)),"-")</f>
        <v>9041.3336491799982</v>
      </c>
      <c r="AM8" s="890" cm="1">
        <f t="array" ref="AM8">IFERROR(INDEX('Import 2023 Data'!$E$4:$I$113,_xlfn.XMATCH(CEO!$AE8,'Import 2023 Data'!$C$4:$C$113),_xlfn.XMATCH(CEO!AM$5,'Import 2023 Data'!$E$3:$I$3)),"-")</f>
        <v>8608.1221931975215</v>
      </c>
      <c r="AN8" s="938">
        <f>IF(AJ8="N",IFERROR(W8/AM8-1,"-"),"-")</f>
        <v>1.051685940219671E-2</v>
      </c>
      <c r="AR8" s="12" t="str">
        <f t="shared" ref="AR8:AR21" si="18">C8</f>
        <v>Kinross Gold Corporation</v>
      </c>
      <c r="AS8" s="12" t="s">
        <v>738</v>
      </c>
      <c r="AT8" s="362">
        <f>_xll.ciqfunctions.udf.CIQ(B8,"IQ_TOTAL_ASSETS",IQ_LTM,$AT$6,,,"CAD")/1000</f>
        <v>15.63447272</v>
      </c>
      <c r="AU8" s="362">
        <f t="shared" ref="AU8:AU21" si="19">V8/1000</f>
        <v>9.3448457655300015</v>
      </c>
      <c r="AV8" s="362">
        <f t="shared" ref="AV8:AV21" si="20">W8/1000</f>
        <v>8.6986526040203103</v>
      </c>
      <c r="AW8" s="362">
        <f t="shared" ref="AW8:AW21" si="21">AU8-AV8</f>
        <v>0.64619316150969119</v>
      </c>
      <c r="AX8" s="661">
        <f t="shared" ref="AX8:AX21" si="22">AW8/AV8</f>
        <v>7.4286581028771753E-2</v>
      </c>
      <c r="AY8" s="661">
        <f t="shared" ref="AY8:AY21" si="23">AX8^2</f>
        <v>5.5184961209442714E-3</v>
      </c>
    </row>
    <row r="9" spans="1:51" ht="20.25" customHeight="1">
      <c r="A9" s="12" t="str">
        <f t="shared" si="0"/>
        <v>TSX:LUN_2024_CEO</v>
      </c>
      <c r="B9" s="12" t="str">
        <f>'Raw Data'!D6</f>
        <v>TSX:LUN</v>
      </c>
      <c r="C9" s="968" t="str">
        <f t="shared" si="1"/>
        <v>Lundin Mining Corporation</v>
      </c>
      <c r="D9" s="969">
        <f>_xll.ciqfunctions.udf.CIQ(B9, "IQ_MARKETCAP", $A$1,$A$2)</f>
        <v>12257.88653</v>
      </c>
      <c r="E9" s="969">
        <f>_xll.ciqfunctions.udf.CIQ($B9, "IQ_TEV", $A$1,$A$2)</f>
        <v>16407.559099999999</v>
      </c>
      <c r="F9" s="970" t="str">
        <f t="shared" si="2"/>
        <v>Jack Lundin</v>
      </c>
      <c r="G9" s="970" t="str">
        <f t="shared" si="2"/>
        <v>President &amp; CEO</v>
      </c>
      <c r="H9" s="969">
        <f t="shared" si="3"/>
        <v>850</v>
      </c>
      <c r="I9" s="969">
        <f t="shared" si="3"/>
        <v>850</v>
      </c>
      <c r="J9" s="971">
        <f t="shared" si="3"/>
        <v>2005.8357084400002</v>
      </c>
      <c r="K9" s="972">
        <f t="shared" si="4"/>
        <v>2.3598067158117648</v>
      </c>
      <c r="L9" s="972">
        <f t="shared" si="4"/>
        <v>1.6330075070077759</v>
      </c>
      <c r="M9" s="973">
        <f t="shared" si="5"/>
        <v>1020</v>
      </c>
      <c r="N9" s="974">
        <f t="shared" si="6"/>
        <v>1.2</v>
      </c>
      <c r="O9" s="971">
        <f t="shared" si="7"/>
        <v>2855.8357084400004</v>
      </c>
      <c r="P9" s="975">
        <f t="shared" si="7"/>
        <v>1870</v>
      </c>
      <c r="Q9" s="971">
        <f t="shared" si="7"/>
        <v>2510.7132096999999</v>
      </c>
      <c r="R9" s="972">
        <f t="shared" si="8"/>
        <v>2.9537802467058825</v>
      </c>
      <c r="S9" s="972">
        <f t="shared" si="8"/>
        <v>3.5038333223657778</v>
      </c>
      <c r="T9" s="973">
        <f t="shared" si="9"/>
        <v>2550</v>
      </c>
      <c r="U9" s="974">
        <f t="shared" si="10"/>
        <v>3</v>
      </c>
      <c r="V9" s="971">
        <f t="shared" si="11"/>
        <v>5366.5489181399998</v>
      </c>
      <c r="W9" s="976">
        <f t="shared" si="11"/>
        <v>4420</v>
      </c>
      <c r="X9" s="971" t="str">
        <f t="shared" si="12"/>
        <v>-</v>
      </c>
      <c r="Y9" s="976">
        <f t="shared" si="12"/>
        <v>45.767788510000003</v>
      </c>
      <c r="Z9" s="971">
        <f t="shared" si="13"/>
        <v>5412.31670665</v>
      </c>
      <c r="AA9" s="976">
        <f t="shared" si="13"/>
        <v>4465.7677885100002</v>
      </c>
      <c r="AB9" s="775"/>
      <c r="AC9" s="776">
        <f t="shared" si="14"/>
        <v>0.42307692307692307</v>
      </c>
      <c r="AD9" s="777">
        <f t="shared" si="15"/>
        <v>0.57692307692307687</v>
      </c>
      <c r="AE9" s="778" t="str">
        <f t="shared" si="16"/>
        <v>TSX:LUN_2023_CEO</v>
      </c>
      <c r="AF9" s="778"/>
      <c r="AG9" s="782" t="str" cm="1">
        <f t="array" ref="AG9">IFERROR(INDEX('Import 2023 Data'!$E$4:$I$113,_xlfn.XMATCH(CEO!$AE9,'Import 2023 Data'!$C$4:$C$113),_xlfn.XMATCH(CEO!AG$5,'Import 2023 Data'!$E$3:$I$3)),"-")</f>
        <v>-</v>
      </c>
      <c r="AH9" s="778" t="str" cm="1">
        <f t="array" ref="AH9">IFERROR(INDEX('Import 2023 Data'!$E$4:$I$113,_xlfn.XMATCH(CEO!$AE9,'Import 2023 Data'!$C$4:$C$113),_xlfn.XMATCH(CEO!AH$5,'Import 2023 Data'!$E$3:$I$3)),"-")</f>
        <v>-</v>
      </c>
      <c r="AI9" s="783" t="str">
        <f>IF(ISNUMBER(_xlfn.XMATCH(C9,'Import 2023 Data'!$E$4:$E$113)),"N","Y")</f>
        <v>N</v>
      </c>
      <c r="AJ9" s="783" t="str">
        <f t="shared" si="17"/>
        <v>Y</v>
      </c>
      <c r="AK9" s="778" t="str" cm="1">
        <f t="array" ref="AK9">IFERROR(INDEX('Import 2023 Data'!$E$4:$I$113,_xlfn.XMATCH(CEO!$AE9,'Import 2023 Data'!$C$4:$C$113),_xlfn.XMATCH(CEO!AK$5,'Import 2023 Data'!$E$3:$I$3)),"-")</f>
        <v>-</v>
      </c>
      <c r="AL9" s="891" t="str" cm="1">
        <f t="array" ref="AL9">IFERROR(INDEX('Import 2023 Data'!$E$4:$I$113,_xlfn.XMATCH(CEO!$AE9,'Import 2023 Data'!$C$4:$C$113),_xlfn.XMATCH(CEO!AL$5,'Import 2023 Data'!$E$3:$I$3)),"-")</f>
        <v>-</v>
      </c>
      <c r="AM9" s="892" t="str" cm="1">
        <f t="array" ref="AM9">IFERROR(INDEX('Import 2023 Data'!$E$4:$I$113,_xlfn.XMATCH(CEO!$AE9,'Import 2023 Data'!$C$4:$C$113),_xlfn.XMATCH(CEO!AM$5,'Import 2023 Data'!$E$3:$I$3)),"-")</f>
        <v>-</v>
      </c>
      <c r="AN9" s="939" t="str">
        <f t="shared" ref="AN9:AN21" si="24">IF(AJ9="N",IFERROR(W9/AM9-1,"-"),"-")</f>
        <v>-</v>
      </c>
      <c r="AP9" s="12" t="s">
        <v>760</v>
      </c>
      <c r="AR9" s="12" t="str">
        <f t="shared" si="18"/>
        <v>Lundin Mining Corporation</v>
      </c>
      <c r="AS9" s="12" t="s">
        <v>739</v>
      </c>
      <c r="AT9" s="362">
        <f>_xll.ciqfunctions.udf.CIQ(B9,"IQ_TOTAL_ASSETS",IQ_LTM,$AT$6,,,"CAD")/1000</f>
        <v>13.46293483</v>
      </c>
      <c r="AU9" s="362">
        <f t="shared" si="19"/>
        <v>5.3665489181399995</v>
      </c>
      <c r="AV9" s="362">
        <f t="shared" si="20"/>
        <v>4.42</v>
      </c>
      <c r="AW9" s="362">
        <f t="shared" si="21"/>
        <v>0.94654891813999953</v>
      </c>
      <c r="AX9" s="661">
        <f t="shared" si="22"/>
        <v>0.21415133894570126</v>
      </c>
      <c r="AY9" s="661">
        <f t="shared" si="23"/>
        <v>4.5860795972236627E-2</v>
      </c>
    </row>
    <row r="10" spans="1:51" ht="20.25" customHeight="1">
      <c r="A10" s="12" t="str">
        <f t="shared" si="0"/>
        <v>TSX:AGI_2024_CEO</v>
      </c>
      <c r="B10" s="12" t="str">
        <f>'Raw Data'!D7</f>
        <v>TSX:AGI</v>
      </c>
      <c r="C10" s="968" t="str">
        <f t="shared" si="1"/>
        <v>Alamos Gold Inc.</v>
      </c>
      <c r="D10" s="969">
        <f>_xll.ciqfunctions.udf.CIQ(B10, "IQ_MARKETCAP", $A$1,$A$2)</f>
        <v>15232.879440000001</v>
      </c>
      <c r="E10" s="969">
        <f>_xll.ciqfunctions.udf.CIQ($B10, "IQ_TEV", $A$1,$A$2)</f>
        <v>15180.991099999999</v>
      </c>
      <c r="F10" s="970" t="str">
        <f t="shared" si="2"/>
        <v>John A. McCluskey</v>
      </c>
      <c r="G10" s="970" t="str">
        <f t="shared" si="2"/>
        <v>CEO</v>
      </c>
      <c r="H10" s="969" t="str">
        <f t="shared" si="3"/>
        <v>-</v>
      </c>
      <c r="I10" s="969">
        <f t="shared" si="3"/>
        <v>1075</v>
      </c>
      <c r="J10" s="971">
        <f t="shared" si="3"/>
        <v>1711.4464629200002</v>
      </c>
      <c r="K10" s="972">
        <f t="shared" si="4"/>
        <v>1.5920432213209303</v>
      </c>
      <c r="L10" s="972">
        <f t="shared" si="4"/>
        <v>1.4890139383153713</v>
      </c>
      <c r="M10" s="973">
        <f t="shared" si="5"/>
        <v>1343.75</v>
      </c>
      <c r="N10" s="974">
        <f t="shared" si="6"/>
        <v>1.25</v>
      </c>
      <c r="O10" s="971">
        <f t="shared" si="7"/>
        <v>2786.4464629199997</v>
      </c>
      <c r="P10" s="975">
        <f t="shared" si="7"/>
        <v>2418.75</v>
      </c>
      <c r="Q10" s="971">
        <f t="shared" si="7"/>
        <v>3226.6064821499999</v>
      </c>
      <c r="R10" s="972">
        <f t="shared" si="8"/>
        <v>3.0014944020000001</v>
      </c>
      <c r="S10" s="972">
        <f t="shared" si="8"/>
        <v>2.7171644863675266</v>
      </c>
      <c r="T10" s="973">
        <f t="shared" si="9"/>
        <v>2956.25</v>
      </c>
      <c r="U10" s="974">
        <f t="shared" si="10"/>
        <v>2.75</v>
      </c>
      <c r="V10" s="971">
        <f t="shared" si="11"/>
        <v>6013.0529450700005</v>
      </c>
      <c r="W10" s="976">
        <f t="shared" si="11"/>
        <v>5375</v>
      </c>
      <c r="X10" s="971">
        <f t="shared" si="12"/>
        <v>334.43794445000003</v>
      </c>
      <c r="Y10" s="976">
        <f t="shared" si="12"/>
        <v>94.856869100000011</v>
      </c>
      <c r="Z10" s="971">
        <f t="shared" si="13"/>
        <v>6442.3477586200006</v>
      </c>
      <c r="AA10" s="976">
        <f t="shared" si="13"/>
        <v>5804.2948135500001</v>
      </c>
      <c r="AB10" s="775"/>
      <c r="AC10" s="776">
        <f t="shared" si="14"/>
        <v>0.45</v>
      </c>
      <c r="AD10" s="777">
        <f t="shared" si="15"/>
        <v>0.55000000000000004</v>
      </c>
      <c r="AE10" s="778" t="str">
        <f t="shared" si="16"/>
        <v>TSX:AGI_2023_CEO</v>
      </c>
      <c r="AF10" s="778"/>
      <c r="AG10" s="782" t="str" cm="1">
        <f t="array" ref="AG10">IFERROR(INDEX('Import 2023 Data'!$E$4:$I$113,_xlfn.XMATCH(CEO!$AE10,'Import 2023 Data'!$C$4:$C$113),_xlfn.XMATCH(CEO!AG$5,'Import 2023 Data'!$E$3:$I$3)),"-")</f>
        <v>Alamos Gold Inc.</v>
      </c>
      <c r="AH10" s="778" t="str" cm="1">
        <f t="array" ref="AH10">IFERROR(INDEX('Import 2023 Data'!$E$4:$I$113,_xlfn.XMATCH(CEO!$AE10,'Import 2023 Data'!$C$4:$C$113),_xlfn.XMATCH(CEO!AH$5,'Import 2023 Data'!$E$3:$I$3)),"-")</f>
        <v>John McCluskey</v>
      </c>
      <c r="AI10" s="783" t="str">
        <f>IF(ISNUMBER(_xlfn.XMATCH(C10,'Import 2023 Data'!$E$4:$E$113)),"N","Y")</f>
        <v>N</v>
      </c>
      <c r="AJ10" s="783" t="s">
        <v>720</v>
      </c>
      <c r="AK10" s="778" t="str" cm="1">
        <f t="array" ref="AK10">IFERROR(INDEX('Import 2023 Data'!$E$4:$I$113,_xlfn.XMATCH(CEO!$AE10,'Import 2023 Data'!$C$4:$C$113),_xlfn.XMATCH(CEO!AK$5,'Import 2023 Data'!$E$3:$I$3)),"-")</f>
        <v>President and CEO</v>
      </c>
      <c r="AL10" s="893" cm="1">
        <f t="array" ref="AL10">IFERROR(INDEX('Import 2023 Data'!$E$4:$I$113,_xlfn.XMATCH(CEO!$AE10,'Import 2023 Data'!$C$4:$C$113),_xlfn.XMATCH(CEO!AL$5,'Import 2023 Data'!$E$3:$I$3)),"-")</f>
        <v>5354.3255912599998</v>
      </c>
      <c r="AM10" s="894" cm="1">
        <f t="array" ref="AM10">IFERROR(INDEX('Import 2023 Data'!$E$4:$I$113,_xlfn.XMATCH(CEO!$AE10,'Import 2023 Data'!$C$4:$C$113),_xlfn.XMATCH(CEO!AM$5,'Import 2023 Data'!$E$3:$I$3)),"-")</f>
        <v>5099.3583485999998</v>
      </c>
      <c r="AN10" s="939">
        <f t="shared" si="24"/>
        <v>5.4054183400481293E-2</v>
      </c>
      <c r="AR10" s="12" t="str">
        <f t="shared" si="18"/>
        <v>Alamos Gold Inc.</v>
      </c>
      <c r="AS10" s="12" t="s">
        <v>738</v>
      </c>
      <c r="AT10" s="362">
        <f>_xll.ciqfunctions.udf.CIQ(B10,"IQ_TOTAL_ASSETS",IQ_LTM,$AT$6,,,"CAD")/1000</f>
        <v>7.5536022200000001</v>
      </c>
      <c r="AU10" s="362">
        <f t="shared" si="19"/>
        <v>6.0130529450700001</v>
      </c>
      <c r="AV10" s="362">
        <f t="shared" si="20"/>
        <v>5.375</v>
      </c>
      <c r="AW10" s="362">
        <f t="shared" si="21"/>
        <v>0.6380529450700001</v>
      </c>
      <c r="AX10" s="661">
        <f t="shared" si="22"/>
        <v>0.11870752466418606</v>
      </c>
      <c r="AY10" s="661">
        <f t="shared" si="23"/>
        <v>1.4091476411898342E-2</v>
      </c>
    </row>
    <row r="11" spans="1:51" ht="20.25" customHeight="1">
      <c r="A11" s="12" t="str">
        <f t="shared" si="0"/>
        <v>TSX:PAAS_2024_CEO</v>
      </c>
      <c r="B11" s="12" t="str">
        <f>'Raw Data'!D8</f>
        <v>TSX:PAAS</v>
      </c>
      <c r="C11" s="968" t="str">
        <f t="shared" si="1"/>
        <v>Pan American Silver Corp.</v>
      </c>
      <c r="D11" s="969">
        <f>_xll.ciqfunctions.udf.CIQ(B11, "IQ_MARKETCAP", $A$1,$A$2)</f>
        <v>13995.003129999999</v>
      </c>
      <c r="E11" s="969">
        <f>_xll.ciqfunctions.udf.CIQ($B11, "IQ_TEV", $A$1,$A$2)</f>
        <v>13875.27187</v>
      </c>
      <c r="F11" s="970" t="str">
        <f t="shared" si="2"/>
        <v>Michael Steinmann</v>
      </c>
      <c r="G11" s="970" t="str">
        <f t="shared" si="2"/>
        <v>CEO</v>
      </c>
      <c r="H11" s="969" t="str">
        <f t="shared" si="3"/>
        <v>-</v>
      </c>
      <c r="I11" s="969">
        <f t="shared" si="3"/>
        <v>1508</v>
      </c>
      <c r="J11" s="971">
        <f t="shared" si="3"/>
        <v>1932.13</v>
      </c>
      <c r="K11" s="972">
        <f t="shared" si="4"/>
        <v>1.2812533156498673</v>
      </c>
      <c r="L11" s="972">
        <f t="shared" si="4"/>
        <v>1.1351649412522387</v>
      </c>
      <c r="M11" s="973">
        <f t="shared" si="5"/>
        <v>1885</v>
      </c>
      <c r="N11" s="974">
        <f t="shared" si="6"/>
        <v>1.25</v>
      </c>
      <c r="O11" s="971">
        <f t="shared" si="7"/>
        <v>3440.13</v>
      </c>
      <c r="P11" s="975">
        <f t="shared" si="7"/>
        <v>3393</v>
      </c>
      <c r="Q11" s="971">
        <f t="shared" si="7"/>
        <v>4297.8</v>
      </c>
      <c r="R11" s="972">
        <f t="shared" si="8"/>
        <v>2.85</v>
      </c>
      <c r="S11" s="972">
        <f t="shared" si="8"/>
        <v>2.583378357043872</v>
      </c>
      <c r="T11" s="973">
        <f t="shared" si="9"/>
        <v>4297.8</v>
      </c>
      <c r="U11" s="974">
        <f t="shared" si="10"/>
        <v>2.85</v>
      </c>
      <c r="V11" s="971">
        <f t="shared" si="11"/>
        <v>7737.93</v>
      </c>
      <c r="W11" s="976">
        <f t="shared" si="11"/>
        <v>7690.8</v>
      </c>
      <c r="X11" s="971">
        <f t="shared" si="12"/>
        <v>678.6</v>
      </c>
      <c r="Y11" s="976" t="str">
        <f t="shared" si="12"/>
        <v>-</v>
      </c>
      <c r="Z11" s="971">
        <f t="shared" si="13"/>
        <v>8416.5300000000007</v>
      </c>
      <c r="AA11" s="976">
        <f t="shared" si="13"/>
        <v>8369.4</v>
      </c>
      <c r="AB11" s="775"/>
      <c r="AC11" s="776">
        <f t="shared" si="14"/>
        <v>0.44117647058823528</v>
      </c>
      <c r="AD11" s="777">
        <f t="shared" si="15"/>
        <v>0.55882352941176472</v>
      </c>
      <c r="AE11" s="778" t="str">
        <f t="shared" si="16"/>
        <v>TSX:PAAS_2023_CEO</v>
      </c>
      <c r="AF11" s="778"/>
      <c r="AG11" s="782" t="str" cm="1">
        <f t="array" ref="AG11">IFERROR(INDEX('Import 2023 Data'!$E$4:$I$113,_xlfn.XMATCH(CEO!$AE11,'Import 2023 Data'!$C$4:$C$113),_xlfn.XMATCH(CEO!AG$5,'Import 2023 Data'!$E$3:$I$3)),"-")</f>
        <v>Pan American Silver Corp.</v>
      </c>
      <c r="AH11" s="778" t="str" cm="1">
        <f t="array" ref="AH11">IFERROR(INDEX('Import 2023 Data'!$E$4:$I$113,_xlfn.XMATCH(CEO!$AE11,'Import 2023 Data'!$C$4:$C$113),_xlfn.XMATCH(CEO!AH$5,'Import 2023 Data'!$E$3:$I$3)),"-")</f>
        <v>Michael Steinmann</v>
      </c>
      <c r="AI11" s="783" t="str">
        <f>IF(ISNUMBER(_xlfn.XMATCH(C11,'Import 2023 Data'!$E$4:$E$113)),"N","Y")</f>
        <v>N</v>
      </c>
      <c r="AJ11" s="783" t="str">
        <f t="shared" si="17"/>
        <v>N</v>
      </c>
      <c r="AK11" s="778" t="str" cm="1">
        <f t="array" ref="AK11">IFERROR(INDEX('Import 2023 Data'!$E$4:$I$113,_xlfn.XMATCH(CEO!$AE11,'Import 2023 Data'!$C$4:$C$113),_xlfn.XMATCH(CEO!AK$5,'Import 2023 Data'!$E$3:$I$3)),"-")</f>
        <v>President and CEO</v>
      </c>
      <c r="AL11" s="893" cm="1">
        <f t="array" ref="AL11">IFERROR(INDEX('Import 2023 Data'!$E$4:$I$113,_xlfn.XMATCH(CEO!$AE11,'Import 2023 Data'!$C$4:$C$113),_xlfn.XMATCH(CEO!AL$5,'Import 2023 Data'!$E$3:$I$3)),"-")</f>
        <v>7497.2</v>
      </c>
      <c r="AM11" s="894" cm="1">
        <f t="array" ref="AM11">IFERROR(INDEX('Import 2023 Data'!$E$4:$I$113,_xlfn.XMATCH(CEO!$AE11,'Import 2023 Data'!$C$4:$C$113),_xlfn.XMATCH(CEO!AM$5,'Import 2023 Data'!$E$3:$I$3)),"-")</f>
        <v>7395</v>
      </c>
      <c r="AN11" s="939">
        <f t="shared" si="24"/>
        <v>4.0000000000000036E-2</v>
      </c>
      <c r="AR11" s="12" t="str">
        <f t="shared" si="18"/>
        <v>Pan American Silver Corp.</v>
      </c>
      <c r="AS11" s="12" t="s">
        <v>738</v>
      </c>
      <c r="AT11" s="362">
        <f>_xll.ciqfunctions.udf.CIQ(B11,"IQ_TOTAL_ASSETS",IQ_LTM,$AT$6,,,"CAD")/1000</f>
        <v>10.03855514</v>
      </c>
      <c r="AU11" s="362">
        <f t="shared" si="19"/>
        <v>7.7379300000000004</v>
      </c>
      <c r="AV11" s="362">
        <f t="shared" si="20"/>
        <v>7.6908000000000003</v>
      </c>
      <c r="AW11" s="362">
        <f t="shared" si="21"/>
        <v>4.7130000000000116E-2</v>
      </c>
      <c r="AX11" s="661">
        <f t="shared" si="22"/>
        <v>6.1281011078171471E-3</v>
      </c>
      <c r="AY11" s="661">
        <f t="shared" si="23"/>
        <v>3.7553623187629746E-5</v>
      </c>
    </row>
    <row r="12" spans="1:51" ht="20.25" customHeight="1">
      <c r="A12" s="12" t="str">
        <f t="shared" si="0"/>
        <v>TSX:CS_2024_CEO</v>
      </c>
      <c r="B12" s="12" t="str">
        <f>'Raw Data'!D9</f>
        <v>TSX:CS</v>
      </c>
      <c r="C12" s="968" t="str">
        <f t="shared" si="1"/>
        <v>Capstone Copper Corp.</v>
      </c>
      <c r="D12" s="969">
        <f>_xll.ciqfunctions.udf.CIQ(B12, "IQ_MARKETCAP", $A$1,$A$2)</f>
        <v>6372.2402400000001</v>
      </c>
      <c r="E12" s="969">
        <f>_xll.ciqfunctions.udf.CIQ($B12, "IQ_TEV", $A$1,$A$2)</f>
        <v>8905.1067899999998</v>
      </c>
      <c r="F12" s="970" t="str">
        <f t="shared" si="2"/>
        <v>John MacKenzie</v>
      </c>
      <c r="G12" s="970" t="str">
        <f t="shared" si="2"/>
        <v>CEO</v>
      </c>
      <c r="H12" s="969" t="str">
        <f t="shared" si="3"/>
        <v>-</v>
      </c>
      <c r="I12" s="969">
        <f t="shared" si="3"/>
        <v>960</v>
      </c>
      <c r="J12" s="971">
        <f t="shared" si="3"/>
        <v>918.72</v>
      </c>
      <c r="K12" s="972">
        <f t="shared" si="4"/>
        <v>0.95699999999999996</v>
      </c>
      <c r="L12" s="972">
        <f t="shared" si="4"/>
        <v>1.0349824446354094</v>
      </c>
      <c r="M12" s="973">
        <f t="shared" si="5"/>
        <v>1056</v>
      </c>
      <c r="N12" s="974">
        <f t="shared" si="6"/>
        <v>1.1000000000000001</v>
      </c>
      <c r="O12" s="971">
        <f t="shared" si="7"/>
        <v>1878.72</v>
      </c>
      <c r="P12" s="975">
        <f t="shared" si="7"/>
        <v>2016</v>
      </c>
      <c r="Q12" s="971">
        <f t="shared" si="7"/>
        <v>2400</v>
      </c>
      <c r="R12" s="972">
        <f t="shared" si="8"/>
        <v>2.5</v>
      </c>
      <c r="S12" s="972">
        <f t="shared" si="8"/>
        <v>2.5304381597920078</v>
      </c>
      <c r="T12" s="973">
        <f t="shared" si="9"/>
        <v>2400</v>
      </c>
      <c r="U12" s="974">
        <f t="shared" si="10"/>
        <v>2.5</v>
      </c>
      <c r="V12" s="971">
        <f t="shared" si="11"/>
        <v>4278.72</v>
      </c>
      <c r="W12" s="976">
        <f t="shared" si="11"/>
        <v>4416</v>
      </c>
      <c r="X12" s="971" t="str">
        <f t="shared" si="12"/>
        <v>-</v>
      </c>
      <c r="Y12" s="976">
        <f t="shared" si="12"/>
        <v>128.30000000000001</v>
      </c>
      <c r="Z12" s="971">
        <f t="shared" si="13"/>
        <v>4407.0200000000004</v>
      </c>
      <c r="AA12" s="976">
        <f t="shared" si="13"/>
        <v>4544.3</v>
      </c>
      <c r="AB12" s="775"/>
      <c r="AC12" s="776">
        <f t="shared" si="14"/>
        <v>0.45652173913043476</v>
      </c>
      <c r="AD12" s="777">
        <f t="shared" si="15"/>
        <v>0.54347826086956519</v>
      </c>
      <c r="AE12" s="778" t="str">
        <f t="shared" si="16"/>
        <v>TSX:CS_2023_CEO</v>
      </c>
      <c r="AF12" s="778"/>
      <c r="AG12" s="782" t="str" cm="1">
        <f t="array" ref="AG12">IFERROR(INDEX('Import 2023 Data'!$E$4:$I$113,_xlfn.XMATCH(CEO!$AE12,'Import 2023 Data'!$C$4:$C$113),_xlfn.XMATCH(CEO!AG$5,'Import 2023 Data'!$E$3:$I$3)),"-")</f>
        <v>Capstone Copper Corp.</v>
      </c>
      <c r="AH12" s="778" t="str" cm="1">
        <f t="array" ref="AH12">IFERROR(INDEX('Import 2023 Data'!$E$4:$I$113,_xlfn.XMATCH(CEO!$AE12,'Import 2023 Data'!$C$4:$C$113),_xlfn.XMATCH(CEO!AH$5,'Import 2023 Data'!$E$3:$I$3)),"-")</f>
        <v>John MacKenzie</v>
      </c>
      <c r="AI12" s="783" t="str">
        <f>IF(ISNUMBER(_xlfn.XMATCH(C12,'Import 2023 Data'!$E$4:$E$113)),"N","Y")</f>
        <v>N</v>
      </c>
      <c r="AJ12" s="783" t="str">
        <f t="shared" si="17"/>
        <v>N</v>
      </c>
      <c r="AK12" s="778" t="str" cm="1">
        <f t="array" ref="AK12">IFERROR(INDEX('Import 2023 Data'!$E$4:$I$113,_xlfn.XMATCH(CEO!$AE12,'Import 2023 Data'!$C$4:$C$113),_xlfn.XMATCH(CEO!AK$5,'Import 2023 Data'!$E$3:$I$3)),"-")</f>
        <v xml:space="preserve">CEO and Director </v>
      </c>
      <c r="AL12" s="893" cm="1">
        <f t="array" ref="AL12">IFERROR(INDEX('Import 2023 Data'!$E$4:$I$113,_xlfn.XMATCH(CEO!$AE12,'Import 2023 Data'!$C$4:$C$113),_xlfn.XMATCH(CEO!AL$5,'Import 2023 Data'!$E$3:$I$3)),"-")</f>
        <v>4059.8739999999998</v>
      </c>
      <c r="AM12" s="894" cm="1">
        <f t="array" ref="AM12">IFERROR(INDEX('Import 2023 Data'!$E$4:$I$113,_xlfn.XMATCH(CEO!$AE12,'Import 2023 Data'!$C$4:$C$113),_xlfn.XMATCH(CEO!AM$5,'Import 2023 Data'!$E$3:$I$3)),"-")</f>
        <v>4186</v>
      </c>
      <c r="AN12" s="939">
        <f t="shared" si="24"/>
        <v>5.4945054945054972E-2</v>
      </c>
      <c r="AR12" s="12" t="str">
        <f t="shared" si="18"/>
        <v>Capstone Copper Corp.</v>
      </c>
      <c r="AS12" s="12" t="s">
        <v>739</v>
      </c>
      <c r="AT12" s="362">
        <f>_xll.ciqfunctions.udf.CIQ(B12,"IQ_TOTAL_ASSETS",IQ_LTM,$AT$6,,,"CAD")/1000</f>
        <v>9.0174972600000007</v>
      </c>
      <c r="AU12" s="362">
        <f t="shared" si="19"/>
        <v>4.2787199999999999</v>
      </c>
      <c r="AV12" s="362">
        <f t="shared" si="20"/>
        <v>4.4160000000000004</v>
      </c>
      <c r="AW12" s="362">
        <f t="shared" si="21"/>
        <v>-0.13728000000000051</v>
      </c>
      <c r="AX12" s="661">
        <f t="shared" si="22"/>
        <v>-3.1086956521739244E-2</v>
      </c>
      <c r="AY12" s="661">
        <f t="shared" si="23"/>
        <v>9.6639886578450619E-4</v>
      </c>
    </row>
    <row r="13" spans="1:51" ht="20.25" customHeight="1">
      <c r="A13" s="12" t="str">
        <f t="shared" si="0"/>
        <v>TSX:IMG_2024_CEO</v>
      </c>
      <c r="B13" s="12" t="str">
        <f>'Raw Data'!D10</f>
        <v>TSX:IMG</v>
      </c>
      <c r="C13" s="968" t="str">
        <f t="shared" si="1"/>
        <v>IAMGOLD Corporation</v>
      </c>
      <c r="D13" s="969">
        <f>_xll.ciqfunctions.udf.CIQ(B13, "IQ_MARKETCAP", $A$1,$A$2)</f>
        <v>5767.7555599999996</v>
      </c>
      <c r="E13" s="969">
        <f>_xll.ciqfunctions.udf.CIQ($B13, "IQ_TEV", $A$1,$A$2)</f>
        <v>7046.8533299999999</v>
      </c>
      <c r="F13" s="970" t="str">
        <f t="shared" si="2"/>
        <v>Renaud Adams</v>
      </c>
      <c r="G13" s="970" t="str">
        <f t="shared" si="2"/>
        <v>CEO</v>
      </c>
      <c r="H13" s="969" t="str">
        <f t="shared" si="3"/>
        <v>-</v>
      </c>
      <c r="I13" s="969">
        <f t="shared" si="3"/>
        <v>901.25</v>
      </c>
      <c r="J13" s="971">
        <f t="shared" si="3"/>
        <v>1347.819</v>
      </c>
      <c r="K13" s="972">
        <f t="shared" si="4"/>
        <v>1.4954995839112344</v>
      </c>
      <c r="L13" s="972">
        <f t="shared" si="4"/>
        <v>1.3695760776699029</v>
      </c>
      <c r="M13" s="973">
        <f t="shared" si="5"/>
        <v>1126.5625</v>
      </c>
      <c r="N13" s="974">
        <f t="shared" si="6"/>
        <v>1.25</v>
      </c>
      <c r="O13" s="971">
        <f t="shared" si="7"/>
        <v>2249.069</v>
      </c>
      <c r="P13" s="975">
        <f t="shared" si="7"/>
        <v>2027.8125</v>
      </c>
      <c r="Q13" s="971">
        <f t="shared" si="7"/>
        <v>2219.8670000000002</v>
      </c>
      <c r="R13" s="972">
        <f t="shared" si="8"/>
        <v>2.463097919556172</v>
      </c>
      <c r="S13" s="972">
        <f t="shared" si="8"/>
        <v>2.199784379976935</v>
      </c>
      <c r="T13" s="973">
        <f t="shared" si="9"/>
        <v>2253.125</v>
      </c>
      <c r="U13" s="974">
        <f t="shared" si="10"/>
        <v>2.5</v>
      </c>
      <c r="V13" s="971">
        <f t="shared" si="11"/>
        <v>4468.9359999999997</v>
      </c>
      <c r="W13" s="976">
        <f t="shared" si="11"/>
        <v>4280.9375</v>
      </c>
      <c r="X13" s="971">
        <f t="shared" si="12"/>
        <v>34.603999999999999</v>
      </c>
      <c r="Y13" s="976">
        <f t="shared" si="12"/>
        <v>141.95500000000001</v>
      </c>
      <c r="Z13" s="971">
        <f t="shared" si="13"/>
        <v>4645.4949999999999</v>
      </c>
      <c r="AA13" s="976">
        <f t="shared" si="13"/>
        <v>4457.4965000000002</v>
      </c>
      <c r="AB13" s="775"/>
      <c r="AC13" s="776">
        <f t="shared" si="14"/>
        <v>0.47368421052631576</v>
      </c>
      <c r="AD13" s="777">
        <f t="shared" si="15"/>
        <v>0.52631578947368418</v>
      </c>
      <c r="AE13" s="778" t="str">
        <f t="shared" si="16"/>
        <v>TSX:IMG_2023_CEO</v>
      </c>
      <c r="AF13" s="778"/>
      <c r="AG13" s="782" t="str" cm="1">
        <f t="array" ref="AG13">IFERROR(INDEX('Import 2023 Data'!$E$4:$I$113,_xlfn.XMATCH(CEO!$AE13,'Import 2023 Data'!$C$4:$C$113),_xlfn.XMATCH(CEO!AG$5,'Import 2023 Data'!$E$3:$I$3)),"-")</f>
        <v>IAMGOLD Corporation</v>
      </c>
      <c r="AH13" s="778" t="str" cm="1">
        <f t="array" ref="AH13">IFERROR(INDEX('Import 2023 Data'!$E$4:$I$113,_xlfn.XMATCH(CEO!$AE13,'Import 2023 Data'!$C$4:$C$113),_xlfn.XMATCH(CEO!AH$5,'Import 2023 Data'!$E$3:$I$3)),"-")</f>
        <v>Renaud Adams</v>
      </c>
      <c r="AI13" s="783" t="str">
        <f>IF(ISNUMBER(_xlfn.XMATCH(C13,'Import 2023 Data'!$E$4:$E$113)),"N","Y")</f>
        <v>N</v>
      </c>
      <c r="AJ13" s="783" t="str">
        <f t="shared" si="17"/>
        <v>N</v>
      </c>
      <c r="AK13" s="778" t="str" cm="1">
        <f t="array" ref="AK13">IFERROR(INDEX('Import 2023 Data'!$E$4:$I$113,_xlfn.XMATCH(CEO!$AE13,'Import 2023 Data'!$C$4:$C$113),_xlfn.XMATCH(CEO!AK$5,'Import 2023 Data'!$E$3:$I$3)),"-")</f>
        <v>President and CEO</v>
      </c>
      <c r="AL13" s="893" cm="1">
        <f t="array" ref="AL13">IFERROR(INDEX('Import 2023 Data'!$E$4:$I$113,_xlfn.XMATCH(CEO!$AE13,'Import 2023 Data'!$C$4:$C$113),_xlfn.XMATCH(CEO!AL$5,'Import 2023 Data'!$E$3:$I$3)),"-")</f>
        <v>3647.4524817518245</v>
      </c>
      <c r="AM13" s="894" cm="1">
        <f t="array" ref="AM13">IFERROR(INDEX('Import 2023 Data'!$E$4:$I$113,_xlfn.XMATCH(CEO!$AE13,'Import 2023 Data'!$C$4:$C$113),_xlfn.XMATCH(CEO!AM$5,'Import 2023 Data'!$E$3:$I$3)),"-")</f>
        <v>4156.25</v>
      </c>
      <c r="AN13" s="939">
        <f t="shared" si="24"/>
        <v>3.0000000000000027E-2</v>
      </c>
      <c r="AR13" s="12" t="str">
        <f t="shared" si="18"/>
        <v>IAMGOLD Corporation</v>
      </c>
      <c r="AS13" s="12" t="s">
        <v>738</v>
      </c>
      <c r="AT13" s="362">
        <f>_xll.ciqfunctions.udf.CIQ(B13,"IQ_TOTAL_ASSETS",IQ_LTM,$AT$6,,,"CAD")/1000</f>
        <v>7.2652822200000005</v>
      </c>
      <c r="AU13" s="362">
        <f t="shared" si="19"/>
        <v>4.4689359999999994</v>
      </c>
      <c r="AV13" s="362">
        <f t="shared" si="20"/>
        <v>4.2809375000000003</v>
      </c>
      <c r="AW13" s="362">
        <f t="shared" si="21"/>
        <v>0.18799849999999907</v>
      </c>
      <c r="AX13" s="661">
        <f t="shared" si="22"/>
        <v>4.3915263887874804E-2</v>
      </c>
      <c r="AY13" s="661">
        <f t="shared" si="23"/>
        <v>1.9285504023416808E-3</v>
      </c>
    </row>
    <row r="14" spans="1:51" ht="20.25" customHeight="1">
      <c r="A14" s="12" t="str">
        <f t="shared" si="0"/>
        <v>TSX:BTO_2024_CEO</v>
      </c>
      <c r="B14" s="12" t="str">
        <f>'Raw Data'!D11</f>
        <v>TSX:BTO</v>
      </c>
      <c r="C14" s="968" t="str">
        <f t="shared" si="1"/>
        <v>B2Gold Corp.</v>
      </c>
      <c r="D14" s="969">
        <f>_xll.ciqfunctions.udf.CIQ(B14, "IQ_MARKETCAP", $A$1,$A$2)</f>
        <v>6501.1543700000002</v>
      </c>
      <c r="E14" s="969">
        <f>_xll.ciqfunctions.udf.CIQ($B14, "IQ_TEV", $A$1,$A$2)</f>
        <v>6683.6805700000004</v>
      </c>
      <c r="F14" s="970" t="str">
        <f t="shared" si="2"/>
        <v>Clive Johnson</v>
      </c>
      <c r="G14" s="970" t="str">
        <f t="shared" si="2"/>
        <v>President &amp; CEO</v>
      </c>
      <c r="H14" s="969" t="str">
        <f t="shared" si="3"/>
        <v>-</v>
      </c>
      <c r="I14" s="969">
        <f t="shared" si="3"/>
        <v>1300</v>
      </c>
      <c r="J14" s="971">
        <f t="shared" si="3"/>
        <v>643.5</v>
      </c>
      <c r="K14" s="972">
        <f t="shared" si="4"/>
        <v>0.495</v>
      </c>
      <c r="L14" s="972">
        <f t="shared" si="4"/>
        <v>0.62012820512820521</v>
      </c>
      <c r="M14" s="973">
        <f t="shared" si="5"/>
        <v>975</v>
      </c>
      <c r="N14" s="974">
        <f t="shared" si="6"/>
        <v>0.75</v>
      </c>
      <c r="O14" s="971">
        <f t="shared" si="7"/>
        <v>1943.5</v>
      </c>
      <c r="P14" s="975">
        <f t="shared" si="7"/>
        <v>2275</v>
      </c>
      <c r="Q14" s="971">
        <f t="shared" si="7"/>
        <v>3500</v>
      </c>
      <c r="R14" s="972">
        <f t="shared" si="8"/>
        <v>2.6923076923076925</v>
      </c>
      <c r="S14" s="972">
        <f t="shared" si="8"/>
        <v>3.0769230769230771</v>
      </c>
      <c r="T14" s="973">
        <f t="shared" si="9"/>
        <v>4911.1111111111113</v>
      </c>
      <c r="U14" s="974">
        <f t="shared" si="10"/>
        <v>3.7777777777777777</v>
      </c>
      <c r="V14" s="971">
        <f t="shared" si="11"/>
        <v>5443.5</v>
      </c>
      <c r="W14" s="976">
        <f t="shared" si="11"/>
        <v>7186.1111111111113</v>
      </c>
      <c r="X14" s="971" t="str">
        <f t="shared" si="12"/>
        <v>-</v>
      </c>
      <c r="Y14" s="976">
        <f t="shared" si="12"/>
        <v>6.952</v>
      </c>
      <c r="Z14" s="971">
        <f t="shared" si="13"/>
        <v>5450.4520000000002</v>
      </c>
      <c r="AA14" s="976">
        <f t="shared" si="13"/>
        <v>7193.0631111111106</v>
      </c>
      <c r="AB14" s="775"/>
      <c r="AC14" s="776">
        <f t="shared" si="14"/>
        <v>0.3165829145728643</v>
      </c>
      <c r="AD14" s="777">
        <f t="shared" si="15"/>
        <v>0.68341708542713564</v>
      </c>
      <c r="AE14" s="778" t="str">
        <f t="shared" si="16"/>
        <v>TSX:BTO_2023_CEO</v>
      </c>
      <c r="AF14" s="778"/>
      <c r="AG14" s="782" t="str" cm="1">
        <f t="array" ref="AG14">IFERROR(INDEX('Import 2023 Data'!$E$4:$I$113,_xlfn.XMATCH(CEO!$AE14,'Import 2023 Data'!$C$4:$C$113),_xlfn.XMATCH(CEO!AG$5,'Import 2023 Data'!$E$3:$I$3)),"-")</f>
        <v>B2Gold Corp.</v>
      </c>
      <c r="AH14" s="778" t="str" cm="1">
        <f t="array" ref="AH14">IFERROR(INDEX('Import 2023 Data'!$E$4:$I$113,_xlfn.XMATCH(CEO!$AE14,'Import 2023 Data'!$C$4:$C$113),_xlfn.XMATCH(CEO!AH$5,'Import 2023 Data'!$E$3:$I$3)),"-")</f>
        <v xml:space="preserve">Clive Johnson </v>
      </c>
      <c r="AI14" s="783" t="str">
        <f>IF(ISNUMBER(_xlfn.XMATCH(C14,'Import 2023 Data'!$E$4:$E$113)),"N","Y")</f>
        <v>N</v>
      </c>
      <c r="AJ14" s="783" t="str">
        <f t="shared" si="17"/>
        <v>N</v>
      </c>
      <c r="AK14" s="778" t="str" cm="1">
        <f t="array" ref="AK14">IFERROR(INDEX('Import 2023 Data'!$E$4:$I$113,_xlfn.XMATCH(CEO!$AE14,'Import 2023 Data'!$C$4:$C$113),_xlfn.XMATCH(CEO!AK$5,'Import 2023 Data'!$E$3:$I$3)),"-")</f>
        <v xml:space="preserve">Director, President and CEO </v>
      </c>
      <c r="AL14" s="893" cm="1">
        <f t="array" ref="AL14">IFERROR(INDEX('Import 2023 Data'!$E$4:$I$113,_xlfn.XMATCH(CEO!$AE14,'Import 2023 Data'!$C$4:$C$113),_xlfn.XMATCH(CEO!AL$5,'Import 2023 Data'!$E$3:$I$3)),"-")</f>
        <v>5600</v>
      </c>
      <c r="AM14" s="894" cm="1">
        <f t="array" ref="AM14">IFERROR(INDEX('Import 2023 Data'!$E$4:$I$113,_xlfn.XMATCH(CEO!$AE14,'Import 2023 Data'!$C$4:$C$113),_xlfn.XMATCH(CEO!AM$5,'Import 2023 Data'!$E$3:$I$3)),"-")</f>
        <v>7275</v>
      </c>
      <c r="AN14" s="939">
        <f t="shared" si="24"/>
        <v>-1.2218403970981284E-2</v>
      </c>
      <c r="AR14" s="12" t="str">
        <f t="shared" si="18"/>
        <v>B2Gold Corp.</v>
      </c>
      <c r="AS14" s="12" t="s">
        <v>738</v>
      </c>
      <c r="AT14" s="362">
        <f>_xll.ciqfunctions.udf.CIQ(B14,"IQ_TOTAL_ASSETS",IQ_LTM,$AT$6,,,"CAD")/1000</f>
        <v>7.2371430600000002</v>
      </c>
      <c r="AU14" s="362">
        <f t="shared" si="19"/>
        <v>5.4435000000000002</v>
      </c>
      <c r="AV14" s="362">
        <f t="shared" si="20"/>
        <v>7.1861111111111109</v>
      </c>
      <c r="AW14" s="362">
        <f t="shared" si="21"/>
        <v>-1.7426111111111107</v>
      </c>
      <c r="AX14" s="661">
        <f t="shared" si="22"/>
        <v>-0.24249710088906062</v>
      </c>
      <c r="AY14" s="661">
        <f t="shared" si="23"/>
        <v>5.8804843939599248E-2</v>
      </c>
    </row>
    <row r="15" spans="1:51" ht="20.25" customHeight="1">
      <c r="A15" s="12" t="str">
        <f t="shared" si="0"/>
        <v>NYSE:HL_2024_CEO</v>
      </c>
      <c r="B15" s="12" t="str">
        <f>'Raw Data'!D12</f>
        <v>NYSE:HL</v>
      </c>
      <c r="C15" s="968" t="str">
        <f t="shared" si="1"/>
        <v>Hecla Mining Company</v>
      </c>
      <c r="D15" s="969">
        <f>_xll.ciqfunctions.udf.CIQ(B15, "IQ_MARKETCAP", $A$1,$A$2)</f>
        <v>5087.4022100000002</v>
      </c>
      <c r="E15" s="969">
        <f>_xll.ciqfunctions.udf.CIQ($B15, "IQ_TEV", $A$1,$A$2)</f>
        <v>5845.44913</v>
      </c>
      <c r="F15" s="970" t="str">
        <f t="shared" si="2"/>
        <v>Rob Krcmarov</v>
      </c>
      <c r="G15" s="970" t="str">
        <f t="shared" si="2"/>
        <v>President &amp; CEO</v>
      </c>
      <c r="H15" s="969" t="str">
        <f t="shared" si="3"/>
        <v>-</v>
      </c>
      <c r="I15" s="969">
        <f t="shared" si="3"/>
        <v>1164.6445000000001</v>
      </c>
      <c r="J15" s="971">
        <f t="shared" si="3"/>
        <v>1226.7378133129632</v>
      </c>
      <c r="K15" s="972">
        <f t="shared" si="4"/>
        <v>1.0533152505446624</v>
      </c>
      <c r="L15" s="972">
        <f t="shared" si="4"/>
        <v>1.0533152505446624</v>
      </c>
      <c r="M15" s="973">
        <f t="shared" si="5"/>
        <v>1281.1089500000003</v>
      </c>
      <c r="N15" s="974">
        <f t="shared" si="6"/>
        <v>1.1000000000000001</v>
      </c>
      <c r="O15" s="971">
        <f t="shared" si="7"/>
        <v>2391.3823133129631</v>
      </c>
      <c r="P15" s="975">
        <f t="shared" si="7"/>
        <v>2445.7534500000002</v>
      </c>
      <c r="Q15" s="971" t="str">
        <f t="shared" si="7"/>
        <v>-</v>
      </c>
      <c r="R15" s="972" t="str">
        <f t="shared" si="8"/>
        <v>-</v>
      </c>
      <c r="S15" s="972" t="str">
        <f t="shared" si="8"/>
        <v>N/A</v>
      </c>
      <c r="T15" s="973">
        <f t="shared" si="9"/>
        <v>4377.6931500000001</v>
      </c>
      <c r="U15" s="974">
        <f t="shared" si="10"/>
        <v>3.7588235294117647</v>
      </c>
      <c r="V15" s="971">
        <f t="shared" si="11"/>
        <v>2391.3823133129631</v>
      </c>
      <c r="W15" s="976">
        <f t="shared" si="11"/>
        <v>6823.4466000000002</v>
      </c>
      <c r="X15" s="971" t="str">
        <f t="shared" si="12"/>
        <v>-</v>
      </c>
      <c r="Y15" s="976">
        <f t="shared" si="12"/>
        <v>4.278736427777778</v>
      </c>
      <c r="Z15" s="971">
        <f t="shared" si="13"/>
        <v>2395.661049740741</v>
      </c>
      <c r="AA15" s="976">
        <f t="shared" si="13"/>
        <v>6827.7253364277776</v>
      </c>
      <c r="AB15" s="775"/>
      <c r="AC15" s="776">
        <f t="shared" si="14"/>
        <v>0.35843373493975905</v>
      </c>
      <c r="AD15" s="777">
        <f t="shared" si="15"/>
        <v>0.64156626506024095</v>
      </c>
      <c r="AE15" s="778" t="str">
        <f t="shared" si="16"/>
        <v>NYSE:HL_2023_CEO</v>
      </c>
      <c r="AF15" s="778"/>
      <c r="AG15" s="782" t="str" cm="1">
        <f t="array" ref="AG15">IFERROR(INDEX('Import 2023 Data'!$E$4:$I$113,_xlfn.XMATCH(CEO!$AE15,'Import 2023 Data'!$C$4:$C$113),_xlfn.XMATCH(CEO!AG$5,'Import 2023 Data'!$E$3:$I$3)),"-")</f>
        <v>Hecla Mining Company</v>
      </c>
      <c r="AH15" s="778" t="str" cm="1">
        <f t="array" ref="AH15">IFERROR(INDEX('Import 2023 Data'!$E$4:$I$113,_xlfn.XMATCH(CEO!$AE15,'Import 2023 Data'!$C$4:$C$113),_xlfn.XMATCH(CEO!AH$5,'Import 2023 Data'!$E$3:$I$3)),"-")</f>
        <v>Phillips S. Baker, Jr.</v>
      </c>
      <c r="AI15" s="783" t="str">
        <f>IF(ISNUMBER(_xlfn.XMATCH(C15,'Import 2023 Data'!$E$4:$E$113)),"N","Y")</f>
        <v>N</v>
      </c>
      <c r="AJ15" s="783" t="str">
        <f t="shared" si="17"/>
        <v>Y</v>
      </c>
      <c r="AK15" s="778" t="str" cm="1">
        <f t="array" ref="AK15">IFERROR(INDEX('Import 2023 Data'!$E$4:$I$113,_xlfn.XMATCH(CEO!$AE15,'Import 2023 Data'!$C$4:$C$113),_xlfn.XMATCH(CEO!AK$5,'Import 2023 Data'!$E$3:$I$3)),"-")</f>
        <v>CEO</v>
      </c>
      <c r="AL15" s="891" cm="1">
        <f t="array" ref="AL15">IFERROR(INDEX('Import 2023 Data'!$E$4:$I$113,_xlfn.XMATCH(CEO!$AE15,'Import 2023 Data'!$C$4:$C$113),_xlfn.XMATCH(CEO!AL$5,'Import 2023 Data'!$E$3:$I$3)),"-")</f>
        <v>4635.6105202399995</v>
      </c>
      <c r="AM15" s="892" cm="1">
        <f t="array" ref="AM15">IFERROR(INDEX('Import 2023 Data'!$E$4:$I$113,_xlfn.XMATCH(CEO!$AE15,'Import 2023 Data'!$C$4:$C$113),_xlfn.XMATCH(CEO!AM$5,'Import 2023 Data'!$E$3:$I$3)),"-")</f>
        <v>5486.7938510416661</v>
      </c>
      <c r="AN15" s="939" t="str">
        <f t="shared" si="24"/>
        <v>-</v>
      </c>
      <c r="AO15" s="661">
        <f>+W15/5487-1</f>
        <v>0.24356599234554399</v>
      </c>
      <c r="AP15" s="12" t="s">
        <v>761</v>
      </c>
      <c r="AR15" s="12" t="str">
        <f t="shared" si="18"/>
        <v>Hecla Mining Company</v>
      </c>
      <c r="AS15" s="12" t="s">
        <v>738</v>
      </c>
      <c r="AT15" s="362">
        <f>_xll.ciqfunctions.udf.CIQ(B15,"IQ_TOTAL_ASSETS",IQ_LTM,$AT$6,,,"CAD")/1000</f>
        <v>4.5134969099999998</v>
      </c>
      <c r="AU15" s="362">
        <f t="shared" si="19"/>
        <v>2.3913823133129632</v>
      </c>
      <c r="AV15" s="362">
        <f t="shared" si="20"/>
        <v>6.8234466000000005</v>
      </c>
      <c r="AW15" s="362">
        <f t="shared" si="21"/>
        <v>-4.4320642866870372</v>
      </c>
      <c r="AX15" s="661">
        <f t="shared" si="22"/>
        <v>-0.64953454558976642</v>
      </c>
      <c r="AY15" s="661">
        <f t="shared" si="23"/>
        <v>0.42189512591450434</v>
      </c>
    </row>
    <row r="16" spans="1:51" ht="20.25" customHeight="1">
      <c r="A16" s="12" t="str">
        <f t="shared" si="0"/>
        <v>TSX:NGD_2024_CEO</v>
      </c>
      <c r="B16" s="12" t="str">
        <f>'Raw Data'!D13</f>
        <v>TSX:NGD</v>
      </c>
      <c r="C16" s="968" t="str">
        <f t="shared" si="1"/>
        <v>New Gold Inc.</v>
      </c>
      <c r="D16" s="969">
        <f>_xll.ciqfunctions.udf.CIQ(B16, "IQ_MARKETCAP", $A$1,$A$2)</f>
        <v>5357.5681299999997</v>
      </c>
      <c r="E16" s="969">
        <f>_xll.ciqfunctions.udf.CIQ($B16, "IQ_TEV", $A$1,$A$2)</f>
        <v>5773.9684299999999</v>
      </c>
      <c r="F16" s="970" t="str">
        <f t="shared" si="2"/>
        <v>Patrick Godin</v>
      </c>
      <c r="G16" s="970" t="str">
        <f t="shared" si="2"/>
        <v>President &amp; CEO</v>
      </c>
      <c r="H16" s="969" t="str">
        <f t="shared" si="3"/>
        <v>-</v>
      </c>
      <c r="I16" s="969">
        <f t="shared" si="3"/>
        <v>850</v>
      </c>
      <c r="J16" s="971">
        <f t="shared" si="3"/>
        <v>1359.15</v>
      </c>
      <c r="K16" s="972">
        <f t="shared" si="4"/>
        <v>1.599</v>
      </c>
      <c r="L16" s="972">
        <f t="shared" si="4"/>
        <v>1.4324955009816993</v>
      </c>
      <c r="M16" s="973">
        <f t="shared" si="5"/>
        <v>1105</v>
      </c>
      <c r="N16" s="974">
        <f t="shared" si="6"/>
        <v>1.3</v>
      </c>
      <c r="O16" s="971">
        <f t="shared" si="7"/>
        <v>2209.15</v>
      </c>
      <c r="P16" s="975">
        <f t="shared" si="7"/>
        <v>1955</v>
      </c>
      <c r="Q16" s="971">
        <f t="shared" si="7"/>
        <v>2125</v>
      </c>
      <c r="R16" s="972">
        <f t="shared" si="8"/>
        <v>2.5</v>
      </c>
      <c r="S16" s="972">
        <f t="shared" si="8"/>
        <v>2.8454521428571429</v>
      </c>
      <c r="T16" s="973">
        <f t="shared" si="9"/>
        <v>2125</v>
      </c>
      <c r="U16" s="974">
        <f t="shared" si="10"/>
        <v>2.5</v>
      </c>
      <c r="V16" s="971">
        <f t="shared" si="11"/>
        <v>4334.1499999999996</v>
      </c>
      <c r="W16" s="976">
        <f t="shared" si="11"/>
        <v>4080</v>
      </c>
      <c r="X16" s="971" t="str">
        <f t="shared" si="12"/>
        <v>-</v>
      </c>
      <c r="Y16" s="976">
        <f t="shared" si="12"/>
        <v>15.78</v>
      </c>
      <c r="Z16" s="971">
        <f t="shared" si="13"/>
        <v>4349.93</v>
      </c>
      <c r="AA16" s="976">
        <f t="shared" si="13"/>
        <v>4095.78</v>
      </c>
      <c r="AB16" s="775"/>
      <c r="AC16" s="776">
        <f t="shared" si="14"/>
        <v>0.47916666666666669</v>
      </c>
      <c r="AD16" s="777">
        <f t="shared" si="15"/>
        <v>0.52083333333333337</v>
      </c>
      <c r="AE16" s="778" t="str">
        <f t="shared" si="16"/>
        <v>TSX:NGD_2023_CEO</v>
      </c>
      <c r="AF16" s="778"/>
      <c r="AG16" s="782" t="str" cm="1">
        <f t="array" ref="AG16">IFERROR(INDEX('Import 2023 Data'!$E$4:$I$113,_xlfn.XMATCH(CEO!$AE16,'Import 2023 Data'!$C$4:$C$113),_xlfn.XMATCH(CEO!AG$5,'Import 2023 Data'!$E$3:$I$3)),"-")</f>
        <v>New Gold Inc.</v>
      </c>
      <c r="AH16" s="778" t="str" cm="1">
        <f t="array" ref="AH16">IFERROR(INDEX('Import 2023 Data'!$E$4:$I$113,_xlfn.XMATCH(CEO!$AE16,'Import 2023 Data'!$C$4:$C$113),_xlfn.XMATCH(CEO!AH$5,'Import 2023 Data'!$E$3:$I$3)),"-")</f>
        <v xml:space="preserve">Patrick Godin </v>
      </c>
      <c r="AI16" s="783" t="str">
        <f>IF(ISNUMBER(_xlfn.XMATCH(C16,'Import 2023 Data'!$E$4:$E$113)),"N","Y")</f>
        <v>N</v>
      </c>
      <c r="AJ16" s="783" t="str">
        <f t="shared" si="17"/>
        <v>N</v>
      </c>
      <c r="AK16" s="778" t="str" cm="1">
        <f t="array" ref="AK16">IFERROR(INDEX('Import 2023 Data'!$E$4:$I$113,_xlfn.XMATCH(CEO!$AE16,'Import 2023 Data'!$C$4:$C$113),_xlfn.XMATCH(CEO!AK$5,'Import 2023 Data'!$E$3:$I$3)),"-")</f>
        <v>President and CEO</v>
      </c>
      <c r="AL16" s="893" cm="1">
        <f t="array" ref="AL16">IFERROR(INDEX('Import 2023 Data'!$E$4:$I$113,_xlfn.XMATCH(CEO!$AE16,'Import 2023 Data'!$C$4:$C$113),_xlfn.XMATCH(CEO!AL$5,'Import 2023 Data'!$E$3:$I$3)),"-")</f>
        <v>3605.0003834772247</v>
      </c>
      <c r="AM16" s="894" cm="1">
        <f t="array" ref="AM16">IFERROR(INDEX('Import 2023 Data'!$E$4:$I$113,_xlfn.XMATCH(CEO!$AE16,'Import 2023 Data'!$C$4:$C$113),_xlfn.XMATCH(CEO!AM$5,'Import 2023 Data'!$E$3:$I$3)),"-")</f>
        <v>3325</v>
      </c>
      <c r="AN16" s="939">
        <f t="shared" si="24"/>
        <v>0.22706766917293231</v>
      </c>
      <c r="AO16" s="12">
        <f>850/700</f>
        <v>1.2142857142857142</v>
      </c>
      <c r="AP16" s="12" t="s">
        <v>762</v>
      </c>
      <c r="AR16" s="12" t="str">
        <f t="shared" si="18"/>
        <v>New Gold Inc.</v>
      </c>
      <c r="AS16" s="12" t="s">
        <v>738</v>
      </c>
      <c r="AT16" s="362">
        <f>_xll.ciqfunctions.udf.CIQ(B16,"IQ_TOTAL_ASSETS",IQ_LTM,$AT$6,,,"CAD")/1000</f>
        <v>3.35727778</v>
      </c>
      <c r="AU16" s="362">
        <f t="shared" si="19"/>
        <v>4.3341499999999993</v>
      </c>
      <c r="AV16" s="362">
        <f t="shared" si="20"/>
        <v>4.08</v>
      </c>
      <c r="AW16" s="362">
        <f t="shared" si="21"/>
        <v>0.25414999999999921</v>
      </c>
      <c r="AX16" s="661">
        <f t="shared" si="22"/>
        <v>6.2291666666666475E-2</v>
      </c>
      <c r="AY16" s="661">
        <f t="shared" si="23"/>
        <v>3.8802517361110874E-3</v>
      </c>
    </row>
    <row r="17" spans="1:51" ht="20.25" customHeight="1">
      <c r="A17" s="12" t="str">
        <f t="shared" si="0"/>
        <v>TSX:ELD_2024_CEO</v>
      </c>
      <c r="B17" s="12" t="str">
        <f>'Raw Data'!D14</f>
        <v>TSX:ELD</v>
      </c>
      <c r="C17" s="968" t="str">
        <f t="shared" si="1"/>
        <v>Eldorado Gold Corporation</v>
      </c>
      <c r="D17" s="969">
        <f>_xll.ciqfunctions.udf.CIQ(B17, "IQ_MARKETCAP", $A$1,$A$2)</f>
        <v>5686.0661099999998</v>
      </c>
      <c r="E17" s="969">
        <f>_xll.ciqfunctions.udf.CIQ($B17, "IQ_TEV", $A$1,$A$2)</f>
        <v>5583.1964099999996</v>
      </c>
      <c r="F17" s="970" t="str">
        <f t="shared" si="2"/>
        <v>George Burns</v>
      </c>
      <c r="G17" s="970" t="str">
        <f t="shared" si="2"/>
        <v>President &amp; CEO</v>
      </c>
      <c r="H17" s="969" t="str">
        <f t="shared" si="3"/>
        <v>-</v>
      </c>
      <c r="I17" s="969">
        <f t="shared" si="3"/>
        <v>1060.8</v>
      </c>
      <c r="J17" s="971">
        <f t="shared" si="3"/>
        <v>1463.904</v>
      </c>
      <c r="K17" s="972">
        <f t="shared" si="4"/>
        <v>1.38</v>
      </c>
      <c r="L17" s="972">
        <f t="shared" si="4"/>
        <v>1.2347307063851181</v>
      </c>
      <c r="M17" s="973">
        <f t="shared" si="5"/>
        <v>1272.96</v>
      </c>
      <c r="N17" s="974">
        <f t="shared" si="6"/>
        <v>1.2</v>
      </c>
      <c r="O17" s="971">
        <f t="shared" si="7"/>
        <v>2524.7040000000002</v>
      </c>
      <c r="P17" s="975">
        <f t="shared" si="7"/>
        <v>2333.7600000000002</v>
      </c>
      <c r="Q17" s="971">
        <f t="shared" si="7"/>
        <v>2333.7370000000001</v>
      </c>
      <c r="R17" s="972">
        <f t="shared" si="8"/>
        <v>2.1999783182503769</v>
      </c>
      <c r="S17" s="972">
        <f t="shared" si="8"/>
        <v>2.1717801030668675</v>
      </c>
      <c r="T17" s="973">
        <f t="shared" si="9"/>
        <v>2333.7600000000002</v>
      </c>
      <c r="U17" s="974">
        <f t="shared" si="10"/>
        <v>2.2000000000000002</v>
      </c>
      <c r="V17" s="971">
        <f t="shared" si="11"/>
        <v>4858.4409999999998</v>
      </c>
      <c r="W17" s="976">
        <f t="shared" si="11"/>
        <v>4667.5200000000004</v>
      </c>
      <c r="X17" s="971">
        <f t="shared" si="12"/>
        <v>350.06400000000002</v>
      </c>
      <c r="Y17" s="976" t="str">
        <f t="shared" si="12"/>
        <v>-</v>
      </c>
      <c r="Z17" s="971">
        <f t="shared" si="13"/>
        <v>5208.5050000000001</v>
      </c>
      <c r="AA17" s="976">
        <f t="shared" si="13"/>
        <v>5017.5839999999998</v>
      </c>
      <c r="AB17" s="775"/>
      <c r="AC17" s="776">
        <f t="shared" si="14"/>
        <v>0.5</v>
      </c>
      <c r="AD17" s="777">
        <f t="shared" si="15"/>
        <v>0.5</v>
      </c>
      <c r="AE17" s="778" t="str">
        <f t="shared" si="16"/>
        <v>TSX:ELD_2023_CEO</v>
      </c>
      <c r="AF17" s="778"/>
      <c r="AG17" s="782" t="str" cm="1">
        <f t="array" ref="AG17">IFERROR(INDEX('Import 2023 Data'!$E$4:$I$113,_xlfn.XMATCH(CEO!$AE17,'Import 2023 Data'!$C$4:$C$113),_xlfn.XMATCH(CEO!AG$5,'Import 2023 Data'!$E$3:$I$3)),"-")</f>
        <v>Eldorado Gold Corporation</v>
      </c>
      <c r="AH17" s="778" t="str" cm="1">
        <f t="array" ref="AH17">IFERROR(INDEX('Import 2023 Data'!$E$4:$I$113,_xlfn.XMATCH(CEO!$AE17,'Import 2023 Data'!$C$4:$C$113),_xlfn.XMATCH(CEO!AH$5,'Import 2023 Data'!$E$3:$I$3)),"-")</f>
        <v xml:space="preserve">George Burns </v>
      </c>
      <c r="AI17" s="783" t="str">
        <f>IF(ISNUMBER(_xlfn.XMATCH(C17,'Import 2023 Data'!$E$4:$E$113)),"N","Y")</f>
        <v>N</v>
      </c>
      <c r="AJ17" s="783" t="str">
        <f t="shared" si="17"/>
        <v>N</v>
      </c>
      <c r="AK17" s="778" t="str" cm="1">
        <f t="array" ref="AK17">IFERROR(INDEX('Import 2023 Data'!$E$4:$I$113,_xlfn.XMATCH(CEO!$AE17,'Import 2023 Data'!$C$4:$C$113),_xlfn.XMATCH(CEO!AK$5,'Import 2023 Data'!$E$3:$I$3)),"-")</f>
        <v>President and CEO</v>
      </c>
      <c r="AL17" s="893" cm="1">
        <f t="array" ref="AL17">IFERROR(INDEX('Import 2023 Data'!$E$4:$I$113,_xlfn.XMATCH(CEO!$AE17,'Import 2023 Data'!$C$4:$C$113),_xlfn.XMATCH(CEO!AL$5,'Import 2023 Data'!$E$3:$I$3)),"-")</f>
        <v>4870.6540000000005</v>
      </c>
      <c r="AM17" s="894" cm="1">
        <f t="array" ref="AM17">IFERROR(INDEX('Import 2023 Data'!$E$4:$I$113,_xlfn.XMATCH(CEO!$AE17,'Import 2023 Data'!$C$4:$C$113),_xlfn.XMATCH(CEO!AM$5,'Import 2023 Data'!$E$3:$I$3)),"-")</f>
        <v>4614.4799999999996</v>
      </c>
      <c r="AN17" s="939">
        <f t="shared" si="24"/>
        <v>1.1494252873563315E-2</v>
      </c>
      <c r="AR17" s="12" t="str">
        <f t="shared" si="18"/>
        <v>Eldorado Gold Corporation</v>
      </c>
      <c r="AS17" s="12" t="s">
        <v>738</v>
      </c>
      <c r="AT17" s="362">
        <f>_xll.ciqfunctions.udf.CIQ(B17,"IQ_TOTAL_ASSETS",IQ_LTM,$AT$6,,,"CAD")/1000</f>
        <v>8.5975388600000002</v>
      </c>
      <c r="AU17" s="362">
        <f t="shared" si="19"/>
        <v>4.858441</v>
      </c>
      <c r="AV17" s="362">
        <f t="shared" si="20"/>
        <v>4.6675200000000006</v>
      </c>
      <c r="AW17" s="362">
        <f t="shared" si="21"/>
        <v>0.19092099999999945</v>
      </c>
      <c r="AX17" s="661">
        <f t="shared" si="22"/>
        <v>4.0904163238721938E-2</v>
      </c>
      <c r="AY17" s="661">
        <f t="shared" si="23"/>
        <v>1.6731505702600113E-3</v>
      </c>
    </row>
    <row r="18" spans="1:51" ht="20.25" customHeight="1">
      <c r="A18" s="12" t="str">
        <f t="shared" si="0"/>
        <v>TSX:SSRM_2024_CEO</v>
      </c>
      <c r="B18" s="12" t="str">
        <f>'Raw Data'!D15</f>
        <v>TSX:SSRM</v>
      </c>
      <c r="C18" s="968" t="str">
        <f t="shared" si="1"/>
        <v>SSR Mining Inc.</v>
      </c>
      <c r="D18" s="969">
        <f>_xll.ciqfunctions.udf.CIQ(B18, "IQ_MARKETCAP", $A$1,$A$2)</f>
        <v>3522.2534999999998</v>
      </c>
      <c r="E18" s="969">
        <f>_xll.ciqfunctions.udf.CIQ($B18, "IQ_TEV", $A$1,$A$2)</f>
        <v>4732.8011699999997</v>
      </c>
      <c r="F18" s="970" t="str">
        <f t="shared" si="2"/>
        <v>Rodney Antal</v>
      </c>
      <c r="G18" s="970" t="str">
        <f t="shared" si="2"/>
        <v>Executive Chairman</v>
      </c>
      <c r="H18" s="969" t="str">
        <f t="shared" si="3"/>
        <v>-</v>
      </c>
      <c r="I18" s="969">
        <f t="shared" si="3"/>
        <v>1472.9327500000002</v>
      </c>
      <c r="J18" s="971">
        <f t="shared" si="3"/>
        <v>1079.8433085300001</v>
      </c>
      <c r="K18" s="972">
        <f t="shared" si="4"/>
        <v>0.73312465116279057</v>
      </c>
      <c r="L18" s="972">
        <f t="shared" si="4"/>
        <v>0.73730310077519379</v>
      </c>
      <c r="M18" s="973">
        <f t="shared" si="5"/>
        <v>1693.8726625000002</v>
      </c>
      <c r="N18" s="974">
        <f t="shared" si="6"/>
        <v>1.1499999999999999</v>
      </c>
      <c r="O18" s="971">
        <f t="shared" si="7"/>
        <v>2552.7760585300002</v>
      </c>
      <c r="P18" s="975">
        <f t="shared" si="7"/>
        <v>3166.8054125000008</v>
      </c>
      <c r="Q18" s="971">
        <f t="shared" si="7"/>
        <v>4418.7982499999998</v>
      </c>
      <c r="R18" s="972">
        <f t="shared" si="8"/>
        <v>2.9999999999999996</v>
      </c>
      <c r="S18" s="972">
        <f t="shared" si="8"/>
        <v>3</v>
      </c>
      <c r="T18" s="973">
        <f t="shared" si="9"/>
        <v>4418.7982500000007</v>
      </c>
      <c r="U18" s="974">
        <f t="shared" si="10"/>
        <v>3</v>
      </c>
      <c r="V18" s="971">
        <f t="shared" si="11"/>
        <v>6971.5743085300001</v>
      </c>
      <c r="W18" s="976">
        <f t="shared" si="11"/>
        <v>7585.6036625000015</v>
      </c>
      <c r="X18" s="971">
        <f t="shared" si="12"/>
        <v>37.816692000000003</v>
      </c>
      <c r="Y18" s="976" t="str">
        <f t="shared" si="12"/>
        <v>-</v>
      </c>
      <c r="Z18" s="971">
        <f t="shared" si="13"/>
        <v>7009.3910005299995</v>
      </c>
      <c r="AA18" s="976">
        <f t="shared" si="13"/>
        <v>7623.4203545000009</v>
      </c>
      <c r="AB18" s="775"/>
      <c r="AC18" s="776">
        <f t="shared" si="14"/>
        <v>0.41747572815533984</v>
      </c>
      <c r="AD18" s="777">
        <f t="shared" si="15"/>
        <v>0.58252427184466016</v>
      </c>
      <c r="AE18" s="778" t="str">
        <f t="shared" si="16"/>
        <v>TSX:SSRM_2023_CEO</v>
      </c>
      <c r="AF18" s="778"/>
      <c r="AG18" s="782" t="str" cm="1">
        <f t="array" ref="AG18">IFERROR(INDEX('Import 2023 Data'!$E$4:$I$113,_xlfn.XMATCH(CEO!$AE18,'Import 2023 Data'!$C$4:$C$113),_xlfn.XMATCH(CEO!AG$5,'Import 2023 Data'!$E$3:$I$3)),"-")</f>
        <v>SSR Mining Inc.</v>
      </c>
      <c r="AH18" s="778" t="str" cm="1">
        <f t="array" ref="AH18">IFERROR(INDEX('Import 2023 Data'!$E$4:$I$113,_xlfn.XMATCH(CEO!$AE18,'Import 2023 Data'!$C$4:$C$113),_xlfn.XMATCH(CEO!AH$5,'Import 2023 Data'!$E$3:$I$3)),"-")</f>
        <v xml:space="preserve">Rod Antal </v>
      </c>
      <c r="AI18" s="783" t="str">
        <f>IF(ISNUMBER(_xlfn.XMATCH(C18,'Import 2023 Data'!$E$4:$E$113)),"N","Y")</f>
        <v>N</v>
      </c>
      <c r="AJ18" s="783" t="s">
        <v>720</v>
      </c>
      <c r="AK18" s="778" t="str" cm="1">
        <f t="array" ref="AK18">IFERROR(INDEX('Import 2023 Data'!$E$4:$I$113,_xlfn.XMATCH(CEO!$AE18,'Import 2023 Data'!$C$4:$C$113),_xlfn.XMATCH(CEO!AK$5,'Import 2023 Data'!$E$3:$I$3)),"-")</f>
        <v>Executive Chairman</v>
      </c>
      <c r="AL18" s="893" cm="1">
        <f t="array" ref="AL18">IFERROR(INDEX('Import 2023 Data'!$E$4:$I$113,_xlfn.XMATCH(CEO!$AE18,'Import 2023 Data'!$C$4:$C$113),_xlfn.XMATCH(CEO!AL$5,'Import 2023 Data'!$E$3:$I$3)),"-")</f>
        <v>7097.50886524</v>
      </c>
      <c r="AM18" s="894" cm="1">
        <f t="array" ref="AM18">IFERROR(INDEX('Import 2023 Data'!$E$4:$I$113,_xlfn.XMATCH(CEO!$AE18,'Import 2023 Data'!$C$4:$C$113),_xlfn.XMATCH(CEO!AM$5,'Import 2023 Data'!$E$3:$I$3)),"-")</f>
        <v>7471.3908250000004</v>
      </c>
      <c r="AN18" s="939">
        <f t="shared" si="24"/>
        <v>1.5286690279650905E-2</v>
      </c>
      <c r="AR18" s="12" t="str">
        <f t="shared" si="18"/>
        <v>SSR Mining Inc.</v>
      </c>
      <c r="AS18" s="12" t="s">
        <v>738</v>
      </c>
      <c r="AT18" s="362">
        <f>_xll.ciqfunctions.udf.CIQ(B18,"IQ_TOTAL_ASSETS",IQ_LTM,$AT$6,,,"CAD")/1000</f>
        <v>7.9047648099999996</v>
      </c>
      <c r="AU18" s="362">
        <f t="shared" si="19"/>
        <v>6.9715743085300002</v>
      </c>
      <c r="AV18" s="362">
        <f t="shared" si="20"/>
        <v>7.5856036625000014</v>
      </c>
      <c r="AW18" s="362">
        <f t="shared" si="21"/>
        <v>-0.61402935397000125</v>
      </c>
      <c r="AX18" s="661">
        <f t="shared" si="22"/>
        <v>-8.0946669677128172E-2</v>
      </c>
      <c r="AY18" s="661">
        <f t="shared" si="23"/>
        <v>6.5523633318181011E-3</v>
      </c>
    </row>
    <row r="19" spans="1:51" ht="20.25" customHeight="1">
      <c r="A19" s="12" t="str">
        <f t="shared" si="0"/>
        <v>TSX:OGC
_2024_CEO</v>
      </c>
      <c r="B19" s="12" t="str">
        <f>'Raw Data'!D16</f>
        <v xml:space="preserve">TSX:OGC
</v>
      </c>
      <c r="C19" s="968" t="str">
        <f t="shared" si="1"/>
        <v>OceanaGold Corporation</v>
      </c>
      <c r="D19" s="969">
        <f>_xll.ciqfunctions.udf.CIQ(B19, "IQ_MARKETCAP", $A$1,$A$2)</f>
        <v>4442.2525999999998</v>
      </c>
      <c r="E19" s="969">
        <f>_xll.ciqfunctions.udf.CIQ($B19, "IQ_TEV", $A$1,$A$2)</f>
        <v>4351.6995500000003</v>
      </c>
      <c r="F19" s="970" t="str">
        <f t="shared" si="2"/>
        <v>Gerard Bond</v>
      </c>
      <c r="G19" s="970" t="str">
        <f t="shared" si="2"/>
        <v>President &amp; CEO</v>
      </c>
      <c r="H19" s="969" t="str">
        <f t="shared" si="3"/>
        <v>-</v>
      </c>
      <c r="I19" s="969">
        <f t="shared" si="3"/>
        <v>931.09217265000007</v>
      </c>
      <c r="J19" s="971">
        <f t="shared" si="3"/>
        <v>675.91993287000003</v>
      </c>
      <c r="K19" s="972">
        <f t="shared" si="4"/>
        <v>0.7259430942763172</v>
      </c>
      <c r="L19" s="972">
        <f t="shared" si="4"/>
        <v>0.80744849727559653</v>
      </c>
      <c r="M19" s="973">
        <f t="shared" si="5"/>
        <v>837.98295538500008</v>
      </c>
      <c r="N19" s="974">
        <f t="shared" si="6"/>
        <v>0.9</v>
      </c>
      <c r="O19" s="971">
        <f t="shared" si="7"/>
        <v>1607.0121055200002</v>
      </c>
      <c r="P19" s="975">
        <f t="shared" si="7"/>
        <v>1769.075128035</v>
      </c>
      <c r="Q19" s="971">
        <f t="shared" si="7"/>
        <v>3698.9410757400001</v>
      </c>
      <c r="R19" s="972">
        <f t="shared" si="8"/>
        <v>3.9726905502946823</v>
      </c>
      <c r="S19" s="972">
        <f t="shared" si="8"/>
        <v>3.9347161378736684</v>
      </c>
      <c r="T19" s="973">
        <f t="shared" si="9"/>
        <v>3663.583397573811</v>
      </c>
      <c r="U19" s="974">
        <f t="shared" si="10"/>
        <v>3.9347161378736684</v>
      </c>
      <c r="V19" s="971">
        <f t="shared" si="11"/>
        <v>5305.9531812600007</v>
      </c>
      <c r="W19" s="976">
        <f t="shared" si="11"/>
        <v>5432.6585256088119</v>
      </c>
      <c r="X19" s="971">
        <f t="shared" si="12"/>
        <v>20.897832840000003</v>
      </c>
      <c r="Y19" s="976">
        <f t="shared" si="12"/>
        <v>199.69679682000003</v>
      </c>
      <c r="Z19" s="971">
        <f t="shared" si="13"/>
        <v>5526.5478109200012</v>
      </c>
      <c r="AA19" s="976">
        <f t="shared" si="13"/>
        <v>5653.2531552688115</v>
      </c>
      <c r="AB19" s="775"/>
      <c r="AC19" s="776">
        <f t="shared" si="14"/>
        <v>0.32563709272280245</v>
      </c>
      <c r="AD19" s="777">
        <f t="shared" si="15"/>
        <v>0.67436290727719739</v>
      </c>
      <c r="AE19" s="778" t="str">
        <f t="shared" si="16"/>
        <v>TSX:OGC
_2023_CEO</v>
      </c>
      <c r="AF19" s="778"/>
      <c r="AG19" s="782" t="str" cm="1">
        <f t="array" ref="AG19">IFERROR(INDEX('Import 2023 Data'!$E$4:$I$113,_xlfn.XMATCH(CEO!$AE19,'Import 2023 Data'!$C$4:$C$113),_xlfn.XMATCH(CEO!AG$5,'Import 2023 Data'!$E$3:$I$3)),"-")</f>
        <v>OceanaGold Corporation</v>
      </c>
      <c r="AH19" s="778" t="str" cm="1">
        <f t="array" ref="AH19">IFERROR(INDEX('Import 2023 Data'!$E$4:$I$113,_xlfn.XMATCH(CEO!$AE19,'Import 2023 Data'!$C$4:$C$113),_xlfn.XMATCH(CEO!AH$5,'Import 2023 Data'!$E$3:$I$3)),"-")</f>
        <v xml:space="preserve">Gerard Bond </v>
      </c>
      <c r="AI19" s="783" t="str">
        <f>IF(ISNUMBER(_xlfn.XMATCH(C19,'Import 2023 Data'!$E$4:$E$113)),"N","Y")</f>
        <v>N</v>
      </c>
      <c r="AJ19" s="783" t="str">
        <f t="shared" si="17"/>
        <v>N</v>
      </c>
      <c r="AK19" s="778" t="str" cm="1">
        <f t="array" ref="AK19">IFERROR(INDEX('Import 2023 Data'!$E$4:$I$113,_xlfn.XMATCH(CEO!$AE19,'Import 2023 Data'!$C$4:$C$113),_xlfn.XMATCH(CEO!AK$5,'Import 2023 Data'!$E$3:$I$3)),"-")</f>
        <v xml:space="preserve">President and CEO </v>
      </c>
      <c r="AL19" s="893" cm="1">
        <f t="array" ref="AL19">IFERROR(INDEX('Import 2023 Data'!$E$4:$I$113,_xlfn.XMATCH(CEO!$AE19,'Import 2023 Data'!$C$4:$C$113),_xlfn.XMATCH(CEO!AL$5,'Import 2023 Data'!$E$3:$I$3)),"-")</f>
        <v>4467.6643158599991</v>
      </c>
      <c r="AM19" s="894" cm="1">
        <f t="array" ref="AM19">IFERROR(INDEX('Import 2023 Data'!$E$4:$I$113,_xlfn.XMATCH(CEO!$AE19,'Import 2023 Data'!$C$4:$C$113),_xlfn.XMATCH(CEO!AM$5,'Import 2023 Data'!$E$3:$I$3)),"-")</f>
        <v>4310.2275192759998</v>
      </c>
      <c r="AN19" s="939">
        <f t="shared" si="24"/>
        <v>0.26041108069426233</v>
      </c>
      <c r="AP19" s="12" t="s">
        <v>788</v>
      </c>
      <c r="AR19" s="12" t="str">
        <f t="shared" si="18"/>
        <v>OceanaGold Corporation</v>
      </c>
      <c r="AS19" s="12" t="s">
        <v>738</v>
      </c>
      <c r="AT19" s="362">
        <f>_xll.ciqfunctions.udf.CIQ(B19,"IQ_TOTAL_ASSETS",IQ_LTM,$AT$6,,,"CAD")/1000</f>
        <v>3.7943949099999998</v>
      </c>
      <c r="AU19" s="362">
        <f t="shared" si="19"/>
        <v>5.3059531812600005</v>
      </c>
      <c r="AV19" s="362">
        <f t="shared" si="20"/>
        <v>5.4326585256088116</v>
      </c>
      <c r="AW19" s="362">
        <f t="shared" si="21"/>
        <v>-0.12670534434881109</v>
      </c>
      <c r="AX19" s="661">
        <f t="shared" si="22"/>
        <v>-2.3322898678711238E-2</v>
      </c>
      <c r="AY19" s="661">
        <f t="shared" si="23"/>
        <v>5.4395760277743037E-4</v>
      </c>
    </row>
    <row r="20" spans="1:51" ht="20.25" customHeight="1">
      <c r="A20" s="12" t="str">
        <f t="shared" si="0"/>
        <v>TSX:ERO_2024_CEO</v>
      </c>
      <c r="B20" s="12" t="str">
        <f>'Raw Data'!D17</f>
        <v>TSX:ERO</v>
      </c>
      <c r="C20" s="968" t="str">
        <f t="shared" si="1"/>
        <v>Ero Copper Corp.</v>
      </c>
      <c r="D20" s="969">
        <f>_xll.ciqfunctions.udf.CIQ(B20, "IQ_MARKETCAP", $A$1,$A$2)</f>
        <v>2382.1575200000002</v>
      </c>
      <c r="E20" s="969">
        <f>_xll.ciqfunctions.udf.CIQ($B20, "IQ_TEV", $A$1,$A$2)</f>
        <v>3228.6776199999999</v>
      </c>
      <c r="F20" s="970" t="str">
        <f t="shared" si="2"/>
        <v>David Strang</v>
      </c>
      <c r="G20" s="970" t="str">
        <f t="shared" si="2"/>
        <v>CEO</v>
      </c>
      <c r="H20" s="969" t="str">
        <f t="shared" si="3"/>
        <v>-</v>
      </c>
      <c r="I20" s="969">
        <f t="shared" si="3"/>
        <v>876.90880000000004</v>
      </c>
      <c r="J20" s="971">
        <f t="shared" si="3"/>
        <v>569.99072000000012</v>
      </c>
      <c r="K20" s="972">
        <f t="shared" si="4"/>
        <v>0.65</v>
      </c>
      <c r="L20" s="972">
        <f t="shared" si="4"/>
        <v>0.91566666666666663</v>
      </c>
      <c r="M20" s="973">
        <f t="shared" si="5"/>
        <v>876.90880000000004</v>
      </c>
      <c r="N20" s="974">
        <f t="shared" si="6"/>
        <v>1</v>
      </c>
      <c r="O20" s="971">
        <f t="shared" si="7"/>
        <v>1446.8995199999999</v>
      </c>
      <c r="P20" s="975">
        <f t="shared" si="7"/>
        <v>1753.8176000000001</v>
      </c>
      <c r="Q20" s="971">
        <f t="shared" si="7"/>
        <v>1759.65315403</v>
      </c>
      <c r="R20" s="972">
        <f t="shared" si="8"/>
        <v>2.0066546875000002</v>
      </c>
      <c r="S20" s="972">
        <f t="shared" si="8"/>
        <v>2.3139707291666665</v>
      </c>
      <c r="T20" s="973">
        <f t="shared" si="9"/>
        <v>2196.2220396396401</v>
      </c>
      <c r="U20" s="974">
        <f t="shared" si="10"/>
        <v>2.5045045045045047</v>
      </c>
      <c r="V20" s="971">
        <f t="shared" si="11"/>
        <v>3206.5526740300002</v>
      </c>
      <c r="W20" s="976">
        <f t="shared" si="11"/>
        <v>3950.0396396396404</v>
      </c>
      <c r="X20" s="971" t="str">
        <f t="shared" si="12"/>
        <v>-</v>
      </c>
      <c r="Y20" s="976">
        <f t="shared" si="12"/>
        <v>2.2895540700000003</v>
      </c>
      <c r="Z20" s="971">
        <f t="shared" si="13"/>
        <v>3208.8422281000003</v>
      </c>
      <c r="AA20" s="976">
        <f t="shared" si="13"/>
        <v>3952.3291937096401</v>
      </c>
      <c r="AB20" s="775"/>
      <c r="AC20" s="776">
        <f t="shared" si="14"/>
        <v>0.44399999999999995</v>
      </c>
      <c r="AD20" s="777">
        <f t="shared" si="15"/>
        <v>0.55600000000000005</v>
      </c>
      <c r="AE20" s="778" t="str">
        <f t="shared" si="16"/>
        <v>TSX:ERO_2023_CEO</v>
      </c>
      <c r="AF20" s="778"/>
      <c r="AG20" s="782" t="str" cm="1">
        <f t="array" ref="AG20">IFERROR(INDEX('Import 2023 Data'!$E$4:$I$113,_xlfn.XMATCH(CEO!$AE20,'Import 2023 Data'!$C$4:$C$113),_xlfn.XMATCH(CEO!AG$5,'Import 2023 Data'!$E$3:$I$3)),"-")</f>
        <v>Ero Copper Corp.</v>
      </c>
      <c r="AH20" s="778" t="str" cm="1">
        <f t="array" ref="AH20">IFERROR(INDEX('Import 2023 Data'!$E$4:$I$113,_xlfn.XMATCH(CEO!$AE20,'Import 2023 Data'!$C$4:$C$113),_xlfn.XMATCH(CEO!AH$5,'Import 2023 Data'!$E$3:$I$3)),"-")</f>
        <v xml:space="preserve">David Strang </v>
      </c>
      <c r="AI20" s="783" t="str">
        <f>IF(ISNUMBER(_xlfn.XMATCH(C20,'Import 2023 Data'!$E$4:$E$113)),"N","Y")</f>
        <v>N</v>
      </c>
      <c r="AJ20" s="783" t="str">
        <f t="shared" si="17"/>
        <v>N</v>
      </c>
      <c r="AK20" s="778" t="str" cm="1">
        <f t="array" ref="AK20">IFERROR(INDEX('Import 2023 Data'!$E$4:$I$113,_xlfn.XMATCH(CEO!$AE20,'Import 2023 Data'!$C$4:$C$113),_xlfn.XMATCH(CEO!AK$5,'Import 2023 Data'!$E$3:$I$3)),"-")</f>
        <v>CEO and Director</v>
      </c>
      <c r="AL20" s="893" cm="1">
        <f t="array" ref="AL20">IFERROR(INDEX('Import 2023 Data'!$E$4:$I$113,_xlfn.XMATCH(CEO!$AE20,'Import 2023 Data'!$C$4:$C$113),_xlfn.XMATCH(CEO!AL$5,'Import 2023 Data'!$E$3:$I$3)),"-")</f>
        <v>4183.8007227199996</v>
      </c>
      <c r="AM20" s="894" cm="1">
        <f t="array" ref="AM20">IFERROR(INDEX('Import 2023 Data'!$E$4:$I$113,_xlfn.XMATCH(CEO!$AE20,'Import 2023 Data'!$C$4:$C$113),_xlfn.XMATCH(CEO!AM$5,'Import 2023 Data'!$E$3:$I$3)),"-")</f>
        <v>4017.2353488372091</v>
      </c>
      <c r="AN20" s="939">
        <f t="shared" si="24"/>
        <v>-1.6726854008445979E-2</v>
      </c>
      <c r="AR20" s="12" t="str">
        <f t="shared" si="18"/>
        <v>Ero Copper Corp.</v>
      </c>
      <c r="AS20" s="12" t="s">
        <v>739</v>
      </c>
      <c r="AT20" s="362">
        <f>_xll.ciqfunctions.udf.CIQ(B20,"IQ_TOTAL_ASSETS",IQ_LTM,$AT$6,,,"CAD")/1000</f>
        <v>2.4173204699999999</v>
      </c>
      <c r="AU20" s="362">
        <f t="shared" si="19"/>
        <v>3.2065526740300001</v>
      </c>
      <c r="AV20" s="362">
        <f t="shared" si="20"/>
        <v>3.9500396396396402</v>
      </c>
      <c r="AW20" s="362">
        <f t="shared" si="21"/>
        <v>-0.74348696560964012</v>
      </c>
      <c r="AX20" s="661">
        <f t="shared" si="22"/>
        <v>-0.1882226593750001</v>
      </c>
      <c r="AY20" s="661">
        <f t="shared" si="23"/>
        <v>3.5427769502197316E-2</v>
      </c>
    </row>
    <row r="21" spans="1:51" ht="20.25" customHeight="1">
      <c r="A21" s="12" t="str">
        <f t="shared" si="0"/>
        <v>TSX:CG_2024_CEO</v>
      </c>
      <c r="B21" s="12" t="str">
        <f>'Raw Data'!D18</f>
        <v>TSX:CG</v>
      </c>
      <c r="C21" s="968" t="str">
        <f t="shared" si="1"/>
        <v>Centerra Gold Inc.</v>
      </c>
      <c r="D21" s="969">
        <f>_xll.ciqfunctions.udf.CIQ(B21, "IQ_MARKETCAP", $A$1,$A$2)</f>
        <v>2036.1723199999999</v>
      </c>
      <c r="E21" s="969">
        <f>_xll.ciqfunctions.udf.CIQ($B21, "IQ_TEV", $A$1,$A$2)</f>
        <v>1171.7428399999999</v>
      </c>
      <c r="F21" s="970" t="str">
        <f t="shared" si="2"/>
        <v>Paul Tomory</v>
      </c>
      <c r="G21" s="970" t="str">
        <f t="shared" si="2"/>
        <v>President &amp; CEO</v>
      </c>
      <c r="H21" s="969" t="str">
        <f t="shared" si="3"/>
        <v>-</v>
      </c>
      <c r="I21" s="969">
        <f t="shared" si="3"/>
        <v>750</v>
      </c>
      <c r="J21" s="971">
        <f t="shared" si="3"/>
        <v>905.625</v>
      </c>
      <c r="K21" s="972">
        <f t="shared" si="4"/>
        <v>1.2075</v>
      </c>
      <c r="L21" s="972">
        <f t="shared" si="4"/>
        <v>1.1861619999999999</v>
      </c>
      <c r="M21" s="973">
        <f t="shared" si="5"/>
        <v>862.49999999999989</v>
      </c>
      <c r="N21" s="974">
        <f t="shared" si="6"/>
        <v>1.1499999999999999</v>
      </c>
      <c r="O21" s="971">
        <f t="shared" si="7"/>
        <v>1655.625</v>
      </c>
      <c r="P21" s="975">
        <f t="shared" si="7"/>
        <v>1612.5</v>
      </c>
      <c r="Q21" s="971">
        <f t="shared" si="7"/>
        <v>1875.0000000000005</v>
      </c>
      <c r="R21" s="972">
        <f t="shared" si="8"/>
        <v>2.5000000000000004</v>
      </c>
      <c r="S21" s="972">
        <f t="shared" si="8"/>
        <v>2.0879120879120885</v>
      </c>
      <c r="T21" s="973">
        <f t="shared" si="9"/>
        <v>1875</v>
      </c>
      <c r="U21" s="974">
        <f t="shared" si="10"/>
        <v>2.5</v>
      </c>
      <c r="V21" s="971">
        <f t="shared" si="11"/>
        <v>3530.6250000000005</v>
      </c>
      <c r="W21" s="976">
        <f t="shared" si="11"/>
        <v>3487.5</v>
      </c>
      <c r="X21" s="971">
        <f t="shared" si="12"/>
        <v>193.5</v>
      </c>
      <c r="Y21" s="976">
        <f t="shared" si="12"/>
        <v>54.95</v>
      </c>
      <c r="Z21" s="971">
        <f t="shared" si="13"/>
        <v>3779.0750000000003</v>
      </c>
      <c r="AA21" s="976">
        <f t="shared" si="13"/>
        <v>3735.95</v>
      </c>
      <c r="AB21" s="775"/>
      <c r="AC21" s="776">
        <f t="shared" si="14"/>
        <v>0.46236559139784944</v>
      </c>
      <c r="AD21" s="777">
        <f t="shared" si="15"/>
        <v>0.5376344086021505</v>
      </c>
      <c r="AE21" s="778" t="str">
        <f t="shared" si="16"/>
        <v>TSX:CG_2023_CEO</v>
      </c>
      <c r="AF21" s="778"/>
      <c r="AG21" s="784" t="str" cm="1">
        <f t="array" ref="AG21">IFERROR(INDEX('Import 2023 Data'!$E$4:$I$113,_xlfn.XMATCH(CEO!$AE21,'Import 2023 Data'!$C$4:$C$113),_xlfn.XMATCH(CEO!AG$5,'Import 2023 Data'!$E$3:$I$3)),"-")</f>
        <v>Centerra Gold Inc.</v>
      </c>
      <c r="AH21" s="785" t="str" cm="1">
        <f t="array" ref="AH21">IFERROR(INDEX('Import 2023 Data'!$E$4:$I$113,_xlfn.XMATCH(CEO!$AE21,'Import 2023 Data'!$C$4:$C$113),_xlfn.XMATCH(CEO!AH$5,'Import 2023 Data'!$E$3:$I$3)),"-")</f>
        <v xml:space="preserve">Paul Tomory </v>
      </c>
      <c r="AI21" s="786" t="str">
        <f>IF(ISNUMBER(_xlfn.XMATCH(C21,'Import 2023 Data'!$E$4:$E$113)),"N","Y")</f>
        <v>N</v>
      </c>
      <c r="AJ21" s="786" t="str">
        <f t="shared" si="17"/>
        <v>N</v>
      </c>
      <c r="AK21" s="785" t="str" cm="1">
        <f t="array" ref="AK21">IFERROR(INDEX('Import 2023 Data'!$E$4:$I$113,_xlfn.XMATCH(CEO!$AE21,'Import 2023 Data'!$C$4:$C$113),_xlfn.XMATCH(CEO!AK$5,'Import 2023 Data'!$E$3:$I$3)),"-")</f>
        <v xml:space="preserve">President and CEO </v>
      </c>
      <c r="AL21" s="897" cm="1">
        <f t="array" ref="AL21">IFERROR(INDEX('Import 2023 Data'!$E$4:$I$113,_xlfn.XMATCH(CEO!$AE21,'Import 2023 Data'!$C$4:$C$113),_xlfn.XMATCH(CEO!AL$5,'Import 2023 Data'!$E$3:$I$3)),"-")</f>
        <v>2868.8441311475412</v>
      </c>
      <c r="AM21" s="898" cm="1">
        <f t="array" ref="AM21">IFERROR(INDEX('Import 2023 Data'!$E$4:$I$113,_xlfn.XMATCH(CEO!$AE21,'Import 2023 Data'!$C$4:$C$113),_xlfn.XMATCH(CEO!AM$5,'Import 2023 Data'!$E$3:$I$3)),"-")</f>
        <v>3487.5</v>
      </c>
      <c r="AN21" s="940">
        <f t="shared" si="24"/>
        <v>0</v>
      </c>
      <c r="AR21" s="12" t="str">
        <f t="shared" si="18"/>
        <v>Centerra Gold Inc.</v>
      </c>
      <c r="AS21" s="12" t="s">
        <v>738</v>
      </c>
      <c r="AT21" s="362">
        <f>_xll.ciqfunctions.udf.CIQ(B21,"IQ_TOTAL_ASSETS",IQ_LTM,$AT$6,,,"CAD")/1000</f>
        <v>3.1604905100000003</v>
      </c>
      <c r="AU21" s="362">
        <f t="shared" si="19"/>
        <v>3.5306250000000006</v>
      </c>
      <c r="AV21" s="362">
        <f t="shared" si="20"/>
        <v>3.4874999999999998</v>
      </c>
      <c r="AW21" s="362">
        <f t="shared" si="21"/>
        <v>4.3125000000000746E-2</v>
      </c>
      <c r="AX21" s="661">
        <f t="shared" si="22"/>
        <v>1.2365591397849677E-2</v>
      </c>
      <c r="AY21" s="661">
        <f t="shared" si="23"/>
        <v>1.5290785061857393E-4</v>
      </c>
    </row>
    <row r="22" spans="1:51" ht="20.25" hidden="1" customHeight="1" outlineLevel="1">
      <c r="A22" s="12" t="str">
        <f t="shared" ref="A22:A27" si="25">$B22&amp;"_"&amp;$C$3&amp;"_"&amp;$C$2</f>
        <v>0_2024_CEO</v>
      </c>
      <c r="B22" s="12">
        <f>'Raw Data'!D19</f>
        <v>0</v>
      </c>
      <c r="C22" s="968" t="str">
        <f t="shared" ref="C22:C27" si="26">IFERROR(INDEX(Raw_Data,MATCH($A22,Look_Up,0),MATCH(C$4,Component,0)),"-")</f>
        <v>(Invalid Identifier)</v>
      </c>
      <c r="D22" s="969" t="str">
        <f>_xll.ciqfunctions.udf.CIQ(B22, "IQ_MARKETCAP", $A$1,$A$2)</f>
        <v>(Invalid Identifier)</v>
      </c>
      <c r="E22" s="969" t="str">
        <f>_xll.ciqfunctions.udf.CIQ($B22, "IQ_TEV", $A$1,$A$2)</f>
        <v>(Invalid Identifier)</v>
      </c>
      <c r="F22" s="970" t="str">
        <f t="shared" ref="F22:G27" si="27">IFERROR(INDEX(Raw_Data,MATCH($A22,Look_Up,0),MATCH(F$4,Component,0)),"-")</f>
        <v>-</v>
      </c>
      <c r="G22" s="970" t="str">
        <f t="shared" si="27"/>
        <v>-</v>
      </c>
      <c r="H22" s="969" t="str">
        <f t="shared" ref="H22:J27" si="28">IFERROR(INDEX(Raw_Data,MATCH($A22,Look_Up,0),MATCH(H$4,Component,0))/1000,"-")</f>
        <v>-</v>
      </c>
      <c r="I22" s="969" t="str">
        <f t="shared" si="28"/>
        <v>-</v>
      </c>
      <c r="J22" s="971" t="str">
        <f t="shared" si="28"/>
        <v>-</v>
      </c>
      <c r="K22" s="972" t="str">
        <f t="shared" ref="K22:L27" si="29">IFERROR(INDEX(Raw_Data,MATCH($A22,Look_Up,0),MATCH(K$4,Component,0)),"-")</f>
        <v>-</v>
      </c>
      <c r="L22" s="972" t="str">
        <f t="shared" si="29"/>
        <v>N/A</v>
      </c>
      <c r="M22" s="973" t="str">
        <f t="shared" ref="M22:M27" si="30">IFERROR(INDEX(Raw_Data,MATCH($A22,Look_Up,0),MATCH(M$4,Component,0))/1000,"-")</f>
        <v>-</v>
      </c>
      <c r="N22" s="974" t="str">
        <f t="shared" ref="N22:N27" si="31">IFERROR(IF(INDEX(Raw_Data,MATCH($A22,Look_Up,0),MATCH(N$4,Component,0))="-",L22,INDEX(Raw_Data,MATCH($A22,Look_Up,0),MATCH(N$4,Component,0))),"-")</f>
        <v>N/A</v>
      </c>
      <c r="O22" s="971" t="str">
        <f t="shared" ref="O22:Q27" si="32">IFERROR(INDEX(Raw_Data,MATCH($A22,Look_Up,0),MATCH(O$4,Component,0))/1000,"-")</f>
        <v>-</v>
      </c>
      <c r="P22" s="975" t="str">
        <f t="shared" si="32"/>
        <v>-</v>
      </c>
      <c r="Q22" s="971" t="str">
        <f t="shared" si="32"/>
        <v>-</v>
      </c>
      <c r="R22" s="972" t="str">
        <f t="shared" ref="R22:S27" si="33">IFERROR(INDEX(Raw_Data,MATCH($A22,Look_Up,0),MATCH(R$4,Component,0)),"-")</f>
        <v>-</v>
      </c>
      <c r="S22" s="972" t="str">
        <f t="shared" si="33"/>
        <v>N/A</v>
      </c>
      <c r="T22" s="973" t="str">
        <f t="shared" ref="T22:T27" si="34">IFERROR(INDEX(Raw_Data,MATCH($A22,Look_Up,0),MATCH(T$4,Component,0))/1000,"-")</f>
        <v>-</v>
      </c>
      <c r="U22" s="974" t="str">
        <f t="shared" ref="U22:U27" si="35">IFERROR(IF(INDEX(Raw_Data,MATCH($A22,Look_Up,0),MATCH(U$4,Component,0))="-",S22,INDEX(Raw_Data,MATCH($A22,Look_Up,0),MATCH(U$4,Component,0))),"-")</f>
        <v>N/A</v>
      </c>
      <c r="V22" s="971" t="str">
        <f t="shared" ref="V22:AA27" si="36">IFERROR(INDEX(Raw_Data,MATCH($A22,Look_Up,0),MATCH(V$4,Component,0))/1000,"-")</f>
        <v>-</v>
      </c>
      <c r="W22" s="976" t="str">
        <f t="shared" si="36"/>
        <v>-</v>
      </c>
      <c r="X22" s="971" t="str">
        <f t="shared" ref="X22:Y27" si="37">IFERROR((INDEX(Raw_Data,MATCH($A22,Look_Up,0),MATCH(X$4,Component,0))/1000),"-")</f>
        <v>-</v>
      </c>
      <c r="Y22" s="976" t="str">
        <f t="shared" si="37"/>
        <v>-</v>
      </c>
      <c r="Z22" s="971" t="str">
        <f t="shared" si="36"/>
        <v>-</v>
      </c>
      <c r="AA22" s="976" t="str">
        <f t="shared" si="36"/>
        <v>-</v>
      </c>
      <c r="AB22" s="775"/>
      <c r="AC22" s="776"/>
      <c r="AD22" s="777"/>
      <c r="AE22" s="778" t="str">
        <f t="shared" ref="AE22:AE27" si="38">B22&amp;"_"&amp;$AE$6&amp;"_"&amp;$C$2</f>
        <v>0_2023_CEO</v>
      </c>
      <c r="AF22" s="778"/>
      <c r="AG22" s="782" t="str" cm="1">
        <f t="array" ref="AG22">IFERROR(INDEX('Import 2023 Data'!$E$4:$I$113,_xlfn.XMATCH(CEO!$AE22,'Import 2023 Data'!$C$4:$C$113),_xlfn.XMATCH(CEO!AG$5,'Import 2023 Data'!$E$3:$I$3)),"-")</f>
        <v>-</v>
      </c>
      <c r="AH22" s="778" t="str" cm="1">
        <f t="array" ref="AH22">IFERROR(INDEX('Import 2023 Data'!$E$4:$I$113,_xlfn.XMATCH(CEO!$AE22,'Import 2023 Data'!$C$4:$C$113),_xlfn.XMATCH(CEO!AH$5,'Import 2023 Data'!$E$3:$I$3)),"-")</f>
        <v>-</v>
      </c>
      <c r="AI22" s="778"/>
      <c r="AJ22" s="783" t="str">
        <f t="shared" ref="AJ22:AJ27" si="39">IFERROR(IF(TRIM(LOWER(AH22))=TRIM(LOWER(F22)),"N","Y"),"-")</f>
        <v>N</v>
      </c>
      <c r="AK22" s="778" t="str" cm="1">
        <f t="array" ref="AK22">IFERROR(INDEX('Import 2023 Data'!$E$4:$I$113,_xlfn.XMATCH(CEO!$AE22,'Import 2023 Data'!$C$4:$C$113),_xlfn.XMATCH(CEO!AK$5,'Import 2023 Data'!$E$3:$I$3)),"-")</f>
        <v>-</v>
      </c>
      <c r="AL22" s="775" t="str" cm="1">
        <f t="array" ref="AL22">IFERROR(INDEX('Import 2023 Data'!$E$4:$I$113,_xlfn.XMATCH(CEO!$AE22,'Import 2023 Data'!$C$4:$C$113),_xlfn.XMATCH(CEO!AL$5,'Import 2023 Data'!$E$3:$I$3)),"-")</f>
        <v>-</v>
      </c>
      <c r="AM22" s="775" t="str" cm="1">
        <f t="array" ref="AM22">IFERROR(INDEX('Import 2023 Data'!$E$4:$I$113,_xlfn.XMATCH(CEO!$AE22,'Import 2023 Data'!$C$4:$C$113),_xlfn.XMATCH(CEO!AM$5,'Import 2023 Data'!$E$3:$I$3)),"-")</f>
        <v>-</v>
      </c>
      <c r="AN22" s="505" t="str">
        <f t="shared" ref="AN22:AN27" si="40">IFERROR(IF(AJ22="Y","New Incumbent",W22/AM22-1),"-")</f>
        <v>-</v>
      </c>
      <c r="AR22" s="12" t="str">
        <f t="shared" ref="AR22:AR27" si="41">C22</f>
        <v>(Invalid Identifier)</v>
      </c>
      <c r="AT22" s="362"/>
      <c r="AU22" s="362"/>
      <c r="AV22" s="362"/>
    </row>
    <row r="23" spans="1:51" ht="20.25" hidden="1" customHeight="1" outlineLevel="1">
      <c r="A23" s="12" t="str">
        <f t="shared" si="25"/>
        <v>0_2024_CEO</v>
      </c>
      <c r="B23" s="12">
        <f>'Raw Data'!D20</f>
        <v>0</v>
      </c>
      <c r="C23" s="968" t="str">
        <f t="shared" si="26"/>
        <v>(Invalid Identifier)</v>
      </c>
      <c r="D23" s="969" t="str">
        <f>_xll.ciqfunctions.udf.CIQ(B23, "IQ_MARKETCAP", $A$1,$A$2)</f>
        <v>(Invalid Identifier)</v>
      </c>
      <c r="E23" s="969" t="str">
        <f>_xll.ciqfunctions.udf.CIQ($B23, "IQ_TEV", $A$1,$A$2)</f>
        <v>(Invalid Identifier)</v>
      </c>
      <c r="F23" s="970" t="str">
        <f t="shared" si="27"/>
        <v>-</v>
      </c>
      <c r="G23" s="970" t="str">
        <f t="shared" si="27"/>
        <v>-</v>
      </c>
      <c r="H23" s="969" t="str">
        <f t="shared" si="28"/>
        <v>-</v>
      </c>
      <c r="I23" s="969" t="str">
        <f t="shared" si="28"/>
        <v>-</v>
      </c>
      <c r="J23" s="971" t="str">
        <f t="shared" si="28"/>
        <v>-</v>
      </c>
      <c r="K23" s="972" t="str">
        <f t="shared" si="29"/>
        <v>-</v>
      </c>
      <c r="L23" s="972" t="str">
        <f t="shared" si="29"/>
        <v>N/A</v>
      </c>
      <c r="M23" s="973" t="str">
        <f t="shared" si="30"/>
        <v>-</v>
      </c>
      <c r="N23" s="974" t="str">
        <f t="shared" si="31"/>
        <v>N/A</v>
      </c>
      <c r="O23" s="971" t="str">
        <f t="shared" si="32"/>
        <v>-</v>
      </c>
      <c r="P23" s="975" t="str">
        <f t="shared" si="32"/>
        <v>-</v>
      </c>
      <c r="Q23" s="971" t="str">
        <f t="shared" si="32"/>
        <v>-</v>
      </c>
      <c r="R23" s="972" t="str">
        <f t="shared" si="33"/>
        <v>-</v>
      </c>
      <c r="S23" s="972" t="str">
        <f t="shared" si="33"/>
        <v>N/A</v>
      </c>
      <c r="T23" s="973" t="str">
        <f t="shared" si="34"/>
        <v>-</v>
      </c>
      <c r="U23" s="974" t="str">
        <f t="shared" si="35"/>
        <v>N/A</v>
      </c>
      <c r="V23" s="971" t="str">
        <f t="shared" si="36"/>
        <v>-</v>
      </c>
      <c r="W23" s="976" t="str">
        <f t="shared" si="36"/>
        <v>-</v>
      </c>
      <c r="X23" s="971" t="str">
        <f t="shared" si="37"/>
        <v>-</v>
      </c>
      <c r="Y23" s="976" t="str">
        <f t="shared" si="37"/>
        <v>-</v>
      </c>
      <c r="Z23" s="971" t="str">
        <f t="shared" si="36"/>
        <v>-</v>
      </c>
      <c r="AA23" s="976" t="str">
        <f t="shared" si="36"/>
        <v>-</v>
      </c>
      <c r="AB23" s="775"/>
      <c r="AC23" s="776"/>
      <c r="AD23" s="777"/>
      <c r="AE23" s="778" t="str">
        <f t="shared" si="38"/>
        <v>0_2023_CEO</v>
      </c>
      <c r="AF23" s="778"/>
      <c r="AG23" s="782" t="str" cm="1">
        <f t="array" ref="AG23">IFERROR(INDEX('Import 2023 Data'!$E$4:$I$113,_xlfn.XMATCH(CEO!$AE23,'Import 2023 Data'!$C$4:$C$113),_xlfn.XMATCH(CEO!AG$5,'Import 2023 Data'!$E$3:$I$3)),"-")</f>
        <v>-</v>
      </c>
      <c r="AH23" s="778" t="str" cm="1">
        <f t="array" ref="AH23">IFERROR(INDEX('Import 2023 Data'!$E$4:$I$113,_xlfn.XMATCH(CEO!$AE23,'Import 2023 Data'!$C$4:$C$113),_xlfn.XMATCH(CEO!AH$5,'Import 2023 Data'!$E$3:$I$3)),"-")</f>
        <v>-</v>
      </c>
      <c r="AI23" s="778"/>
      <c r="AJ23" s="783" t="str">
        <f t="shared" si="39"/>
        <v>N</v>
      </c>
      <c r="AK23" s="778" t="str" cm="1">
        <f t="array" ref="AK23">IFERROR(INDEX('Import 2023 Data'!$E$4:$I$113,_xlfn.XMATCH(CEO!$AE23,'Import 2023 Data'!$C$4:$C$113),_xlfn.XMATCH(CEO!AK$5,'Import 2023 Data'!$E$3:$I$3)),"-")</f>
        <v>-</v>
      </c>
      <c r="AL23" s="775" t="str" cm="1">
        <f t="array" ref="AL23">IFERROR(INDEX('Import 2023 Data'!$E$4:$I$113,_xlfn.XMATCH(CEO!$AE23,'Import 2023 Data'!$C$4:$C$113),_xlfn.XMATCH(CEO!AL$5,'Import 2023 Data'!$E$3:$I$3)),"-")</f>
        <v>-</v>
      </c>
      <c r="AM23" s="775" t="str" cm="1">
        <f t="array" ref="AM23">IFERROR(INDEX('Import 2023 Data'!$E$4:$I$113,_xlfn.XMATCH(CEO!$AE23,'Import 2023 Data'!$C$4:$C$113),_xlfn.XMATCH(CEO!AM$5,'Import 2023 Data'!$E$3:$I$3)),"-")</f>
        <v>-</v>
      </c>
      <c r="AN23" s="505" t="str">
        <f t="shared" si="40"/>
        <v>-</v>
      </c>
      <c r="AR23" s="12" t="str">
        <f t="shared" si="41"/>
        <v>(Invalid Identifier)</v>
      </c>
      <c r="AT23" s="362"/>
      <c r="AU23" s="362"/>
      <c r="AV23" s="362"/>
    </row>
    <row r="24" spans="1:51" ht="20.25" hidden="1" customHeight="1" outlineLevel="1">
      <c r="A24" s="12" t="str">
        <f t="shared" si="25"/>
        <v>0_2024_CEO</v>
      </c>
      <c r="B24" s="12">
        <f>'Raw Data'!D21</f>
        <v>0</v>
      </c>
      <c r="C24" s="968" t="str">
        <f t="shared" si="26"/>
        <v>(Invalid Identifier)</v>
      </c>
      <c r="D24" s="969" t="str">
        <f>_xll.ciqfunctions.udf.CIQ(B24, "IQ_MARKETCAP", $A$1,$A$2)</f>
        <v>(Invalid Identifier)</v>
      </c>
      <c r="E24" s="969" t="str">
        <f>_xll.ciqfunctions.udf.CIQ($B24, "IQ_TEV", $A$1,$A$2)</f>
        <v>(Invalid Identifier)</v>
      </c>
      <c r="F24" s="970" t="str">
        <f t="shared" si="27"/>
        <v>-</v>
      </c>
      <c r="G24" s="970" t="str">
        <f t="shared" si="27"/>
        <v>-</v>
      </c>
      <c r="H24" s="969" t="str">
        <f t="shared" si="28"/>
        <v>-</v>
      </c>
      <c r="I24" s="969" t="str">
        <f t="shared" si="28"/>
        <v>-</v>
      </c>
      <c r="J24" s="971" t="str">
        <f t="shared" si="28"/>
        <v>-</v>
      </c>
      <c r="K24" s="972" t="str">
        <f t="shared" si="29"/>
        <v>-</v>
      </c>
      <c r="L24" s="972" t="str">
        <f t="shared" si="29"/>
        <v>N/A</v>
      </c>
      <c r="M24" s="973" t="str">
        <f t="shared" si="30"/>
        <v>-</v>
      </c>
      <c r="N24" s="974" t="str">
        <f t="shared" si="31"/>
        <v>N/A</v>
      </c>
      <c r="O24" s="971" t="str">
        <f t="shared" si="32"/>
        <v>-</v>
      </c>
      <c r="P24" s="975" t="str">
        <f t="shared" si="32"/>
        <v>-</v>
      </c>
      <c r="Q24" s="971" t="str">
        <f t="shared" si="32"/>
        <v>-</v>
      </c>
      <c r="R24" s="972" t="str">
        <f t="shared" si="33"/>
        <v>-</v>
      </c>
      <c r="S24" s="972" t="str">
        <f t="shared" si="33"/>
        <v>N/A</v>
      </c>
      <c r="T24" s="973" t="str">
        <f t="shared" si="34"/>
        <v>-</v>
      </c>
      <c r="U24" s="974" t="str">
        <f t="shared" si="35"/>
        <v>N/A</v>
      </c>
      <c r="V24" s="971" t="str">
        <f t="shared" si="36"/>
        <v>-</v>
      </c>
      <c r="W24" s="976" t="str">
        <f t="shared" si="36"/>
        <v>-</v>
      </c>
      <c r="X24" s="971" t="str">
        <f t="shared" si="37"/>
        <v>-</v>
      </c>
      <c r="Y24" s="976" t="str">
        <f t="shared" si="37"/>
        <v>-</v>
      </c>
      <c r="Z24" s="971" t="str">
        <f t="shared" si="36"/>
        <v>-</v>
      </c>
      <c r="AA24" s="976" t="str">
        <f t="shared" si="36"/>
        <v>-</v>
      </c>
      <c r="AB24" s="775"/>
      <c r="AC24" s="776"/>
      <c r="AD24" s="777"/>
      <c r="AE24" s="778" t="str">
        <f t="shared" si="38"/>
        <v>0_2023_CEO</v>
      </c>
      <c r="AF24" s="778"/>
      <c r="AG24" s="782" t="str" cm="1">
        <f t="array" ref="AG24">IFERROR(INDEX('Import 2023 Data'!$E$4:$I$113,_xlfn.XMATCH(CEO!$AE24,'Import 2023 Data'!$C$4:$C$113),_xlfn.XMATCH(CEO!AG$5,'Import 2023 Data'!$E$3:$I$3)),"-")</f>
        <v>-</v>
      </c>
      <c r="AH24" s="778" t="str" cm="1">
        <f t="array" ref="AH24">IFERROR(INDEX('Import 2023 Data'!$E$4:$I$113,_xlfn.XMATCH(CEO!$AE24,'Import 2023 Data'!$C$4:$C$113),_xlfn.XMATCH(CEO!AH$5,'Import 2023 Data'!$E$3:$I$3)),"-")</f>
        <v>-</v>
      </c>
      <c r="AI24" s="778"/>
      <c r="AJ24" s="783" t="str">
        <f t="shared" si="39"/>
        <v>N</v>
      </c>
      <c r="AK24" s="778" t="str" cm="1">
        <f t="array" ref="AK24">IFERROR(INDEX('Import 2023 Data'!$E$4:$I$113,_xlfn.XMATCH(CEO!$AE24,'Import 2023 Data'!$C$4:$C$113),_xlfn.XMATCH(CEO!AK$5,'Import 2023 Data'!$E$3:$I$3)),"-")</f>
        <v>-</v>
      </c>
      <c r="AL24" s="775" t="str" cm="1">
        <f t="array" ref="AL24">IFERROR(INDEX('Import 2023 Data'!$E$4:$I$113,_xlfn.XMATCH(CEO!$AE24,'Import 2023 Data'!$C$4:$C$113),_xlfn.XMATCH(CEO!AL$5,'Import 2023 Data'!$E$3:$I$3)),"-")</f>
        <v>-</v>
      </c>
      <c r="AM24" s="775" t="str" cm="1">
        <f t="array" ref="AM24">IFERROR(INDEX('Import 2023 Data'!$E$4:$I$113,_xlfn.XMATCH(CEO!$AE24,'Import 2023 Data'!$C$4:$C$113),_xlfn.XMATCH(CEO!AM$5,'Import 2023 Data'!$E$3:$I$3)),"-")</f>
        <v>-</v>
      </c>
      <c r="AN24" s="505" t="str">
        <f t="shared" si="40"/>
        <v>-</v>
      </c>
      <c r="AR24" s="12" t="str">
        <f t="shared" si="41"/>
        <v>(Invalid Identifier)</v>
      </c>
      <c r="AT24" s="362"/>
      <c r="AU24" s="362"/>
      <c r="AV24" s="362"/>
    </row>
    <row r="25" spans="1:51" ht="20.25" hidden="1" customHeight="1" outlineLevel="1">
      <c r="A25" s="12" t="str">
        <f t="shared" si="25"/>
        <v>0_2024_CEO</v>
      </c>
      <c r="B25" s="12">
        <f>'Raw Data'!D22</f>
        <v>0</v>
      </c>
      <c r="C25" s="968" t="str">
        <f t="shared" si="26"/>
        <v>(Invalid Identifier)</v>
      </c>
      <c r="D25" s="969" t="str">
        <f>_xll.ciqfunctions.udf.CIQ(B25, "IQ_MARKETCAP", $A$1,$A$2)</f>
        <v>(Invalid Identifier)</v>
      </c>
      <c r="E25" s="969" t="str">
        <f>_xll.ciqfunctions.udf.CIQ($B25, "IQ_TEV", $A$1,$A$2)</f>
        <v>(Invalid Identifier)</v>
      </c>
      <c r="F25" s="970" t="str">
        <f t="shared" si="27"/>
        <v>-</v>
      </c>
      <c r="G25" s="970" t="str">
        <f t="shared" si="27"/>
        <v>-</v>
      </c>
      <c r="H25" s="969" t="str">
        <f t="shared" si="28"/>
        <v>-</v>
      </c>
      <c r="I25" s="969" t="str">
        <f t="shared" si="28"/>
        <v>-</v>
      </c>
      <c r="J25" s="971" t="str">
        <f t="shared" si="28"/>
        <v>-</v>
      </c>
      <c r="K25" s="972" t="str">
        <f t="shared" si="29"/>
        <v>-</v>
      </c>
      <c r="L25" s="972" t="str">
        <f t="shared" si="29"/>
        <v>N/A</v>
      </c>
      <c r="M25" s="973" t="str">
        <f t="shared" si="30"/>
        <v>-</v>
      </c>
      <c r="N25" s="974" t="str">
        <f t="shared" si="31"/>
        <v>N/A</v>
      </c>
      <c r="O25" s="971" t="str">
        <f t="shared" si="32"/>
        <v>-</v>
      </c>
      <c r="P25" s="975" t="str">
        <f t="shared" si="32"/>
        <v>-</v>
      </c>
      <c r="Q25" s="971" t="str">
        <f t="shared" si="32"/>
        <v>-</v>
      </c>
      <c r="R25" s="972" t="str">
        <f t="shared" si="33"/>
        <v>-</v>
      </c>
      <c r="S25" s="972" t="str">
        <f t="shared" si="33"/>
        <v>N/A</v>
      </c>
      <c r="T25" s="973" t="str">
        <f t="shared" si="34"/>
        <v>-</v>
      </c>
      <c r="U25" s="974" t="str">
        <f t="shared" si="35"/>
        <v>N/A</v>
      </c>
      <c r="V25" s="971" t="str">
        <f t="shared" si="36"/>
        <v>-</v>
      </c>
      <c r="W25" s="976" t="str">
        <f t="shared" si="36"/>
        <v>-</v>
      </c>
      <c r="X25" s="971" t="str">
        <f t="shared" si="37"/>
        <v>-</v>
      </c>
      <c r="Y25" s="976" t="str">
        <f t="shared" si="37"/>
        <v>-</v>
      </c>
      <c r="Z25" s="971" t="str">
        <f t="shared" si="36"/>
        <v>-</v>
      </c>
      <c r="AA25" s="976" t="str">
        <f t="shared" si="36"/>
        <v>-</v>
      </c>
      <c r="AB25" s="775"/>
      <c r="AC25" s="776"/>
      <c r="AD25" s="777"/>
      <c r="AE25" s="778" t="str">
        <f t="shared" si="38"/>
        <v>0_2023_CEO</v>
      </c>
      <c r="AF25" s="778"/>
      <c r="AG25" s="782" t="str" cm="1">
        <f t="array" ref="AG25">IFERROR(INDEX('Import 2023 Data'!$E$4:$I$113,_xlfn.XMATCH(CEO!$AE25,'Import 2023 Data'!$C$4:$C$113),_xlfn.XMATCH(CEO!AG$5,'Import 2023 Data'!$E$3:$I$3)),"-")</f>
        <v>-</v>
      </c>
      <c r="AH25" s="778" t="str" cm="1">
        <f t="array" ref="AH25">IFERROR(INDEX('Import 2023 Data'!$E$4:$I$113,_xlfn.XMATCH(CEO!$AE25,'Import 2023 Data'!$C$4:$C$113),_xlfn.XMATCH(CEO!AH$5,'Import 2023 Data'!$E$3:$I$3)),"-")</f>
        <v>-</v>
      </c>
      <c r="AI25" s="778"/>
      <c r="AJ25" s="783" t="str">
        <f t="shared" si="39"/>
        <v>N</v>
      </c>
      <c r="AK25" s="778" t="str" cm="1">
        <f t="array" ref="AK25">IFERROR(INDEX('Import 2023 Data'!$E$4:$I$113,_xlfn.XMATCH(CEO!$AE25,'Import 2023 Data'!$C$4:$C$113),_xlfn.XMATCH(CEO!AK$5,'Import 2023 Data'!$E$3:$I$3)),"-")</f>
        <v>-</v>
      </c>
      <c r="AL25" s="775" t="str" cm="1">
        <f t="array" ref="AL25">IFERROR(INDEX('Import 2023 Data'!$E$4:$I$113,_xlfn.XMATCH(CEO!$AE25,'Import 2023 Data'!$C$4:$C$113),_xlfn.XMATCH(CEO!AL$5,'Import 2023 Data'!$E$3:$I$3)),"-")</f>
        <v>-</v>
      </c>
      <c r="AM25" s="775" t="str" cm="1">
        <f t="array" ref="AM25">IFERROR(INDEX('Import 2023 Data'!$E$4:$I$113,_xlfn.XMATCH(CEO!$AE25,'Import 2023 Data'!$C$4:$C$113),_xlfn.XMATCH(CEO!AM$5,'Import 2023 Data'!$E$3:$I$3)),"-")</f>
        <v>-</v>
      </c>
      <c r="AN25" s="505" t="str">
        <f t="shared" si="40"/>
        <v>-</v>
      </c>
      <c r="AR25" s="12" t="str">
        <f t="shared" si="41"/>
        <v>(Invalid Identifier)</v>
      </c>
      <c r="AT25" s="362"/>
      <c r="AU25" s="362"/>
      <c r="AV25" s="362"/>
    </row>
    <row r="26" spans="1:51" ht="20.25" hidden="1" customHeight="1" outlineLevel="1">
      <c r="A26" s="12" t="str">
        <f t="shared" si="25"/>
        <v>0_2024_CEO</v>
      </c>
      <c r="B26" s="12">
        <f>'Raw Data'!D23</f>
        <v>0</v>
      </c>
      <c r="C26" s="968" t="str">
        <f t="shared" si="26"/>
        <v>(Invalid Identifier)</v>
      </c>
      <c r="D26" s="969" t="str">
        <f>_xll.ciqfunctions.udf.CIQ(B26, "IQ_MARKETCAP", $A$1,$A$2)</f>
        <v>(Invalid Identifier)</v>
      </c>
      <c r="E26" s="969" t="str">
        <f>_xll.ciqfunctions.udf.CIQ($B26, "IQ_TEV", $A$1,$A$2)</f>
        <v>(Invalid Identifier)</v>
      </c>
      <c r="F26" s="970" t="str">
        <f t="shared" si="27"/>
        <v>-</v>
      </c>
      <c r="G26" s="970" t="str">
        <f t="shared" si="27"/>
        <v>-</v>
      </c>
      <c r="H26" s="969" t="str">
        <f t="shared" si="28"/>
        <v>-</v>
      </c>
      <c r="I26" s="969" t="str">
        <f t="shared" si="28"/>
        <v>-</v>
      </c>
      <c r="J26" s="971" t="str">
        <f t="shared" si="28"/>
        <v>-</v>
      </c>
      <c r="K26" s="972" t="str">
        <f t="shared" si="29"/>
        <v>-</v>
      </c>
      <c r="L26" s="972" t="str">
        <f t="shared" si="29"/>
        <v>N/A</v>
      </c>
      <c r="M26" s="973" t="str">
        <f t="shared" si="30"/>
        <v>-</v>
      </c>
      <c r="N26" s="974" t="str">
        <f t="shared" si="31"/>
        <v>N/A</v>
      </c>
      <c r="O26" s="971" t="str">
        <f t="shared" si="32"/>
        <v>-</v>
      </c>
      <c r="P26" s="975" t="str">
        <f t="shared" si="32"/>
        <v>-</v>
      </c>
      <c r="Q26" s="971" t="str">
        <f t="shared" si="32"/>
        <v>-</v>
      </c>
      <c r="R26" s="972" t="str">
        <f t="shared" si="33"/>
        <v>-</v>
      </c>
      <c r="S26" s="972" t="str">
        <f t="shared" si="33"/>
        <v>N/A</v>
      </c>
      <c r="T26" s="973" t="str">
        <f t="shared" si="34"/>
        <v>-</v>
      </c>
      <c r="U26" s="974" t="str">
        <f t="shared" si="35"/>
        <v>N/A</v>
      </c>
      <c r="V26" s="971" t="str">
        <f t="shared" si="36"/>
        <v>-</v>
      </c>
      <c r="W26" s="976" t="str">
        <f t="shared" si="36"/>
        <v>-</v>
      </c>
      <c r="X26" s="971" t="str">
        <f t="shared" si="37"/>
        <v>-</v>
      </c>
      <c r="Y26" s="976" t="str">
        <f t="shared" si="37"/>
        <v>-</v>
      </c>
      <c r="Z26" s="971" t="str">
        <f t="shared" si="36"/>
        <v>-</v>
      </c>
      <c r="AA26" s="976" t="str">
        <f t="shared" si="36"/>
        <v>-</v>
      </c>
      <c r="AB26" s="775"/>
      <c r="AC26" s="776"/>
      <c r="AD26" s="777"/>
      <c r="AE26" s="778" t="str">
        <f t="shared" si="38"/>
        <v>0_2023_CEO</v>
      </c>
      <c r="AF26" s="778"/>
      <c r="AG26" s="782" t="str" cm="1">
        <f t="array" ref="AG26">IFERROR(INDEX('Import 2023 Data'!$E$4:$I$113,_xlfn.XMATCH(CEO!$AE26,'Import 2023 Data'!$C$4:$C$113),_xlfn.XMATCH(CEO!AG$5,'Import 2023 Data'!$E$3:$I$3)),"-")</f>
        <v>-</v>
      </c>
      <c r="AH26" s="778" t="str" cm="1">
        <f t="array" ref="AH26">IFERROR(INDEX('Import 2023 Data'!$E$4:$I$113,_xlfn.XMATCH(CEO!$AE26,'Import 2023 Data'!$C$4:$C$113),_xlfn.XMATCH(CEO!AH$5,'Import 2023 Data'!$E$3:$I$3)),"-")</f>
        <v>-</v>
      </c>
      <c r="AI26" s="778"/>
      <c r="AJ26" s="783" t="str">
        <f t="shared" si="39"/>
        <v>N</v>
      </c>
      <c r="AK26" s="778" t="str" cm="1">
        <f t="array" ref="AK26">IFERROR(INDEX('Import 2023 Data'!$E$4:$I$113,_xlfn.XMATCH(CEO!$AE26,'Import 2023 Data'!$C$4:$C$113),_xlfn.XMATCH(CEO!AK$5,'Import 2023 Data'!$E$3:$I$3)),"-")</f>
        <v>-</v>
      </c>
      <c r="AL26" s="775" t="str" cm="1">
        <f t="array" ref="AL26">IFERROR(INDEX('Import 2023 Data'!$E$4:$I$113,_xlfn.XMATCH(CEO!$AE26,'Import 2023 Data'!$C$4:$C$113),_xlfn.XMATCH(CEO!AL$5,'Import 2023 Data'!$E$3:$I$3)),"-")</f>
        <v>-</v>
      </c>
      <c r="AM26" s="775" t="str" cm="1">
        <f t="array" ref="AM26">IFERROR(INDEX('Import 2023 Data'!$E$4:$I$113,_xlfn.XMATCH(CEO!$AE26,'Import 2023 Data'!$C$4:$C$113),_xlfn.XMATCH(CEO!AM$5,'Import 2023 Data'!$E$3:$I$3)),"-")</f>
        <v>-</v>
      </c>
      <c r="AN26" s="505" t="str">
        <f t="shared" si="40"/>
        <v>-</v>
      </c>
      <c r="AR26" s="12" t="str">
        <f t="shared" si="41"/>
        <v>(Invalid Identifier)</v>
      </c>
      <c r="AT26" s="362"/>
      <c r="AU26" s="362"/>
      <c r="AV26" s="362"/>
    </row>
    <row r="27" spans="1:51" ht="20.25" hidden="1" customHeight="1" outlineLevel="1">
      <c r="A27" s="12" t="str">
        <f t="shared" si="25"/>
        <v>0_2024_CEO</v>
      </c>
      <c r="B27" s="12">
        <f>'Raw Data'!D24</f>
        <v>0</v>
      </c>
      <c r="C27" s="968" t="str">
        <f t="shared" si="26"/>
        <v>(Invalid Identifier)</v>
      </c>
      <c r="D27" s="969" t="str">
        <f>_xll.ciqfunctions.udf.CIQ(B27, "IQ_MARKETCAP", $A$1,$A$2)</f>
        <v>(Invalid Identifier)</v>
      </c>
      <c r="E27" s="969" t="str">
        <f>_xll.ciqfunctions.udf.CIQ($B27, "IQ_TEV", $A$1,$A$2)</f>
        <v>(Invalid Identifier)</v>
      </c>
      <c r="F27" s="970" t="str">
        <f t="shared" si="27"/>
        <v>-</v>
      </c>
      <c r="G27" s="970" t="str">
        <f t="shared" si="27"/>
        <v>-</v>
      </c>
      <c r="H27" s="969" t="str">
        <f t="shared" si="28"/>
        <v>-</v>
      </c>
      <c r="I27" s="969" t="str">
        <f t="shared" si="28"/>
        <v>-</v>
      </c>
      <c r="J27" s="971" t="str">
        <f t="shared" si="28"/>
        <v>-</v>
      </c>
      <c r="K27" s="972" t="str">
        <f t="shared" si="29"/>
        <v>-</v>
      </c>
      <c r="L27" s="972" t="str">
        <f t="shared" si="29"/>
        <v>N/A</v>
      </c>
      <c r="M27" s="973" t="str">
        <f t="shared" si="30"/>
        <v>-</v>
      </c>
      <c r="N27" s="974" t="str">
        <f t="shared" si="31"/>
        <v>N/A</v>
      </c>
      <c r="O27" s="971" t="str">
        <f t="shared" si="32"/>
        <v>-</v>
      </c>
      <c r="P27" s="975" t="str">
        <f t="shared" si="32"/>
        <v>-</v>
      </c>
      <c r="Q27" s="971" t="str">
        <f t="shared" si="32"/>
        <v>-</v>
      </c>
      <c r="R27" s="972" t="str">
        <f t="shared" si="33"/>
        <v>-</v>
      </c>
      <c r="S27" s="972" t="str">
        <f t="shared" si="33"/>
        <v>N/A</v>
      </c>
      <c r="T27" s="973" t="str">
        <f t="shared" si="34"/>
        <v>-</v>
      </c>
      <c r="U27" s="974" t="str">
        <f t="shared" si="35"/>
        <v>N/A</v>
      </c>
      <c r="V27" s="971" t="str">
        <f t="shared" si="36"/>
        <v>-</v>
      </c>
      <c r="W27" s="976" t="str">
        <f t="shared" si="36"/>
        <v>-</v>
      </c>
      <c r="X27" s="971" t="str">
        <f t="shared" si="37"/>
        <v>-</v>
      </c>
      <c r="Y27" s="976" t="str">
        <f t="shared" si="37"/>
        <v>-</v>
      </c>
      <c r="Z27" s="971" t="str">
        <f t="shared" si="36"/>
        <v>-</v>
      </c>
      <c r="AA27" s="976" t="str">
        <f t="shared" si="36"/>
        <v>-</v>
      </c>
      <c r="AB27" s="775"/>
      <c r="AC27" s="776"/>
      <c r="AD27" s="777"/>
      <c r="AE27" s="778" t="str">
        <f t="shared" si="38"/>
        <v>0_2023_CEO</v>
      </c>
      <c r="AF27" s="778"/>
      <c r="AG27" s="784" t="str" cm="1">
        <f t="array" ref="AG27">IFERROR(INDEX('Import 2023 Data'!$E$4:$I$113,_xlfn.XMATCH(CEO!$AE27,'Import 2023 Data'!$C$4:$C$113),_xlfn.XMATCH(CEO!AG$5,'Import 2023 Data'!$E$3:$I$3)),"-")</f>
        <v>-</v>
      </c>
      <c r="AH27" s="785" t="str" cm="1">
        <f t="array" ref="AH27">IFERROR(INDEX('Import 2023 Data'!$E$4:$I$113,_xlfn.XMATCH(CEO!$AE27,'Import 2023 Data'!$C$4:$C$113),_xlfn.XMATCH(CEO!AH$5,'Import 2023 Data'!$E$3:$I$3)),"-")</f>
        <v>-</v>
      </c>
      <c r="AI27" s="785"/>
      <c r="AJ27" s="786" t="str">
        <f t="shared" si="39"/>
        <v>N</v>
      </c>
      <c r="AK27" s="785" t="str" cm="1">
        <f t="array" ref="AK27">IFERROR(INDEX('Import 2023 Data'!$E$4:$I$113,_xlfn.XMATCH(CEO!$AE27,'Import 2023 Data'!$C$4:$C$113),_xlfn.XMATCH(CEO!AK$5,'Import 2023 Data'!$E$3:$I$3)),"-")</f>
        <v>-</v>
      </c>
      <c r="AL27" s="787" t="str" cm="1">
        <f t="array" ref="AL27">IFERROR(INDEX('Import 2023 Data'!$E$4:$I$113,_xlfn.XMATCH(CEO!$AE27,'Import 2023 Data'!$C$4:$C$113),_xlfn.XMATCH(CEO!AL$5,'Import 2023 Data'!$E$3:$I$3)),"-")</f>
        <v>-</v>
      </c>
      <c r="AM27" s="787" t="str" cm="1">
        <f t="array" ref="AM27">IFERROR(INDEX('Import 2023 Data'!$E$4:$I$113,_xlfn.XMATCH(CEO!$AE27,'Import 2023 Data'!$C$4:$C$113),_xlfn.XMATCH(CEO!AM$5,'Import 2023 Data'!$E$3:$I$3)),"-")</f>
        <v>-</v>
      </c>
      <c r="AN27" s="509" t="str">
        <f t="shared" si="40"/>
        <v>-</v>
      </c>
      <c r="AR27" s="12" t="str">
        <f t="shared" si="41"/>
        <v>(Invalid Identifier)</v>
      </c>
      <c r="AT27" s="362"/>
      <c r="AU27" s="362"/>
      <c r="AV27" s="362"/>
    </row>
    <row r="28" spans="1:51" ht="20.25" customHeight="1" collapsed="1">
      <c r="C28" s="977" t="str">
        <f>$C$3&amp;" Summary Statistics"</f>
        <v>2024 Summary Statistics</v>
      </c>
      <c r="D28" s="978"/>
      <c r="E28" s="978"/>
      <c r="F28" s="978"/>
      <c r="G28" s="978"/>
      <c r="H28" s="978"/>
      <c r="I28" s="978"/>
      <c r="J28" s="978"/>
      <c r="K28" s="979"/>
      <c r="L28" s="979"/>
      <c r="M28" s="978"/>
      <c r="N28" s="979"/>
      <c r="O28" s="978"/>
      <c r="P28" s="978"/>
      <c r="Q28" s="978"/>
      <c r="R28" s="979"/>
      <c r="S28" s="979"/>
      <c r="T28" s="978"/>
      <c r="U28" s="979"/>
      <c r="V28" s="978"/>
      <c r="W28" s="980"/>
      <c r="X28" s="978"/>
      <c r="Y28" s="980"/>
      <c r="Z28" s="978"/>
      <c r="AA28" s="980"/>
      <c r="AB28" s="775"/>
      <c r="AC28" s="792"/>
      <c r="AD28" s="793"/>
      <c r="AE28" s="778"/>
      <c r="AF28" s="778"/>
      <c r="AG28" s="778"/>
      <c r="AH28" s="778"/>
      <c r="AI28" s="778"/>
      <c r="AJ28" s="778"/>
      <c r="AK28" s="778"/>
      <c r="AL28" s="794"/>
      <c r="AM28" s="795"/>
      <c r="AT28" s="362"/>
      <c r="AU28" s="362"/>
      <c r="AV28" s="362"/>
    </row>
    <row r="29" spans="1:51" s="17" customFormat="1" ht="20.25" customHeight="1">
      <c r="B29" s="17">
        <v>0.75</v>
      </c>
      <c r="C29" s="981" t="s">
        <v>9</v>
      </c>
      <c r="D29" s="982">
        <f t="shared" ref="D29:E31" si="42">PERCENTILE(D$8:D$27,$B29)</f>
        <v>10818.70349</v>
      </c>
      <c r="E29" s="982">
        <f t="shared" si="42"/>
        <v>12632.730600000001</v>
      </c>
      <c r="F29" s="983"/>
      <c r="G29" s="983"/>
      <c r="H29" s="983"/>
      <c r="I29" s="982">
        <f t="shared" ref="I29:W31" si="43">PERCENTILE(I$8:I$27,$B29)</f>
        <v>1266.1611250000001</v>
      </c>
      <c r="J29" s="984">
        <f t="shared" si="43"/>
        <v>1649.56084719</v>
      </c>
      <c r="K29" s="985">
        <f t="shared" si="43"/>
        <v>1.5679073119685063</v>
      </c>
      <c r="L29" s="985">
        <f t="shared" si="43"/>
        <v>1.4167656451537503</v>
      </c>
      <c r="M29" s="986">
        <f t="shared" si="43"/>
        <v>1328.0897375</v>
      </c>
      <c r="N29" s="987">
        <f t="shared" si="43"/>
        <v>1.25</v>
      </c>
      <c r="O29" s="984">
        <f>PERCENTILE(O$8:O$27,$B29)</f>
        <v>2728.0288618224999</v>
      </c>
      <c r="P29" s="988">
        <f t="shared" si="43"/>
        <v>2439.0025875000001</v>
      </c>
      <c r="Q29" s="984">
        <f t="shared" si="43"/>
        <v>3698.9410757400001</v>
      </c>
      <c r="R29" s="985">
        <f t="shared" si="43"/>
        <v>2.9537802467058825</v>
      </c>
      <c r="S29" s="985">
        <f t="shared" si="43"/>
        <v>3</v>
      </c>
      <c r="T29" s="986">
        <f t="shared" si="43"/>
        <v>4357.7198625000001</v>
      </c>
      <c r="U29" s="987">
        <f t="shared" si="43"/>
        <v>3</v>
      </c>
      <c r="V29" s="984">
        <f t="shared" si="43"/>
        <v>5870.6647088025002</v>
      </c>
      <c r="W29" s="988">
        <f t="shared" si="43"/>
        <v>7095.4449833333338</v>
      </c>
      <c r="X29" s="984">
        <f t="shared" ref="X29:AA31" si="44">PERCENTILE(X$8:X$27,$B29)</f>
        <v>432.19800000000004</v>
      </c>
      <c r="Y29" s="988">
        <f t="shared" si="44"/>
        <v>135.1275</v>
      </c>
      <c r="Z29" s="984">
        <f t="shared" si="44"/>
        <v>6213.3977716950012</v>
      </c>
      <c r="AA29" s="988">
        <f t="shared" si="44"/>
        <v>7101.7286674402776</v>
      </c>
      <c r="AB29" s="803"/>
      <c r="AC29" s="776">
        <f t="shared" ref="AC29:AD31" si="45">PERCENTILE(AC$8:AC$27,$B29)</f>
        <v>0.46453678816452471</v>
      </c>
      <c r="AD29" s="777">
        <f t="shared" si="45"/>
        <v>0.58112397311426434</v>
      </c>
      <c r="AE29" s="778"/>
      <c r="AF29" s="778"/>
      <c r="AG29" s="778"/>
      <c r="AH29" s="778"/>
      <c r="AI29" s="778"/>
      <c r="AJ29" s="778"/>
      <c r="AK29" s="778"/>
      <c r="AL29" s="804">
        <v>5600</v>
      </c>
      <c r="AM29" s="805">
        <v>7275</v>
      </c>
      <c r="AN29" s="666">
        <f>PERCENTILE(AN$8:AN$27,$B29)</f>
        <v>5.4276901286624712E-2</v>
      </c>
      <c r="AR29" s="12"/>
      <c r="AT29" s="364"/>
      <c r="AU29" s="364"/>
      <c r="AV29" s="364"/>
    </row>
    <row r="30" spans="1:51" s="17" customFormat="1" ht="20.25" customHeight="1">
      <c r="B30" s="17">
        <v>0.5</v>
      </c>
      <c r="C30" s="989" t="s">
        <v>8</v>
      </c>
      <c r="D30" s="990">
        <f t="shared" si="42"/>
        <v>5726.9108349999997</v>
      </c>
      <c r="E30" s="990">
        <f t="shared" si="42"/>
        <v>6264.5648500000007</v>
      </c>
      <c r="F30" s="991"/>
      <c r="G30" s="991"/>
      <c r="H30" s="991"/>
      <c r="I30" s="990">
        <f t="shared" si="43"/>
        <v>1010.4</v>
      </c>
      <c r="J30" s="992">
        <f t="shared" si="43"/>
        <v>1287.2784066564816</v>
      </c>
      <c r="K30" s="993">
        <f t="shared" si="43"/>
        <v>1.2443766578249336</v>
      </c>
      <c r="L30" s="993">
        <f t="shared" si="43"/>
        <v>1.1606634706261194</v>
      </c>
      <c r="M30" s="994">
        <f t="shared" si="43"/>
        <v>1115.78125</v>
      </c>
      <c r="N30" s="995">
        <f t="shared" si="43"/>
        <v>1.1749999999999998</v>
      </c>
      <c r="O30" s="992">
        <f>PERCENTILE(O$8:O$27,$B30)</f>
        <v>2320.2256566564815</v>
      </c>
      <c r="P30" s="996">
        <f t="shared" si="43"/>
        <v>2151.40625</v>
      </c>
      <c r="Q30" s="992">
        <f t="shared" si="43"/>
        <v>2510.7132096999999</v>
      </c>
      <c r="R30" s="993">
        <f t="shared" si="43"/>
        <v>2.6923076923076925</v>
      </c>
      <c r="S30" s="993">
        <f t="shared" si="43"/>
        <v>2.7171644863675266</v>
      </c>
      <c r="T30" s="994">
        <f t="shared" si="43"/>
        <v>2753.125</v>
      </c>
      <c r="U30" s="995">
        <f t="shared" si="43"/>
        <v>2.8</v>
      </c>
      <c r="V30" s="992">
        <f t="shared" si="43"/>
        <v>5082.1970906300003</v>
      </c>
      <c r="W30" s="996">
        <f t="shared" si="43"/>
        <v>5021.26</v>
      </c>
      <c r="X30" s="992">
        <f t="shared" si="44"/>
        <v>263.96897222500002</v>
      </c>
      <c r="Y30" s="996">
        <f t="shared" si="44"/>
        <v>54.95</v>
      </c>
      <c r="Z30" s="992">
        <f t="shared" si="44"/>
        <v>5310.4108533250001</v>
      </c>
      <c r="AA30" s="996">
        <f t="shared" si="44"/>
        <v>5335.4185776344057</v>
      </c>
      <c r="AB30" s="803"/>
      <c r="AC30" s="814">
        <f t="shared" si="45"/>
        <v>0.44699999999999995</v>
      </c>
      <c r="AD30" s="812">
        <f t="shared" si="45"/>
        <v>0.55300000000000005</v>
      </c>
      <c r="AE30" s="778"/>
      <c r="AF30" s="778"/>
      <c r="AG30" s="778"/>
      <c r="AH30" s="778"/>
      <c r="AI30" s="778"/>
      <c r="AJ30" s="778"/>
      <c r="AK30" s="778">
        <f>W30/AM30</f>
        <v>1.088152944643817</v>
      </c>
      <c r="AL30" s="809">
        <v>4635.6105202399995</v>
      </c>
      <c r="AM30" s="813">
        <v>4614.4799999999996</v>
      </c>
      <c r="AN30" s="667">
        <f>PERCENTILE(AN$8:AN$27,$B30)</f>
        <v>2.2643345139825466E-2</v>
      </c>
      <c r="AO30" s="17">
        <f>W30/AM30-1</f>
        <v>8.8152944643816955E-2</v>
      </c>
      <c r="AP30" s="17">
        <f>W30/AM30-1</f>
        <v>8.8152944643816955E-2</v>
      </c>
      <c r="AR30" s="12"/>
      <c r="AT30" s="364"/>
      <c r="AU30" s="364"/>
      <c r="AV30" s="364"/>
    </row>
    <row r="31" spans="1:51" s="17" customFormat="1" ht="20.25" customHeight="1">
      <c r="B31" s="17">
        <v>0.25</v>
      </c>
      <c r="C31" s="981" t="s">
        <v>7</v>
      </c>
      <c r="D31" s="982">
        <f t="shared" si="42"/>
        <v>4603.5400024999999</v>
      </c>
      <c r="E31" s="982">
        <f t="shared" si="42"/>
        <v>4945.3999800000001</v>
      </c>
      <c r="F31" s="983"/>
      <c r="G31" s="983"/>
      <c r="H31" s="983"/>
      <c r="I31" s="982">
        <f t="shared" si="43"/>
        <v>882.9941</v>
      </c>
      <c r="J31" s="984">
        <f t="shared" si="43"/>
        <v>908.89875000000006</v>
      </c>
      <c r="K31" s="985">
        <f t="shared" si="43"/>
        <v>0.78909348837209292</v>
      </c>
      <c r="L31" s="985">
        <f t="shared" si="43"/>
        <v>0.94549561115885239</v>
      </c>
      <c r="M31" s="986">
        <f t="shared" si="43"/>
        <v>986.25</v>
      </c>
      <c r="N31" s="987">
        <f t="shared" si="43"/>
        <v>1.1000000000000001</v>
      </c>
      <c r="O31" s="984">
        <f>PERCENTILE(O$8:O$27,$B31)</f>
        <v>1894.915</v>
      </c>
      <c r="P31" s="988">
        <f t="shared" si="43"/>
        <v>1891.25</v>
      </c>
      <c r="Q31" s="984">
        <f t="shared" si="43"/>
        <v>2219.8670000000002</v>
      </c>
      <c r="R31" s="985">
        <f t="shared" si="43"/>
        <v>2.5</v>
      </c>
      <c r="S31" s="985">
        <f t="shared" si="43"/>
        <v>2.3139707291666665</v>
      </c>
      <c r="T31" s="986">
        <f t="shared" si="43"/>
        <v>2273.2837500000001</v>
      </c>
      <c r="U31" s="987">
        <f t="shared" si="43"/>
        <v>2.5</v>
      </c>
      <c r="V31" s="984">
        <f t="shared" si="43"/>
        <v>4292.5775000000003</v>
      </c>
      <c r="W31" s="988">
        <f t="shared" si="43"/>
        <v>4314.703125</v>
      </c>
      <c r="X31" s="984">
        <f t="shared" si="44"/>
        <v>37.013519000000002</v>
      </c>
      <c r="Y31" s="988">
        <f t="shared" si="44"/>
        <v>11.366</v>
      </c>
      <c r="Z31" s="984">
        <f t="shared" si="44"/>
        <v>4364.2025000000003</v>
      </c>
      <c r="AA31" s="988">
        <f t="shared" si="44"/>
        <v>4459.5643221275004</v>
      </c>
      <c r="AB31" s="803"/>
      <c r="AC31" s="776">
        <f t="shared" si="45"/>
        <v>0.41887602688573566</v>
      </c>
      <c r="AD31" s="777">
        <f t="shared" si="45"/>
        <v>0.53546321183547541</v>
      </c>
      <c r="AE31" s="778"/>
      <c r="AF31" s="778"/>
      <c r="AG31" s="778"/>
      <c r="AH31" s="778"/>
      <c r="AI31" s="778"/>
      <c r="AJ31" s="778"/>
      <c r="AK31" s="778"/>
      <c r="AL31" s="799">
        <v>4059.8739999999998</v>
      </c>
      <c r="AM31" s="802">
        <v>4156.25</v>
      </c>
      <c r="AN31" s="668">
        <f>PERCENTILE(AN$8:AN$27,$B31)</f>
        <v>7.8876445516475324E-3</v>
      </c>
      <c r="AR31" s="12"/>
      <c r="AT31" s="364"/>
      <c r="AU31" s="364"/>
      <c r="AV31" s="364"/>
    </row>
    <row r="32" spans="1:51" s="17" customFormat="1" ht="20.25" customHeight="1">
      <c r="A32" s="12"/>
      <c r="B32" s="12"/>
      <c r="C32" s="997" t="s">
        <v>6</v>
      </c>
      <c r="D32" s="998">
        <f>AVERAGE(D8:D27)</f>
        <v>8196.2211185714277</v>
      </c>
      <c r="E32" s="998">
        <f>AVERAGE(E8:E27)</f>
        <v>8990.9080142857147</v>
      </c>
      <c r="F32" s="997"/>
      <c r="G32" s="997"/>
      <c r="H32" s="997"/>
      <c r="I32" s="998">
        <f t="shared" ref="I32:N32" si="46">AVERAGE(I8:I27)</f>
        <v>1094.2488626892857</v>
      </c>
      <c r="J32" s="999">
        <f t="shared" si="46"/>
        <v>1352.6202936644975</v>
      </c>
      <c r="K32" s="1000">
        <f t="shared" si="46"/>
        <v>1.2458561460194999</v>
      </c>
      <c r="L32" s="1000">
        <f t="shared" si="46"/>
        <v>1.1591246360193617</v>
      </c>
      <c r="M32" s="1001">
        <f t="shared" si="46"/>
        <v>1268.9235464560713</v>
      </c>
      <c r="N32" s="1002">
        <f t="shared" si="46"/>
        <v>1.1500000000000001</v>
      </c>
      <c r="O32" s="999">
        <f>AVERAGE(O8:O27)</f>
        <v>2446.8691563537832</v>
      </c>
      <c r="P32" s="1003">
        <f t="shared" ref="P32:W32" si="47">AVERAGE(P8:P27)</f>
        <v>2363.1724091453575</v>
      </c>
      <c r="Q32" s="999">
        <f t="shared" si="47"/>
        <v>2999.6956859169231</v>
      </c>
      <c r="R32" s="1000">
        <f t="shared" si="47"/>
        <v>2.7307695243549852</v>
      </c>
      <c r="S32" s="1000">
        <f t="shared" si="47"/>
        <v>2.7568220470011235</v>
      </c>
      <c r="T32" s="1001">
        <f t="shared" si="47"/>
        <v>3214.9897082032048</v>
      </c>
      <c r="U32" s="1002">
        <f t="shared" si="47"/>
        <v>2.9035111126597637</v>
      </c>
      <c r="V32" s="999">
        <f t="shared" si="47"/>
        <v>5232.300864705212</v>
      </c>
      <c r="W32" s="1003">
        <f t="shared" si="47"/>
        <v>5578.1621173485619</v>
      </c>
      <c r="X32" s="999">
        <f>AVERAGE(X8:X27)</f>
        <v>297.30070050500001</v>
      </c>
      <c r="Y32" s="1003">
        <f>AVERAGE(Y8:Y27)</f>
        <v>100.56336313979797</v>
      </c>
      <c r="Z32" s="999">
        <f>AVERAGE(Z8:Z27)</f>
        <v>5481.2010503179099</v>
      </c>
      <c r="AA32" s="1003">
        <f>AVERAGE(AA8:AA27)</f>
        <v>5827.0623029612607</v>
      </c>
      <c r="AB32" s="803"/>
      <c r="AC32" s="822">
        <f>AVERAGE(AC8:AC27)</f>
        <v>0.42952725658551955</v>
      </c>
      <c r="AD32" s="820">
        <f>AVERAGE(AD8:AD27)</f>
        <v>0.5704727434144804</v>
      </c>
      <c r="AE32" s="778"/>
      <c r="AF32" s="778"/>
      <c r="AG32" s="778"/>
      <c r="AH32" s="778"/>
      <c r="AI32" s="778"/>
      <c r="AJ32" s="778"/>
      <c r="AK32" s="778"/>
      <c r="AL32" s="817">
        <v>5148.4052816058911</v>
      </c>
      <c r="AM32" s="821">
        <v>5340.9506219963378</v>
      </c>
      <c r="AN32" s="669">
        <f>PERCENTILE(AN$8:AN$27,$B32)</f>
        <v>-1.6726854008445979E-2</v>
      </c>
      <c r="AR32" s="12"/>
      <c r="AT32" s="364"/>
      <c r="AU32" s="364"/>
      <c r="AV32" s="364"/>
    </row>
    <row r="33" spans="1:50" s="17" customFormat="1" ht="20.25" customHeight="1" outlineLevel="1">
      <c r="A33" s="12"/>
      <c r="B33" s="12"/>
      <c r="C33" s="977" t="str">
        <f>$C$3+1&amp;" Estimated Summary Statistics "</f>
        <v xml:space="preserve">2025 Estimated Summary Statistics </v>
      </c>
      <c r="D33" s="977"/>
      <c r="E33" s="977"/>
      <c r="F33" s="977"/>
      <c r="G33" s="977"/>
      <c r="H33" s="977"/>
      <c r="I33" s="977"/>
      <c r="J33" s="977"/>
      <c r="K33" s="977"/>
      <c r="L33" s="977"/>
      <c r="M33" s="977"/>
      <c r="N33" s="977"/>
      <c r="O33" s="977"/>
      <c r="P33" s="977"/>
      <c r="Q33" s="977"/>
      <c r="R33" s="977"/>
      <c r="S33" s="977"/>
      <c r="T33" s="977"/>
      <c r="U33" s="977"/>
      <c r="V33" s="977"/>
      <c r="W33" s="977"/>
      <c r="X33" s="977"/>
      <c r="Y33" s="977"/>
      <c r="Z33" s="977"/>
      <c r="AA33" s="977"/>
      <c r="AB33" s="803"/>
      <c r="AC33" s="824"/>
      <c r="AD33" s="824"/>
      <c r="AE33" s="778"/>
      <c r="AF33" s="778"/>
      <c r="AG33" s="778"/>
      <c r="AH33" s="778"/>
      <c r="AI33" s="778"/>
      <c r="AJ33" s="778"/>
      <c r="AK33" s="778"/>
      <c r="AL33" s="823"/>
      <c r="AM33" s="823"/>
      <c r="AR33" s="12"/>
      <c r="AT33" s="364"/>
      <c r="AU33" s="364"/>
      <c r="AV33" s="364"/>
    </row>
    <row r="34" spans="1:50" s="17" customFormat="1" ht="20.25" customHeight="1" outlineLevel="1">
      <c r="A34" s="12"/>
      <c r="B34" s="17">
        <v>0.75</v>
      </c>
      <c r="C34" s="981" t="s">
        <v>9</v>
      </c>
      <c r="D34" s="982">
        <f t="shared" ref="D34:E36" si="48">PERCENTILE(D$8:D$27,$B34)</f>
        <v>10818.70349</v>
      </c>
      <c r="E34" s="982">
        <f t="shared" si="48"/>
        <v>12632.730600000001</v>
      </c>
      <c r="F34" s="983"/>
      <c r="G34" s="983"/>
      <c r="H34" s="983"/>
      <c r="I34" s="982">
        <f t="shared" ref="I34:M37" si="49">I68</f>
        <v>1304.1459587500001</v>
      </c>
      <c r="J34" s="984">
        <f t="shared" si="49"/>
        <v>0</v>
      </c>
      <c r="K34" s="985">
        <f t="shared" si="49"/>
        <v>0</v>
      </c>
      <c r="L34" s="985">
        <f t="shared" si="49"/>
        <v>0</v>
      </c>
      <c r="M34" s="986">
        <f t="shared" si="49"/>
        <v>1367.9324296250002</v>
      </c>
      <c r="N34" s="987">
        <f>PERCENTILE(N$8:N$27,$B34)</f>
        <v>1.25</v>
      </c>
      <c r="O34" s="984" t="s">
        <v>78</v>
      </c>
      <c r="P34" s="982">
        <f t="shared" ref="P34:T37" si="50">P68</f>
        <v>2512.1726651250001</v>
      </c>
      <c r="Q34" s="984">
        <f t="shared" si="50"/>
        <v>0</v>
      </c>
      <c r="R34" s="985">
        <f t="shared" si="50"/>
        <v>0</v>
      </c>
      <c r="S34" s="985">
        <f t="shared" si="50"/>
        <v>0</v>
      </c>
      <c r="T34" s="986">
        <f t="shared" si="50"/>
        <v>4488.4514583750006</v>
      </c>
      <c r="U34" s="987">
        <f>PERCENTILE(U$8:U$27,$B34)</f>
        <v>3</v>
      </c>
      <c r="V34" s="984" t="s">
        <v>78</v>
      </c>
      <c r="W34" s="988">
        <f>W68</f>
        <v>7308.3083328333332</v>
      </c>
      <c r="X34" s="984">
        <f>X29</f>
        <v>432.19800000000004</v>
      </c>
      <c r="Y34" s="988">
        <f>Y29</f>
        <v>135.1275</v>
      </c>
      <c r="Z34" s="984" t="s">
        <v>78</v>
      </c>
      <c r="AA34" s="988">
        <f>AA68</f>
        <v>7314.592016940278</v>
      </c>
      <c r="AB34" s="803"/>
      <c r="AC34" s="824"/>
      <c r="AD34" s="824"/>
      <c r="AE34" s="778"/>
      <c r="AF34" s="778"/>
      <c r="AG34" s="803"/>
      <c r="AH34" s="778"/>
      <c r="AI34" s="778"/>
      <c r="AJ34" s="778"/>
      <c r="AK34" s="778"/>
      <c r="AL34" s="722"/>
      <c r="AM34" s="722"/>
      <c r="AR34" s="12"/>
      <c r="AT34" s="364"/>
      <c r="AU34" s="364"/>
      <c r="AV34" s="364"/>
    </row>
    <row r="35" spans="1:50" s="17" customFormat="1" ht="20.25" customHeight="1" outlineLevel="1">
      <c r="A35" s="12"/>
      <c r="B35" s="17">
        <v>0.5</v>
      </c>
      <c r="C35" s="989" t="s">
        <v>8</v>
      </c>
      <c r="D35" s="990">
        <f t="shared" si="48"/>
        <v>5726.9108349999997</v>
      </c>
      <c r="E35" s="990">
        <f t="shared" si="48"/>
        <v>6264.5648500000007</v>
      </c>
      <c r="F35" s="991"/>
      <c r="G35" s="991"/>
      <c r="H35" s="991"/>
      <c r="I35" s="990">
        <f t="shared" si="49"/>
        <v>1040.712</v>
      </c>
      <c r="J35" s="992">
        <f t="shared" si="49"/>
        <v>0</v>
      </c>
      <c r="K35" s="993">
        <f t="shared" si="49"/>
        <v>0</v>
      </c>
      <c r="L35" s="993">
        <f t="shared" si="49"/>
        <v>0</v>
      </c>
      <c r="M35" s="994">
        <f t="shared" si="49"/>
        <v>1149.2546875</v>
      </c>
      <c r="N35" s="995">
        <f>PERCENTILE(N$8:N$27,$B35)</f>
        <v>1.1749999999999998</v>
      </c>
      <c r="O35" s="992" t="s">
        <v>78</v>
      </c>
      <c r="P35" s="990">
        <f t="shared" si="50"/>
        <v>2215.9484375000002</v>
      </c>
      <c r="Q35" s="992">
        <f t="shared" si="50"/>
        <v>0</v>
      </c>
      <c r="R35" s="993">
        <f t="shared" si="50"/>
        <v>0</v>
      </c>
      <c r="S35" s="993">
        <f t="shared" si="50"/>
        <v>0</v>
      </c>
      <c r="T35" s="994">
        <f t="shared" si="50"/>
        <v>2797.46875</v>
      </c>
      <c r="U35" s="995">
        <f>PERCENTILE(U$8:U$27,$B35)</f>
        <v>2.8</v>
      </c>
      <c r="V35" s="992" t="s">
        <v>78</v>
      </c>
      <c r="W35" s="996">
        <f>W69</f>
        <v>5171.8977999999997</v>
      </c>
      <c r="X35" s="992">
        <f t="shared" ref="X35:Y37" si="51">X30</f>
        <v>263.96897222500002</v>
      </c>
      <c r="Y35" s="996">
        <f t="shared" si="51"/>
        <v>54.95</v>
      </c>
      <c r="Z35" s="992" t="s">
        <v>78</v>
      </c>
      <c r="AA35" s="996">
        <f>AA69</f>
        <v>5486.9212555185377</v>
      </c>
      <c r="AB35" s="803">
        <f>AA35/W35</f>
        <v>1.0609106110949327</v>
      </c>
      <c r="AC35" s="824"/>
      <c r="AD35" s="824"/>
      <c r="AE35" s="778"/>
      <c r="AF35" s="778"/>
      <c r="AG35" s="803"/>
      <c r="AH35" s="778"/>
      <c r="AI35" s="778"/>
      <c r="AJ35" s="778"/>
      <c r="AK35" s="778"/>
      <c r="AL35" s="722"/>
      <c r="AM35" s="722"/>
      <c r="AR35" s="12"/>
      <c r="AT35" s="364"/>
      <c r="AU35" s="364"/>
      <c r="AV35" s="364"/>
    </row>
    <row r="36" spans="1:50" s="17" customFormat="1" ht="20.25" customHeight="1" outlineLevel="1">
      <c r="A36" s="12"/>
      <c r="B36" s="17">
        <v>0.25</v>
      </c>
      <c r="C36" s="981" t="s">
        <v>7</v>
      </c>
      <c r="D36" s="982">
        <f t="shared" si="48"/>
        <v>4603.5400024999999</v>
      </c>
      <c r="E36" s="982">
        <f t="shared" si="48"/>
        <v>4945.3999800000001</v>
      </c>
      <c r="F36" s="983"/>
      <c r="G36" s="983"/>
      <c r="H36" s="983"/>
      <c r="I36" s="982">
        <f t="shared" si="49"/>
        <v>909.483923</v>
      </c>
      <c r="J36" s="984">
        <f t="shared" si="49"/>
        <v>0</v>
      </c>
      <c r="K36" s="985">
        <f t="shared" si="49"/>
        <v>0</v>
      </c>
      <c r="L36" s="985">
        <f t="shared" si="49"/>
        <v>0</v>
      </c>
      <c r="M36" s="986">
        <f t="shared" si="49"/>
        <v>1008.1875</v>
      </c>
      <c r="N36" s="987">
        <f>PERCENTILE(N$8:N$27,$B36)</f>
        <v>1.1000000000000001</v>
      </c>
      <c r="O36" s="984" t="s">
        <v>78</v>
      </c>
      <c r="P36" s="982">
        <f t="shared" si="50"/>
        <v>1905.9124999999999</v>
      </c>
      <c r="Q36" s="984">
        <f t="shared" si="50"/>
        <v>0</v>
      </c>
      <c r="R36" s="985">
        <f t="shared" si="50"/>
        <v>0</v>
      </c>
      <c r="S36" s="985">
        <f t="shared" si="50"/>
        <v>0</v>
      </c>
      <c r="T36" s="986">
        <f t="shared" si="50"/>
        <v>2341.4822625000002</v>
      </c>
      <c r="U36" s="987">
        <f>PERCENTILE(U$8:U$27,$B36)</f>
        <v>2.5</v>
      </c>
      <c r="V36" s="984" t="s">
        <v>78</v>
      </c>
      <c r="W36" s="988">
        <f>W70</f>
        <v>4412.0242187500007</v>
      </c>
      <c r="X36" s="984">
        <f t="shared" si="51"/>
        <v>37.013519000000002</v>
      </c>
      <c r="Y36" s="988">
        <f t="shared" si="51"/>
        <v>11.366</v>
      </c>
      <c r="Z36" s="984" t="s">
        <v>78</v>
      </c>
      <c r="AA36" s="988">
        <f>AA70</f>
        <v>4495.8069976325005</v>
      </c>
      <c r="AB36" s="803"/>
      <c r="AC36" s="824"/>
      <c r="AD36" s="824"/>
      <c r="AE36" s="778"/>
      <c r="AF36" s="778"/>
      <c r="AG36" s="778"/>
      <c r="AH36" s="778"/>
      <c r="AI36" s="778"/>
      <c r="AJ36" s="778"/>
      <c r="AK36" s="778"/>
      <c r="AL36" s="722"/>
      <c r="AM36" s="722"/>
      <c r="AR36" s="12"/>
      <c r="AT36" s="364"/>
      <c r="AU36" s="364"/>
      <c r="AV36" s="364"/>
    </row>
    <row r="37" spans="1:50" s="17" customFormat="1" ht="20.25" customHeight="1" outlineLevel="1">
      <c r="A37" s="12"/>
      <c r="B37" s="12"/>
      <c r="C37" s="997" t="s">
        <v>6</v>
      </c>
      <c r="D37" s="998">
        <f>AVERAGE(D13:D32)</f>
        <v>5394.4736743131862</v>
      </c>
      <c r="E37" s="998">
        <f>AVERAGE(E13:E32)</f>
        <v>5942.4363457142854</v>
      </c>
      <c r="F37" s="997"/>
      <c r="G37" s="997"/>
      <c r="H37" s="997"/>
      <c r="I37" s="998">
        <f t="shared" si="49"/>
        <v>1127.5819335235356</v>
      </c>
      <c r="J37" s="999">
        <f t="shared" si="49"/>
        <v>0</v>
      </c>
      <c r="K37" s="1000">
        <f t="shared" si="49"/>
        <v>0</v>
      </c>
      <c r="L37" s="1000">
        <f t="shared" si="49"/>
        <v>0</v>
      </c>
      <c r="M37" s="1001">
        <f t="shared" si="49"/>
        <v>1308.2960888515393</v>
      </c>
      <c r="N37" s="1002">
        <f>AVERAGE(N13:N32)</f>
        <v>1.1134615384615385</v>
      </c>
      <c r="O37" s="999" t="s">
        <v>78</v>
      </c>
      <c r="P37" s="998">
        <f t="shared" si="50"/>
        <v>2435.8780223750755</v>
      </c>
      <c r="Q37" s="999">
        <f t="shared" si="50"/>
        <v>0</v>
      </c>
      <c r="R37" s="1000">
        <f t="shared" si="50"/>
        <v>0</v>
      </c>
      <c r="S37" s="1000">
        <f t="shared" si="50"/>
        <v>0</v>
      </c>
      <c r="T37" s="1001">
        <f t="shared" si="50"/>
        <v>3312.6614574151113</v>
      </c>
      <c r="U37" s="1002">
        <f>AVERAGE(U13:U32)</f>
        <v>2.9137948509405751</v>
      </c>
      <c r="V37" s="999" t="s">
        <v>78</v>
      </c>
      <c r="W37" s="1003">
        <f>W71</f>
        <v>5748.5394797901872</v>
      </c>
      <c r="X37" s="999">
        <f t="shared" si="51"/>
        <v>297.30070050500001</v>
      </c>
      <c r="Y37" s="1003">
        <f t="shared" si="51"/>
        <v>100.56336313979797</v>
      </c>
      <c r="Z37" s="999" t="s">
        <v>78</v>
      </c>
      <c r="AA37" s="1003">
        <f>AA71</f>
        <v>5997.4396654028842</v>
      </c>
      <c r="AB37" s="803"/>
      <c r="AC37" s="824"/>
      <c r="AD37" s="824"/>
      <c r="AE37" s="778"/>
      <c r="AF37" s="778"/>
      <c r="AG37" s="778"/>
      <c r="AH37" s="778"/>
      <c r="AI37" s="778"/>
      <c r="AJ37" s="778"/>
      <c r="AK37" s="778"/>
      <c r="AL37" s="722"/>
      <c r="AM37" s="722"/>
      <c r="AR37" s="12"/>
      <c r="AT37" s="364"/>
      <c r="AU37" s="364"/>
      <c r="AV37" s="364"/>
    </row>
    <row r="38" spans="1:50" ht="7.5" customHeight="1">
      <c r="C38" s="1004"/>
      <c r="D38" s="1004"/>
      <c r="E38" s="1004"/>
      <c r="F38" s="1004"/>
      <c r="G38" s="1004"/>
      <c r="H38" s="1004"/>
      <c r="I38" s="1005"/>
      <c r="J38" s="1006"/>
      <c r="K38" s="1007"/>
      <c r="L38" s="1007"/>
      <c r="M38" s="1005"/>
      <c r="N38" s="1008"/>
      <c r="O38" s="1006"/>
      <c r="P38" s="1005"/>
      <c r="Q38" s="1005"/>
      <c r="R38" s="1008"/>
      <c r="S38" s="1008"/>
      <c r="T38" s="1006"/>
      <c r="U38" s="1007"/>
      <c r="V38" s="1006"/>
      <c r="W38" s="1005"/>
      <c r="X38" s="1007"/>
      <c r="Y38" s="1006"/>
      <c r="Z38" s="1005"/>
      <c r="AA38" s="1005"/>
      <c r="AB38" s="775"/>
      <c r="AC38" s="825"/>
      <c r="AD38" s="825"/>
      <c r="AE38" s="778"/>
      <c r="AF38" s="778"/>
      <c r="AG38" s="778"/>
      <c r="AH38" s="778"/>
      <c r="AI38" s="778"/>
      <c r="AJ38" s="778"/>
      <c r="AK38" s="778"/>
      <c r="AL38" s="722"/>
      <c r="AM38" s="722"/>
      <c r="AT38" s="362"/>
      <c r="AU38" s="362"/>
      <c r="AV38" s="362"/>
    </row>
    <row r="39" spans="1:50" s="35" customFormat="1" ht="20.25" customHeight="1">
      <c r="A39" s="35" t="str">
        <f>$B39&amp;"_"&amp;$C$3&amp;"_"&amp;$C$2</f>
        <v>TSX:HBM_2024_CEO</v>
      </c>
      <c r="B39" s="35" t="str">
        <f>'Raw Data'!G6</f>
        <v>TSX:HBM</v>
      </c>
      <c r="C39" s="1009" t="str">
        <f>IFERROR(INDEX(Raw_Data,MATCH($A39,Look_Up,0),MATCH(C$4,Component,0)),"-")</f>
        <v>Hudbay Minerals Inc.</v>
      </c>
      <c r="D39" s="1010">
        <f>_xll.ciqfunctions.udf.CIQ(B39, "IQ_MARKETCAP", $A$1,$A$2)</f>
        <v>5707.77981</v>
      </c>
      <c r="E39" s="1010">
        <f>_xll.ciqfunctions.udf.CIQ($B39, "IQ_TEV", $A$1,$A$2)</f>
        <v>6817.2702799999997</v>
      </c>
      <c r="F39" s="1011" t="str">
        <f>IFERROR(INDEX(Raw_Data,MATCH($A39,Look_Up,0),MATCH(F$4,Component,0)),"-")</f>
        <v>Peter Kukielski</v>
      </c>
      <c r="G39" s="1011" t="str">
        <f>IFERROR(INDEX(Raw_Data,MATCH($A39,Look_Up,0),MATCH(G$4,Component,0)),"-")</f>
        <v>President &amp; CEO</v>
      </c>
      <c r="H39" s="1011" t="str">
        <f>IFERROR(INDEX(Raw_Data,MATCH($A39,Look_Up,0),MATCH(H$4,Component,0))/1000,"-")</f>
        <v>-</v>
      </c>
      <c r="I39" s="1010">
        <f>IFERROR(INDEX(Raw_Data,MATCH($A39,Look_Up,0),MATCH(I$4,Component,0))/1000,"-")</f>
        <v>1047.5250000000001</v>
      </c>
      <c r="J39" s="1010">
        <f>IFERROR(INDEX(Raw_Data,MATCH($A39,Look_Up,0),MATCH(J$4,Component,0))/1000,"-")</f>
        <v>1632.9190000000001</v>
      </c>
      <c r="K39" s="1012">
        <f>IFERROR(INDEX(Raw_Data,MATCH($A39,Look_Up,0),MATCH(K$4,Component,0)),"-")</f>
        <v>1.558835349991647</v>
      </c>
      <c r="L39" s="1012">
        <f>IFERROR(INDEX(Raw_Data,MATCH($A39,Look_Up,0),MATCH(L$4,Component,0)),"-")</f>
        <v>1.558835349991647</v>
      </c>
      <c r="M39" s="1010">
        <f>IFERROR(INDEX(Raw_Data,MATCH($A39,Look_Up,0),MATCH(M$4,Component,0))/1000,"-")</f>
        <v>1257.03</v>
      </c>
      <c r="N39" s="1012">
        <f>IFERROR(IF(INDEX(Raw_Data,MATCH($A39,Look_Up,0),MATCH(N$4,Component,0))="-",L39,INDEX(Raw_Data,MATCH($A39,Look_Up,0),MATCH(N$4,Component,0))),"-")</f>
        <v>1.2</v>
      </c>
      <c r="O39" s="1010" t="s">
        <v>78</v>
      </c>
      <c r="P39" s="1010">
        <f>IFERROR(INDEX(Raw_Data,MATCH($A39,Look_Up,0),MATCH(P$4,Component,0))/1000,"-")</f>
        <v>2304.5549999999998</v>
      </c>
      <c r="Q39" s="1010">
        <f>IFERROR(INDEX(Raw_Data,MATCH($A39,Look_Up,0),MATCH(Q$4,Component,0))/1000,"-")</f>
        <v>2542.5369999999998</v>
      </c>
      <c r="R39" s="1012">
        <f>IFERROR(INDEX(Raw_Data,MATCH($A39,Look_Up,0),MATCH(R$4,Component,0)),"-")</f>
        <v>2.4271850313834991</v>
      </c>
      <c r="S39" s="1012">
        <f>IFERROR(INDEX(Raw_Data,MATCH($A39,Look_Up,0),MATCH(S$4,Component,0)),"-")</f>
        <v>2.4271850313834991</v>
      </c>
      <c r="T39" s="1010">
        <f>IFERROR(INDEX(Raw_Data,MATCH($A39,Look_Up,0),MATCH(T$4,Component,0))/1000,"-")</f>
        <v>2775.9412499999999</v>
      </c>
      <c r="U39" s="1012">
        <f>IFERROR(IF(INDEX(Raw_Data,MATCH($A39,Look_Up,0),MATCH(U$4,Component,0))="-",S39,INDEX(Raw_Data,MATCH($A39,Look_Up,0),MATCH(U$4,Component,0))),"-")</f>
        <v>2.65</v>
      </c>
      <c r="V39" s="1010" t="s">
        <v>78</v>
      </c>
      <c r="W39" s="1010">
        <f>IFERROR(INDEX(Raw_Data,MATCH($A39,Look_Up,0),MATCH(W$4,Component,0))/1000,"-")</f>
        <v>5080.4962500000001</v>
      </c>
      <c r="X39" s="1013">
        <f>IFERROR((INDEX(Raw_Data,MATCH($A39,Look_Up,0),MATCH(X$4,Component,0))/1000),"-")</f>
        <v>122.042</v>
      </c>
      <c r="Y39" s="1010">
        <f>IFERROR((INDEX(Raw_Data,MATCH($A39,Look_Up,0),MATCH(Y$4,Component,0))/1000),"-")</f>
        <v>255.03399999999999</v>
      </c>
      <c r="Z39" s="1010">
        <f>IFERROR(INDEX(Raw_Data,MATCH($A39,Look_Up,0),MATCH(Z$4,Component,0))/1000,"-")</f>
        <v>5600.0569999999998</v>
      </c>
      <c r="AA39" s="1014">
        <f>IFERROR(INDEX(Raw_Data,MATCH($A39,Look_Up,0),MATCH(AA$4,Component,0))/1000,"-")</f>
        <v>5457.5722500000002</v>
      </c>
      <c r="AB39" s="836"/>
      <c r="AC39" s="837">
        <f>IFERROR(P39/W39,0)</f>
        <v>0.45360824742268036</v>
      </c>
      <c r="AD39" s="838">
        <f>IFERROR(T39/W39,0)</f>
        <v>0.54639175257731953</v>
      </c>
      <c r="AE39" s="778" t="str">
        <f>B39&amp;"_"&amp;$AE$6&amp;"_"&amp;$C$2</f>
        <v>TSX:HBM_2023_CEO</v>
      </c>
      <c r="AF39" s="778"/>
      <c r="AG39" s="778"/>
      <c r="AH39" s="778"/>
      <c r="AI39" s="778"/>
      <c r="AJ39" s="778"/>
      <c r="AK39" s="778"/>
      <c r="AL39" s="722"/>
      <c r="AM39" s="722"/>
      <c r="AR39" s="12" t="str">
        <f>C39</f>
        <v>Hudbay Minerals Inc.</v>
      </c>
      <c r="AS39" s="12" t="s">
        <v>739</v>
      </c>
      <c r="AT39" s="362">
        <f>_xll.ciqfunctions.udf.CIQ(B39,"IQ_TOTAL_ASSETS",IQ_LTM,$AT$6,,,"CAD")/1000</f>
        <v>7.6766224000000003</v>
      </c>
      <c r="AU39" s="362">
        <f>(1017015+1906903+635634+1632919)/1000000</f>
        <v>5.1924710000000003</v>
      </c>
      <c r="AV39" s="362">
        <f>4779971/1000000</f>
        <v>4.7799709999999997</v>
      </c>
    </row>
    <row r="40" spans="1:50" ht="20.25" customHeight="1">
      <c r="B40" s="33"/>
      <c r="C40" s="1015" t="s">
        <v>5</v>
      </c>
      <c r="D40" s="1016">
        <f>IF(D$39&gt;=MAX(D$8:D$27),"max",IF(D$39&lt;=MIN(D$8:D$27),"min",PERCENTRANK(D$8:D$27,D$39)))</f>
        <v>0.48099999999999998</v>
      </c>
      <c r="E40" s="1016">
        <f>IF(E$39&gt;=MAX(E$8:E$27),"max",IF(E$39&lt;=MIN(E$8:E$27),"min",PERCENTRANK(E$8:E$27,E$39)))</f>
        <v>0.56599999999999995</v>
      </c>
      <c r="F40" s="1017"/>
      <c r="G40" s="1017"/>
      <c r="H40" s="1017"/>
      <c r="I40" s="1016">
        <f>IF(I$39&gt;=MAX(I$47:I$66),"max",IF(I$39&lt;=MIN(I$47:I$66),"min",PERCENTRANK(I$47:I$66,I$39)))</f>
        <v>0.505</v>
      </c>
      <c r="J40" s="1016">
        <f>IF(J$39&gt;=MAX(J$8:J$27),"max",IF(J$39&lt;=MIN(J$8:J$27),"min",PERCENTRANK(J$8:J$27,J$39)))</f>
        <v>0.74399999999999999</v>
      </c>
      <c r="K40" s="1016">
        <f>IF(K$39&gt;=MAX(K$8:K$27),"max",IF(K$39&lt;=MIN(K$8:K$27),"min",PERCENTRANK(K$8:K$27,K$39)))</f>
        <v>0.74199999999999999</v>
      </c>
      <c r="L40" s="1016">
        <f>IF(L$39&gt;=MAX(L$8:L$27),"max",IF(L$39&lt;=MIN(L$8:L$27),"min",PERCENTRANK(L$8:L$27,L$39)))</f>
        <v>0.90600000000000003</v>
      </c>
      <c r="M40" s="1016">
        <f>IF(M$39&gt;=MAX(M$47:M$66),"max",IF(M$39&lt;=MIN(M$47:M$66),"min",PERCENTRANK(M$47:M$66,M$39)))</f>
        <v>0.58699999999999997</v>
      </c>
      <c r="N40" s="1016">
        <f>IF(N$39&gt;=MAX(N$8:N$27),"max",IF(N$39&lt;=MIN(N$8:N$27),"min",PERCENTRANK(N$8:N$27,N$39)))</f>
        <v>0.53800000000000003</v>
      </c>
      <c r="O40" s="1016" t="s">
        <v>78</v>
      </c>
      <c r="P40" s="1016">
        <f>IF(P$39&gt;=MAX(P$47:P$66),"max",IF(P$39&lt;=MIN(P$47:P$66),"min",PERCENTRANK(P$47:P$66,P$39)))</f>
        <v>0.52600000000000002</v>
      </c>
      <c r="Q40" s="1016">
        <f>IF(Q$39&gt;=MAX(Q$8:Q$27),"max",IF(Q$39&lt;=MIN(Q$8:Q$27),"min",PERCENTRANK(Q$8:Q$27,Q$39)))</f>
        <v>0.503</v>
      </c>
      <c r="R40" s="1016">
        <f>IF(R$39&gt;=MAX(R$8:R$27),"max",IF(R$39&lt;=MIN(R$8:R$27),"min",PERCENTRANK(R$8:R$27,R$39)))</f>
        <v>0.155</v>
      </c>
      <c r="S40" s="1016">
        <f>IF(S$39&gt;=MAX(S$8:S$27),"max",IF(S$39&lt;=MIN(S$8:S$27),"min",PERCENTRANK(S$8:S$27,S$39)))</f>
        <v>0.29299999999999998</v>
      </c>
      <c r="T40" s="1016">
        <f>IF(T$39&gt;=MAX(T$47:T$66),"max",IF(T$39&lt;=MIN(T$47:T$66),"min",PERCENTRANK(T$47:T$66,T$39)))</f>
        <v>0.496</v>
      </c>
      <c r="U40" s="1016">
        <f>IF(U$39&gt;=MAX(U$8:U$27),"max",IF(U$39&lt;=MIN(U$8:U$27),"min",PERCENTRANK(U$8:U$27,U$39)))</f>
        <v>0.43</v>
      </c>
      <c r="V40" s="1016" t="s">
        <v>78</v>
      </c>
      <c r="W40" s="1016">
        <f>IF(W$39&gt;=MAX(W$47:W$66),"max",IF(W$39&lt;=MIN(W$47:W$66),"min",PERCENTRANK(W$47:W$66,W$39)))</f>
        <v>0.49</v>
      </c>
      <c r="X40" s="1016">
        <f>IF(X$39&gt;=MAX(X$8:X$27),"max",IF(X$39&lt;=MIN(X$8:X$27),"min",PERCENTRANK(X$8:X$27,X$39)))</f>
        <v>0.36299999999999999</v>
      </c>
      <c r="Y40" s="1016">
        <f>IF(Y$39&gt;=MAX(Y$8:Y$27),"max",IF(Y$39&lt;=MIN(Y$8:Y$27),"min",PERCENTRANK(Y$8:Y$27,Y$39)))</f>
        <v>0.92600000000000005</v>
      </c>
      <c r="Z40" s="1016">
        <f>IF(Z$39&gt;=MAX(Z$8:Z$27),"max",IF(Z$39&lt;=MIN(Z$8:Z$27),"min",PERCENTRANK(Z$8:Z$27,Z$39)))</f>
        <v>0.69799999999999995</v>
      </c>
      <c r="AA40" s="1018">
        <f>IF(AA$39&gt;=MAX(AA$47:AA$66),"max",IF(AA$39&lt;=MIN(AA$47:AA$66),"min",PERCENTRANK(AA$47:AA$66,AA$39)))</f>
        <v>0.496</v>
      </c>
      <c r="AB40" s="775"/>
      <c r="AC40" s="843">
        <f>IF(AC$39&gt;=MAX(AC$8:AC27),"max",IF(AC$39&lt;=MIN(AC$8:AC27),"min",PERCENTRANK(AC$8:AC27,AC$39)))</f>
        <v>0.58099999999999996</v>
      </c>
      <c r="AD40" s="844">
        <f>IF(AD$39&gt;=MAX(AD$8:AD27),"max",IF(AD$39&lt;=MIN(AD$8:AD27),"min",PERCENTRANK(AD$8:AD27,AD$39)))</f>
        <v>0.41799999999999998</v>
      </c>
      <c r="AE40" s="778"/>
      <c r="AF40" s="778"/>
      <c r="AG40" s="778"/>
      <c r="AH40" s="778"/>
      <c r="AI40" s="778"/>
      <c r="AJ40" s="778"/>
      <c r="AK40" s="778"/>
      <c r="AL40" s="722"/>
      <c r="AM40" s="722"/>
      <c r="AU40" s="730" t="s">
        <v>742</v>
      </c>
      <c r="AV40" s="730" t="s">
        <v>741</v>
      </c>
    </row>
    <row r="41" spans="1:50"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50" ht="15" customHeight="1">
      <c r="B42" s="33"/>
      <c r="C42" s="286" t="s">
        <v>243</v>
      </c>
      <c r="D42" s="286"/>
      <c r="E42" s="259"/>
      <c r="F42" s="259"/>
      <c r="G42" s="259"/>
      <c r="H42" s="259"/>
      <c r="I42" s="275"/>
      <c r="J42" s="275"/>
      <c r="K42" s="275"/>
      <c r="L42" s="275"/>
      <c r="M42" s="275"/>
      <c r="N42" s="275"/>
      <c r="O42" s="275"/>
      <c r="P42" s="275"/>
      <c r="Q42" s="275"/>
      <c r="R42" s="275"/>
      <c r="S42" s="275"/>
      <c r="T42" s="316" t="s">
        <v>719</v>
      </c>
      <c r="U42" s="275"/>
      <c r="V42" s="275" t="s">
        <v>724</v>
      </c>
      <c r="W42" s="600">
        <f>W39/W35-1</f>
        <v>-1.767272934124875E-2</v>
      </c>
      <c r="X42" s="275"/>
      <c r="Y42" s="275"/>
      <c r="Z42" s="275"/>
      <c r="AA42" s="275"/>
      <c r="AC42" s="259"/>
      <c r="AD42" s="259"/>
      <c r="AE42" s="316"/>
      <c r="AF42" s="316"/>
      <c r="AG42" s="259" t="s">
        <v>717</v>
      </c>
      <c r="AH42" s="606">
        <f>AM39</f>
        <v>0</v>
      </c>
      <c r="AI42" s="316"/>
      <c r="AJ42" s="316"/>
      <c r="AK42" s="316"/>
      <c r="AS42" s="12" t="s">
        <v>745</v>
      </c>
    </row>
    <row r="43" spans="1:50" ht="14.5">
      <c r="B43" s="15"/>
      <c r="C43" s="284"/>
      <c r="D43" s="284"/>
      <c r="E43" s="284"/>
      <c r="F43" s="284"/>
      <c r="G43" s="284"/>
      <c r="H43" s="284"/>
      <c r="I43" s="284"/>
      <c r="J43" s="284"/>
      <c r="K43" s="284"/>
      <c r="L43" s="284"/>
      <c r="M43" s="284"/>
      <c r="N43" s="284"/>
      <c r="O43" s="284"/>
      <c r="P43" s="284"/>
      <c r="Q43" s="284"/>
      <c r="R43" s="284"/>
      <c r="S43" s="284"/>
      <c r="T43" s="601">
        <f>W34-W35</f>
        <v>2136.4105328333335</v>
      </c>
      <c r="U43" s="284"/>
      <c r="V43" s="275" t="s">
        <v>725</v>
      </c>
      <c r="W43" s="604">
        <f>W39-W35</f>
        <v>-91.401549999999588</v>
      </c>
      <c r="X43" s="284"/>
      <c r="Y43" s="284"/>
      <c r="Z43" s="284"/>
      <c r="AA43" s="284"/>
      <c r="AC43" s="258"/>
      <c r="AD43" s="258"/>
      <c r="AG43" s="12" t="s">
        <v>713</v>
      </c>
      <c r="AH43" s="607" t="e">
        <f>W39/AH42-1</f>
        <v>#DIV/0!</v>
      </c>
      <c r="AS43" s="12" t="s">
        <v>744</v>
      </c>
      <c r="AU43" s="731">
        <f>MIN(AU$9,AU$12,AU$20)</f>
        <v>3.2065526740300001</v>
      </c>
      <c r="AV43" s="731">
        <f>MIN(AV$9,AV$12,AV$20)</f>
        <v>3.9500396396396402</v>
      </c>
    </row>
    <row r="44" spans="1:50">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C44" s="27"/>
      <c r="AD44" s="27"/>
      <c r="AS44" s="12" t="s">
        <v>746</v>
      </c>
      <c r="AU44" s="731">
        <f>MAX(AU$9,AU$12,AU$20)</f>
        <v>5.3665489181399995</v>
      </c>
      <c r="AV44" s="731">
        <f>MAX(AV$9,AV$12,AV$20)</f>
        <v>4.42</v>
      </c>
    </row>
    <row r="45" spans="1:50">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c r="AS45" s="12" t="s">
        <v>749</v>
      </c>
      <c r="AW45" s="661"/>
      <c r="AX45" s="661">
        <f>AVERAGE(AX$9,AX$12,AX$20)</f>
        <v>-1.7194256503460237E-3</v>
      </c>
    </row>
    <row r="46" spans="1:50"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c r="AS46" s="12" t="s">
        <v>738</v>
      </c>
      <c r="AW46" s="661"/>
      <c r="AX46" s="661"/>
    </row>
    <row r="47" spans="1:50" ht="14.5">
      <c r="A47" s="295" t="str">
        <f t="shared" ref="A47:B66" si="52">A8</f>
        <v>TSX:K_2024_CEO</v>
      </c>
      <c r="B47" s="295" t="str">
        <f t="shared" si="52"/>
        <v>TSX:K</v>
      </c>
      <c r="C47" s="296" t="str">
        <f>_xll.ciqfunctions.udf.CIQ(B47,"IQ_COMPANY_NAME")</f>
        <v>Kinross Gold Corporation</v>
      </c>
      <c r="E47" s="14"/>
      <c r="F47" s="14"/>
      <c r="G47" s="294" t="s">
        <v>661</v>
      </c>
      <c r="H47" s="303">
        <f t="shared" ref="H47:H66" si="53">IFERROR(INDEX(Raw_Data,MATCH($A47,Look_Up,0),MATCH(H$4,Component,0))/1000,"-")</f>
        <v>1700</v>
      </c>
      <c r="I47" s="303">
        <f>IFERROR(IF(G47="y",IF(H47&lt;&gt;"-",H47,INDEX(Raw_Data,MATCH($A47,Look_Up,0),MATCH(I$4,Component,0))/1000*(1+'Raw Data'!$G$13)),(INDEX(Raw_Data,MATCH($A47,Look_Up,0),MATCH(I$4,Component,0))/1000)),"-")</f>
        <v>1700</v>
      </c>
      <c r="J47" s="361"/>
      <c r="K47" s="361"/>
      <c r="L47" s="361"/>
      <c r="M47" s="303">
        <f t="shared" ref="M47:M66" si="54">IFERROR(I47*N8,"-")</f>
        <v>2550</v>
      </c>
      <c r="N47" s="362"/>
      <c r="O47" s="361"/>
      <c r="P47" s="303">
        <f>IFERROR(IF(SUM(M47,I47)=0,"-",SUM(M47,I47)),"-")</f>
        <v>4250</v>
      </c>
      <c r="Q47" s="361"/>
      <c r="R47" s="361"/>
      <c r="S47" s="361"/>
      <c r="T47" s="303">
        <f t="shared" ref="T47:T66" si="55">IFERROR(I47*U8,"-")</f>
        <v>4884.6671670372571</v>
      </c>
      <c r="U47" s="362"/>
      <c r="V47" s="361"/>
      <c r="W47" s="303">
        <f>IFERROR(IF(SUM(T47,P47)=0,"-",SUM(T47,P47)),"-")</f>
        <v>9134.6671670372561</v>
      </c>
      <c r="X47" s="362"/>
      <c r="Y47" s="361"/>
      <c r="Z47" s="361"/>
      <c r="AA47" s="303">
        <f t="shared" ref="AA47:AA66" si="56">IFERROR(IF(SUM(W47,X8,Y8)=0,"-",SUM(W47,X8,Y8)),"-")</f>
        <v>10274.522551397256</v>
      </c>
      <c r="AB47" s="661">
        <f>AA47/AA8-1</f>
        <v>4.4317142754968231E-2</v>
      </c>
      <c r="AS47" s="12" t="s">
        <v>744</v>
      </c>
      <c r="AU47" s="731">
        <f>MIN(AU$8,AU$10:AU$11,AU$13:AU$19,AU$21)</f>
        <v>2.3913823133129632</v>
      </c>
      <c r="AV47" s="731">
        <f>MIN(AV$8,AV$10:AV$11,AV$13:AV$19,AV$21)</f>
        <v>3.4874999999999998</v>
      </c>
      <c r="AW47" s="661"/>
      <c r="AX47" s="661"/>
    </row>
    <row r="48" spans="1:50" ht="14.5">
      <c r="A48" s="295" t="str">
        <f t="shared" si="52"/>
        <v>TSX:LUN_2024_CEO</v>
      </c>
      <c r="B48" s="295" t="str">
        <f t="shared" si="52"/>
        <v>TSX:LUN</v>
      </c>
      <c r="C48" s="296" t="str">
        <f>_xll.ciqfunctions.udf.CIQ(B48,"IQ_COMPANY_NAME")</f>
        <v>Lundin Mining Corporation</v>
      </c>
      <c r="E48" s="14"/>
      <c r="F48" s="14"/>
      <c r="G48" s="294" t="s">
        <v>661</v>
      </c>
      <c r="H48" s="262">
        <f t="shared" si="53"/>
        <v>850</v>
      </c>
      <c r="I48" s="262">
        <f>IFERROR(IF(G48="y",IF(H48&lt;&gt;"-",H48,INDEX(Raw_Data,MATCH($A48,Look_Up,0),MATCH(I$4,Component,0))/1000*(1+'Raw Data'!$G$13)),(INDEX(Raw_Data,MATCH($A48,Look_Up,0),MATCH(I$4,Component,0))/1000)),"-")</f>
        <v>850</v>
      </c>
      <c r="J48" s="361"/>
      <c r="K48" s="361"/>
      <c r="L48" s="361"/>
      <c r="M48" s="262">
        <f t="shared" si="54"/>
        <v>1020</v>
      </c>
      <c r="N48" s="362"/>
      <c r="O48" s="361"/>
      <c r="P48" s="262">
        <f t="shared" ref="P48:P66" si="57">IFERROR(IF(SUM(M48,I48)=0,"-",SUM(M48,I48)),"-")</f>
        <v>1870</v>
      </c>
      <c r="Q48" s="361"/>
      <c r="R48" s="361"/>
      <c r="S48" s="361"/>
      <c r="T48" s="262">
        <f t="shared" si="55"/>
        <v>2550</v>
      </c>
      <c r="U48" s="362"/>
      <c r="V48" s="361"/>
      <c r="W48" s="262">
        <f t="shared" ref="W48:W66" si="58">IFERROR(IF(SUM(T48,P48)=0,"-",SUM(T48,P48)),"-")</f>
        <v>4420</v>
      </c>
      <c r="X48" s="362"/>
      <c r="Y48" s="361"/>
      <c r="Z48" s="361"/>
      <c r="AA48" s="262">
        <f t="shared" si="56"/>
        <v>4465.7677885100002</v>
      </c>
      <c r="AB48" s="661">
        <f t="shared" ref="AB48:AB60" si="59">AA48/AA9-1</f>
        <v>0</v>
      </c>
      <c r="AS48" s="12" t="s">
        <v>746</v>
      </c>
      <c r="AU48" s="731">
        <f>MAX(AU$8,AU$10:AU$11,AU$13:AU$19,AU$21)</f>
        <v>9.3448457655300015</v>
      </c>
      <c r="AV48" s="731">
        <f>MAX(AV$8,AV$10:AV$11,AV$13:AV$19,AV$21)</f>
        <v>8.6986526040203103</v>
      </c>
      <c r="AW48" s="661"/>
      <c r="AX48" s="661"/>
    </row>
    <row r="49" spans="1:50" ht="14.5">
      <c r="A49" s="295" t="str">
        <f t="shared" si="52"/>
        <v>TSX:AGI_2024_CEO</v>
      </c>
      <c r="B49" s="295" t="str">
        <f t="shared" si="52"/>
        <v>TSX:AGI</v>
      </c>
      <c r="C49" s="296" t="str">
        <f>_xll.ciqfunctions.udf.CIQ(B49,"IQ_COMPANY_NAME")</f>
        <v>Alamos Gold Inc.</v>
      </c>
      <c r="E49" s="14"/>
      <c r="F49" s="14"/>
      <c r="G49" s="294" t="s">
        <v>661</v>
      </c>
      <c r="H49" s="262" t="str">
        <f t="shared" si="53"/>
        <v>-</v>
      </c>
      <c r="I49" s="262">
        <f>IFERROR(IF(G49="y",IF(H49&lt;&gt;"-",H49,INDEX(Raw_Data,MATCH($A49,Look_Up,0),MATCH(I$4,Component,0))/1000*(1+'Raw Data'!$G$13)),(INDEX(Raw_Data,MATCH($A49,Look_Up,0),MATCH(I$4,Component,0))/1000)),"-")</f>
        <v>1107.25</v>
      </c>
      <c r="J49" s="361"/>
      <c r="K49" s="361"/>
      <c r="L49" s="361"/>
      <c r="M49" s="262">
        <f t="shared" si="54"/>
        <v>1384.0625</v>
      </c>
      <c r="N49" s="362"/>
      <c r="O49" s="361"/>
      <c r="P49" s="262">
        <f t="shared" si="57"/>
        <v>2491.3125</v>
      </c>
      <c r="Q49" s="361"/>
      <c r="R49" s="361"/>
      <c r="S49" s="361"/>
      <c r="T49" s="262">
        <f t="shared" si="55"/>
        <v>3044.9375</v>
      </c>
      <c r="U49" s="362"/>
      <c r="V49" s="361"/>
      <c r="W49" s="262">
        <f t="shared" si="58"/>
        <v>5536.25</v>
      </c>
      <c r="X49" s="362"/>
      <c r="Y49" s="361"/>
      <c r="Z49" s="361"/>
      <c r="AA49" s="262">
        <f t="shared" si="56"/>
        <v>5965.5448135500001</v>
      </c>
      <c r="AB49" s="661">
        <f t="shared" si="59"/>
        <v>2.778115260850722E-2</v>
      </c>
      <c r="AS49" s="12" t="s">
        <v>749</v>
      </c>
      <c r="AW49" s="661"/>
      <c r="AX49" s="661">
        <f>AVERAGE(AX$8,AX$10:AX$11,AX$13:AX$19,AX$21)</f>
        <v>-5.79729384402526E-2</v>
      </c>
    </row>
    <row r="50" spans="1:50" ht="14.5">
      <c r="A50" s="295" t="str">
        <f t="shared" si="52"/>
        <v>TSX:PAAS_2024_CEO</v>
      </c>
      <c r="B50" s="295" t="str">
        <f t="shared" si="52"/>
        <v>TSX:PAAS</v>
      </c>
      <c r="C50" s="296" t="str">
        <f>_xll.ciqfunctions.udf.CIQ(B50,"IQ_COMPANY_NAME")</f>
        <v>Pan American Silver Corp.</v>
      </c>
      <c r="G50" s="294" t="s">
        <v>661</v>
      </c>
      <c r="H50" s="262" t="str">
        <f t="shared" si="53"/>
        <v>-</v>
      </c>
      <c r="I50" s="262">
        <f>IFERROR(IF(G50="y",IF(H50&lt;&gt;"-",H50,INDEX(Raw_Data,MATCH($A50,Look_Up,0),MATCH(I$4,Component,0))/1000*(1+'Raw Data'!$G$13)),(INDEX(Raw_Data,MATCH($A50,Look_Up,0),MATCH(I$4,Component,0))/1000)),"-")</f>
        <v>1553.24</v>
      </c>
      <c r="J50" s="362"/>
      <c r="K50" s="362"/>
      <c r="L50" s="362"/>
      <c r="M50" s="262">
        <f t="shared" si="54"/>
        <v>1941.55</v>
      </c>
      <c r="N50" s="362"/>
      <c r="O50" s="362"/>
      <c r="P50" s="262">
        <f t="shared" si="57"/>
        <v>3494.79</v>
      </c>
      <c r="Q50" s="362"/>
      <c r="R50" s="362"/>
      <c r="S50" s="362"/>
      <c r="T50" s="262">
        <f t="shared" si="55"/>
        <v>4426.7340000000004</v>
      </c>
      <c r="U50" s="362"/>
      <c r="V50" s="362"/>
      <c r="W50" s="262">
        <f t="shared" si="58"/>
        <v>7921.5240000000003</v>
      </c>
      <c r="X50" s="362"/>
      <c r="Y50" s="362"/>
      <c r="Z50" s="362"/>
      <c r="AA50" s="262">
        <f t="shared" si="56"/>
        <v>8600.1239999999998</v>
      </c>
      <c r="AB50" s="661">
        <f t="shared" si="59"/>
        <v>2.7567567567567508E-2</v>
      </c>
    </row>
    <row r="51" spans="1:50" ht="14.5">
      <c r="A51" s="295" t="str">
        <f t="shared" si="52"/>
        <v>TSX:CS_2024_CEO</v>
      </c>
      <c r="B51" s="295" t="str">
        <f t="shared" si="52"/>
        <v>TSX:CS</v>
      </c>
      <c r="C51" s="296" t="str">
        <f>_xll.ciqfunctions.udf.CIQ(B51,"IQ_COMPANY_NAME")</f>
        <v>Capstone Copper Corp.</v>
      </c>
      <c r="G51" s="294" t="s">
        <v>661</v>
      </c>
      <c r="H51" s="262" t="str">
        <f t="shared" si="53"/>
        <v>-</v>
      </c>
      <c r="I51" s="262">
        <f>IFERROR(IF(G51="y",IF(H51&lt;&gt;"-",H51,INDEX(Raw_Data,MATCH($A51,Look_Up,0),MATCH(I$4,Component,0))/1000*(1+'Raw Data'!$G$13)),(INDEX(Raw_Data,MATCH($A51,Look_Up,0),MATCH(I$4,Component,0))/1000)),"-")</f>
        <v>988.80000000000007</v>
      </c>
      <c r="J51" s="362"/>
      <c r="K51" s="362"/>
      <c r="L51" s="362"/>
      <c r="M51" s="262">
        <f t="shared" si="54"/>
        <v>1087.68</v>
      </c>
      <c r="N51" s="362"/>
      <c r="O51" s="362"/>
      <c r="P51" s="262">
        <f t="shared" si="57"/>
        <v>2076.48</v>
      </c>
      <c r="Q51" s="362"/>
      <c r="R51" s="362"/>
      <c r="S51" s="362"/>
      <c r="T51" s="262">
        <f t="shared" si="55"/>
        <v>2472</v>
      </c>
      <c r="U51" s="362"/>
      <c r="V51" s="362"/>
      <c r="W51" s="262">
        <f t="shared" si="58"/>
        <v>4548.4799999999996</v>
      </c>
      <c r="X51" s="362"/>
      <c r="Y51" s="362"/>
      <c r="Z51" s="362"/>
      <c r="AA51" s="262">
        <f t="shared" si="56"/>
        <v>4676.78</v>
      </c>
      <c r="AB51" s="661">
        <f t="shared" si="59"/>
        <v>2.9153004863235132E-2</v>
      </c>
    </row>
    <row r="52" spans="1:50" ht="14.5">
      <c r="A52" s="295" t="str">
        <f t="shared" si="52"/>
        <v>TSX:IMG_2024_CEO</v>
      </c>
      <c r="B52" s="295" t="str">
        <f t="shared" si="52"/>
        <v>TSX:IMG</v>
      </c>
      <c r="C52" s="296" t="str">
        <f>_xll.ciqfunctions.udf.CIQ(B52,"IQ_COMPANY_NAME")</f>
        <v>IAMGOLD Corporation</v>
      </c>
      <c r="G52" s="294" t="s">
        <v>661</v>
      </c>
      <c r="H52" s="262" t="str">
        <f t="shared" si="53"/>
        <v>-</v>
      </c>
      <c r="I52" s="262">
        <f>IFERROR(IF(G52="y",IF(H52&lt;&gt;"-",H52,INDEX(Raw_Data,MATCH($A52,Look_Up,0),MATCH(I$4,Component,0))/1000*(1+'Raw Data'!$G$13)),(INDEX(Raw_Data,MATCH($A52,Look_Up,0),MATCH(I$4,Component,0))/1000)),"-")</f>
        <v>928.28750000000002</v>
      </c>
      <c r="J52" s="362"/>
      <c r="K52" s="362"/>
      <c r="L52" s="362"/>
      <c r="M52" s="262">
        <f t="shared" si="54"/>
        <v>1160.359375</v>
      </c>
      <c r="N52" s="362"/>
      <c r="O52" s="362"/>
      <c r="P52" s="262">
        <f t="shared" si="57"/>
        <v>2088.6468749999999</v>
      </c>
      <c r="Q52" s="362"/>
      <c r="R52" s="362"/>
      <c r="S52" s="362"/>
      <c r="T52" s="262">
        <f t="shared" si="55"/>
        <v>2320.71875</v>
      </c>
      <c r="U52" s="362"/>
      <c r="V52" s="362"/>
      <c r="W52" s="262">
        <f t="shared" si="58"/>
        <v>4409.3656250000004</v>
      </c>
      <c r="X52" s="362"/>
      <c r="Y52" s="362"/>
      <c r="Z52" s="362"/>
      <c r="AA52" s="262">
        <f t="shared" si="56"/>
        <v>4585.9246250000006</v>
      </c>
      <c r="AB52" s="661">
        <f t="shared" si="59"/>
        <v>2.8811716397309617E-2</v>
      </c>
    </row>
    <row r="53" spans="1:50" ht="14.5">
      <c r="A53" s="295" t="str">
        <f t="shared" si="52"/>
        <v>TSX:BTO_2024_CEO</v>
      </c>
      <c r="B53" s="295" t="str">
        <f t="shared" si="52"/>
        <v>TSX:BTO</v>
      </c>
      <c r="C53" s="296" t="str">
        <f>_xll.ciqfunctions.udf.CIQ(B53,"IQ_COMPANY_NAME")</f>
        <v>B2Gold Corp.</v>
      </c>
      <c r="G53" s="294" t="s">
        <v>661</v>
      </c>
      <c r="H53" s="262" t="str">
        <f t="shared" si="53"/>
        <v>-</v>
      </c>
      <c r="I53" s="262">
        <f>IFERROR(IF(G53="y",IF(H53&lt;&gt;"-",H53,INDEX(Raw_Data,MATCH($A53,Look_Up,0),MATCH(I$4,Component,0))/1000*(1+'Raw Data'!$G$13)),(INDEX(Raw_Data,MATCH($A53,Look_Up,0),MATCH(I$4,Component,0))/1000)),"-")</f>
        <v>1339</v>
      </c>
      <c r="J53" s="362"/>
      <c r="K53" s="362"/>
      <c r="L53" s="362"/>
      <c r="M53" s="262">
        <f t="shared" si="54"/>
        <v>1004.25</v>
      </c>
      <c r="N53" s="362"/>
      <c r="O53" s="362"/>
      <c r="P53" s="262">
        <f t="shared" si="57"/>
        <v>2343.25</v>
      </c>
      <c r="Q53" s="362"/>
      <c r="R53" s="362"/>
      <c r="S53" s="362"/>
      <c r="T53" s="262">
        <f t="shared" si="55"/>
        <v>5058.4444444444443</v>
      </c>
      <c r="U53" s="362"/>
      <c r="V53" s="362"/>
      <c r="W53" s="262">
        <f t="shared" si="58"/>
        <v>7401.6944444444443</v>
      </c>
      <c r="X53" s="362"/>
      <c r="Y53" s="362"/>
      <c r="Z53" s="362"/>
      <c r="AA53" s="262">
        <f t="shared" si="56"/>
        <v>7408.6464444444446</v>
      </c>
      <c r="AB53" s="661">
        <f t="shared" si="59"/>
        <v>2.9971005398287565E-2</v>
      </c>
    </row>
    <row r="54" spans="1:50" s="17" customFormat="1" ht="14.5">
      <c r="A54" s="295" t="str">
        <f t="shared" si="52"/>
        <v>NYSE:HL_2024_CEO</v>
      </c>
      <c r="B54" s="295" t="str">
        <f t="shared" si="52"/>
        <v>NYSE:HL</v>
      </c>
      <c r="C54" s="296" t="str">
        <f>_xll.ciqfunctions.udf.CIQ(B54,"IQ_COMPANY_NAME")</f>
        <v>Hecla Mining Company</v>
      </c>
      <c r="E54" s="22"/>
      <c r="F54" s="20"/>
      <c r="G54" s="294" t="s">
        <v>661</v>
      </c>
      <c r="H54" s="262" t="str">
        <f t="shared" si="53"/>
        <v>-</v>
      </c>
      <c r="I54" s="262">
        <f>IFERROR(IF(G54="y",IF(H54&lt;&gt;"-",H54,INDEX(Raw_Data,MATCH($A54,Look_Up,0),MATCH(I$4,Component,0))/1000*(1+'Raw Data'!$G$13)),(INDEX(Raw_Data,MATCH($A54,Look_Up,0),MATCH(I$4,Component,0))/1000)),"-")</f>
        <v>1199.5838350000001</v>
      </c>
      <c r="J54" s="22"/>
      <c r="K54" s="363"/>
      <c r="L54" s="363"/>
      <c r="M54" s="262">
        <f t="shared" si="54"/>
        <v>1319.5422185000002</v>
      </c>
      <c r="N54" s="364"/>
      <c r="O54" s="22"/>
      <c r="P54" s="262">
        <f t="shared" si="57"/>
        <v>2519.1260535000001</v>
      </c>
      <c r="Q54" s="21"/>
      <c r="R54" s="365"/>
      <c r="S54" s="365"/>
      <c r="T54" s="262">
        <f t="shared" si="55"/>
        <v>4509.0239445000007</v>
      </c>
      <c r="U54" s="364"/>
      <c r="V54" s="22"/>
      <c r="W54" s="262">
        <f t="shared" si="58"/>
        <v>7028.1499980000008</v>
      </c>
      <c r="X54" s="364"/>
      <c r="Y54" s="22"/>
      <c r="Z54" s="22"/>
      <c r="AA54" s="262">
        <f t="shared" si="56"/>
        <v>7032.4287344277782</v>
      </c>
      <c r="AB54" s="661">
        <f t="shared" si="59"/>
        <v>2.9981199874554498E-2</v>
      </c>
      <c r="AC54" s="19"/>
      <c r="AD54" s="19"/>
    </row>
    <row r="55" spans="1:50" ht="14.5">
      <c r="A55" s="295" t="str">
        <f t="shared" si="52"/>
        <v>TSX:NGD_2024_CEO</v>
      </c>
      <c r="B55" s="295" t="str">
        <f t="shared" si="52"/>
        <v>TSX:NGD</v>
      </c>
      <c r="C55" s="296" t="str">
        <f>_xll.ciqfunctions.udf.CIQ(B55,"IQ_COMPANY_NAME")</f>
        <v>New Gold Inc.</v>
      </c>
      <c r="G55" s="294" t="s">
        <v>661</v>
      </c>
      <c r="H55" s="262" t="str">
        <f t="shared" si="53"/>
        <v>-</v>
      </c>
      <c r="I55" s="262">
        <f>IFERROR(IF(G55="y",IF(H55&lt;&gt;"-",H55,INDEX(Raw_Data,MATCH($A55,Look_Up,0),MATCH(I$4,Component,0))/1000*(1+'Raw Data'!$G$13)),(INDEX(Raw_Data,MATCH($A55,Look_Up,0),MATCH(I$4,Component,0))/1000)),"-")</f>
        <v>875.5</v>
      </c>
      <c r="J55" s="366"/>
      <c r="K55" s="366"/>
      <c r="L55" s="366"/>
      <c r="M55" s="262">
        <f t="shared" si="54"/>
        <v>1138.1500000000001</v>
      </c>
      <c r="N55" s="362"/>
      <c r="O55" s="366"/>
      <c r="P55" s="262">
        <f t="shared" si="57"/>
        <v>2013.65</v>
      </c>
      <c r="Q55" s="366"/>
      <c r="R55" s="366"/>
      <c r="S55" s="366"/>
      <c r="T55" s="262">
        <f t="shared" si="55"/>
        <v>2188.75</v>
      </c>
      <c r="U55" s="362"/>
      <c r="V55" s="366"/>
      <c r="W55" s="262">
        <f t="shared" si="58"/>
        <v>4202.3999999999996</v>
      </c>
      <c r="X55" s="362"/>
      <c r="Y55" s="366"/>
      <c r="Z55" s="366"/>
      <c r="AA55" s="262">
        <f t="shared" si="56"/>
        <v>4218.1799999999994</v>
      </c>
      <c r="AB55" s="661">
        <f t="shared" si="59"/>
        <v>2.9884417620086756E-2</v>
      </c>
    </row>
    <row r="56" spans="1:50" ht="14.5">
      <c r="A56" s="295" t="str">
        <f t="shared" si="52"/>
        <v>TSX:ELD_2024_CEO</v>
      </c>
      <c r="B56" s="295" t="str">
        <f t="shared" si="52"/>
        <v>TSX:ELD</v>
      </c>
      <c r="C56" s="296" t="str">
        <f>_xll.ciqfunctions.udf.CIQ(B56,"IQ_COMPANY_NAME")</f>
        <v>Eldorado Gold Corporation</v>
      </c>
      <c r="G56" s="294" t="s">
        <v>661</v>
      </c>
      <c r="H56" s="262" t="str">
        <f t="shared" si="53"/>
        <v>-</v>
      </c>
      <c r="I56" s="262">
        <f>IFERROR(IF(G56="y",IF(H56&lt;&gt;"-",H56,INDEX(Raw_Data,MATCH($A56,Look_Up,0),MATCH(I$4,Component,0))/1000*(1+'Raw Data'!$G$13)),(INDEX(Raw_Data,MATCH($A56,Look_Up,0),MATCH(I$4,Component,0))/1000)),"-")</f>
        <v>1092.624</v>
      </c>
      <c r="J56" s="362"/>
      <c r="K56" s="362"/>
      <c r="L56" s="362"/>
      <c r="M56" s="262">
        <f t="shared" si="54"/>
        <v>1311.1487999999999</v>
      </c>
      <c r="N56" s="362"/>
      <c r="O56" s="362"/>
      <c r="P56" s="262">
        <f t="shared" si="57"/>
        <v>2403.7727999999997</v>
      </c>
      <c r="Q56" s="362"/>
      <c r="R56" s="362"/>
      <c r="S56" s="362"/>
      <c r="T56" s="262">
        <f t="shared" si="55"/>
        <v>2403.7728000000002</v>
      </c>
      <c r="U56" s="362"/>
      <c r="V56" s="362"/>
      <c r="W56" s="262">
        <f t="shared" si="58"/>
        <v>4807.5455999999995</v>
      </c>
      <c r="X56" s="362"/>
      <c r="Y56" s="362"/>
      <c r="Z56" s="362"/>
      <c r="AA56" s="262">
        <f t="shared" si="56"/>
        <v>5157.6095999999998</v>
      </c>
      <c r="AB56" s="661">
        <f t="shared" si="59"/>
        <v>2.7906976744185963E-2</v>
      </c>
    </row>
    <row r="57" spans="1:50" ht="14.5">
      <c r="A57" s="295" t="str">
        <f t="shared" si="52"/>
        <v>TSX:SSRM_2024_CEO</v>
      </c>
      <c r="B57" s="295" t="str">
        <f t="shared" si="52"/>
        <v>TSX:SSRM</v>
      </c>
      <c r="C57" s="296" t="str">
        <f>_xll.ciqfunctions.udf.CIQ(B57,"IQ_COMPANY_NAME")</f>
        <v>SSR Mining Inc.</v>
      </c>
      <c r="G57" s="294" t="s">
        <v>661</v>
      </c>
      <c r="H57" s="262" t="str">
        <f t="shared" si="53"/>
        <v>-</v>
      </c>
      <c r="I57" s="262">
        <f>IFERROR(IF(G57="y",IF(H57&lt;&gt;"-",H57,INDEX(Raw_Data,MATCH($A57,Look_Up,0),MATCH(I$4,Component,0))/1000*(1+'Raw Data'!$G$13)),(INDEX(Raw_Data,MATCH($A57,Look_Up,0),MATCH(I$4,Component,0))/1000)),"-")</f>
        <v>1517.1207325000003</v>
      </c>
      <c r="J57" s="362"/>
      <c r="K57" s="362"/>
      <c r="L57" s="362"/>
      <c r="M57" s="262">
        <f t="shared" si="54"/>
        <v>1744.6888423750001</v>
      </c>
      <c r="N57" s="362"/>
      <c r="O57" s="362"/>
      <c r="P57" s="262">
        <f t="shared" si="57"/>
        <v>3261.8095748750002</v>
      </c>
      <c r="Q57" s="362"/>
      <c r="R57" s="362"/>
      <c r="S57" s="362"/>
      <c r="T57" s="262">
        <f t="shared" si="55"/>
        <v>4551.3621975000005</v>
      </c>
      <c r="U57" s="362"/>
      <c r="V57" s="362"/>
      <c r="W57" s="262">
        <f t="shared" si="58"/>
        <v>7813.1717723750007</v>
      </c>
      <c r="X57" s="362"/>
      <c r="Y57" s="362"/>
      <c r="Z57" s="362"/>
      <c r="AA57" s="262">
        <f t="shared" si="56"/>
        <v>7850.9884643750011</v>
      </c>
      <c r="AB57" s="661">
        <f t="shared" si="59"/>
        <v>2.9851182184997826E-2</v>
      </c>
    </row>
    <row r="58" spans="1:50" ht="14.5">
      <c r="A58" s="295" t="str">
        <f t="shared" si="52"/>
        <v>TSX:OGC
_2024_CEO</v>
      </c>
      <c r="B58" s="295" t="str">
        <f t="shared" si="52"/>
        <v xml:space="preserve">TSX:OGC
</v>
      </c>
      <c r="C58" s="296" t="str">
        <f>_xll.ciqfunctions.udf.CIQ(B58,"IQ_COMPANY_NAME")</f>
        <v>OceanaGold Corporation</v>
      </c>
      <c r="G58" s="294" t="s">
        <v>661</v>
      </c>
      <c r="H58" s="262" t="str">
        <f t="shared" si="53"/>
        <v>-</v>
      </c>
      <c r="I58" s="262">
        <f>IFERROR(IF(G58="y",IF(H58&lt;&gt;"-",H58,INDEX(Raw_Data,MATCH($A58,Look_Up,0),MATCH(I$4,Component,0))/1000*(1+'Raw Data'!$G$13)),(INDEX(Raw_Data,MATCH($A58,Look_Up,0),MATCH(I$4,Component,0))/1000)),"-")</f>
        <v>959.02493782950012</v>
      </c>
      <c r="J58" s="362"/>
      <c r="K58" s="362"/>
      <c r="L58" s="362"/>
      <c r="M58" s="262">
        <f t="shared" si="54"/>
        <v>863.12244404655007</v>
      </c>
      <c r="N58" s="362"/>
      <c r="O58" s="362"/>
      <c r="P58" s="262">
        <f t="shared" si="57"/>
        <v>1822.1473818760501</v>
      </c>
      <c r="Q58" s="362"/>
      <c r="R58" s="362"/>
      <c r="S58" s="362"/>
      <c r="T58" s="262">
        <f t="shared" si="55"/>
        <v>3773.4908995010255</v>
      </c>
      <c r="U58" s="362"/>
      <c r="V58" s="362"/>
      <c r="W58" s="262">
        <f t="shared" si="58"/>
        <v>5595.6382813770761</v>
      </c>
      <c r="X58" s="362"/>
      <c r="Y58" s="362"/>
      <c r="Z58" s="362"/>
      <c r="AA58" s="262">
        <f t="shared" si="56"/>
        <v>5816.2329110370756</v>
      </c>
      <c r="AB58" s="661">
        <f t="shared" si="59"/>
        <v>2.8829375103495591E-2</v>
      </c>
    </row>
    <row r="59" spans="1:50" ht="14.5">
      <c r="A59" s="295" t="str">
        <f t="shared" si="52"/>
        <v>TSX:ERO_2024_CEO</v>
      </c>
      <c r="B59" s="295" t="str">
        <f t="shared" si="52"/>
        <v>TSX:ERO</v>
      </c>
      <c r="C59" s="296" t="str">
        <f>_xll.ciqfunctions.udf.CIQ(B59,"IQ_COMPANY_NAME")</f>
        <v>Ero Copper Corp.</v>
      </c>
      <c r="G59" s="294" t="s">
        <v>661</v>
      </c>
      <c r="H59" s="262" t="str">
        <f t="shared" si="53"/>
        <v>-</v>
      </c>
      <c r="I59" s="262">
        <f>IFERROR(IF(G59="y",IF(H59&lt;&gt;"-",H59,INDEX(Raw_Data,MATCH($A59,Look_Up,0),MATCH(I$4,Component,0))/1000*(1+'Raw Data'!$G$13)),(INDEX(Raw_Data,MATCH($A59,Look_Up,0),MATCH(I$4,Component,0))/1000)),"-")</f>
        <v>903.21606400000007</v>
      </c>
      <c r="J59" s="362"/>
      <c r="K59" s="362"/>
      <c r="L59" s="362"/>
      <c r="M59" s="262">
        <f t="shared" si="54"/>
        <v>903.21606400000007</v>
      </c>
      <c r="N59" s="362"/>
      <c r="O59" s="362"/>
      <c r="P59" s="262">
        <f t="shared" si="57"/>
        <v>1806.4321280000001</v>
      </c>
      <c r="Q59" s="362"/>
      <c r="R59" s="362"/>
      <c r="S59" s="362"/>
      <c r="T59" s="262">
        <f t="shared" si="55"/>
        <v>2262.1087008288291</v>
      </c>
      <c r="U59" s="362"/>
      <c r="V59" s="362"/>
      <c r="W59" s="262">
        <f t="shared" si="58"/>
        <v>4068.540828828829</v>
      </c>
      <c r="X59" s="362"/>
      <c r="Y59" s="362"/>
      <c r="Z59" s="362"/>
      <c r="AA59" s="262">
        <f t="shared" si="56"/>
        <v>4070.8303828988292</v>
      </c>
      <c r="AB59" s="661">
        <f t="shared" si="59"/>
        <v>2.9982621229474038E-2</v>
      </c>
    </row>
    <row r="60" spans="1:50" ht="14.5">
      <c r="A60" s="295" t="str">
        <f t="shared" si="52"/>
        <v>TSX:CG_2024_CEO</v>
      </c>
      <c r="B60" s="295" t="str">
        <f t="shared" si="52"/>
        <v>TSX:CG</v>
      </c>
      <c r="C60" s="296" t="str">
        <f>_xll.ciqfunctions.udf.CIQ(B60,"IQ_COMPANY_NAME")</f>
        <v>Centerra Gold Inc.</v>
      </c>
      <c r="G60" s="294" t="s">
        <v>661</v>
      </c>
      <c r="H60" s="262" t="str">
        <f t="shared" si="53"/>
        <v>-</v>
      </c>
      <c r="I60" s="262">
        <f>IFERROR(IF(G60="y",IF(H60&lt;&gt;"-",H60,INDEX(Raw_Data,MATCH($A60,Look_Up,0),MATCH(I$4,Component,0))/1000*(1+'Raw Data'!$G$13)),(INDEX(Raw_Data,MATCH($A60,Look_Up,0),MATCH(I$4,Component,0))/1000)),"-")</f>
        <v>772.5</v>
      </c>
      <c r="J60" s="362"/>
      <c r="K60" s="362"/>
      <c r="L60" s="362"/>
      <c r="M60" s="262">
        <f t="shared" si="54"/>
        <v>888.37499999999989</v>
      </c>
      <c r="N60" s="362"/>
      <c r="O60" s="362"/>
      <c r="P60" s="262">
        <f t="shared" si="57"/>
        <v>1660.875</v>
      </c>
      <c r="Q60" s="362"/>
      <c r="R60" s="362"/>
      <c r="S60" s="362"/>
      <c r="T60" s="262">
        <f t="shared" si="55"/>
        <v>1931.25</v>
      </c>
      <c r="U60" s="362"/>
      <c r="V60" s="362"/>
      <c r="W60" s="262">
        <f t="shared" si="58"/>
        <v>3592.125</v>
      </c>
      <c r="X60" s="362"/>
      <c r="Y60" s="362"/>
      <c r="Z60" s="362"/>
      <c r="AA60" s="262">
        <f t="shared" si="56"/>
        <v>3840.5749999999998</v>
      </c>
      <c r="AB60" s="661">
        <f t="shared" si="59"/>
        <v>2.8004925119447632E-2</v>
      </c>
    </row>
    <row r="61" spans="1:50" ht="14.5">
      <c r="A61" s="295" t="str">
        <f t="shared" si="52"/>
        <v>0_2024_CEO</v>
      </c>
      <c r="B61" s="295">
        <f t="shared" si="52"/>
        <v>0</v>
      </c>
      <c r="C61" s="296" t="str">
        <f>_xll.ciqfunctions.udf.CIQ(B61,"IQ_COMPANY_NAME")</f>
        <v>(Invalid Identifier)</v>
      </c>
      <c r="G61" s="294" t="s">
        <v>661</v>
      </c>
      <c r="H61" s="262" t="str">
        <f t="shared" si="53"/>
        <v>-</v>
      </c>
      <c r="I61" s="262" t="str">
        <f>IFERROR(IF(G61="y",IF(H61&lt;&gt;"-",H61,INDEX(Raw_Data,MATCH($A61,Look_Up,0),MATCH(I$4,Component,0))/1000*(1+'Raw Data'!$G$13)),(INDEX(Raw_Data,MATCH($A61,Look_Up,0),MATCH(I$4,Component,0))/1000)),"-")</f>
        <v>-</v>
      </c>
      <c r="J61" s="362"/>
      <c r="K61" s="362"/>
      <c r="L61" s="362"/>
      <c r="M61" s="262" t="str">
        <f t="shared" si="54"/>
        <v>-</v>
      </c>
      <c r="N61" s="362"/>
      <c r="O61" s="362"/>
      <c r="P61" s="262" t="str">
        <f t="shared" si="57"/>
        <v>-</v>
      </c>
      <c r="Q61" s="362"/>
      <c r="R61" s="362"/>
      <c r="S61" s="362"/>
      <c r="T61" s="262" t="str">
        <f t="shared" si="55"/>
        <v>-</v>
      </c>
      <c r="U61" s="362"/>
      <c r="V61" s="362"/>
      <c r="W61" s="262" t="str">
        <f t="shared" si="58"/>
        <v>-</v>
      </c>
      <c r="X61" s="362"/>
      <c r="Y61" s="362"/>
      <c r="Z61" s="362"/>
      <c r="AA61" s="262" t="str">
        <f t="shared" si="56"/>
        <v>-</v>
      </c>
      <c r="AB61" s="362"/>
    </row>
    <row r="62" spans="1:50" ht="14.5">
      <c r="A62" s="295" t="str">
        <f t="shared" si="52"/>
        <v>0_2024_CEO</v>
      </c>
      <c r="B62" s="295">
        <f t="shared" si="52"/>
        <v>0</v>
      </c>
      <c r="C62" s="296" t="str">
        <f>_xll.ciqfunctions.udf.CIQ(B62,"IQ_COMPANY_NAME")</f>
        <v>(Invalid Identifier)</v>
      </c>
      <c r="G62" s="294" t="s">
        <v>661</v>
      </c>
      <c r="H62" s="262" t="str">
        <f t="shared" si="53"/>
        <v>-</v>
      </c>
      <c r="I62" s="262" t="str">
        <f>IFERROR(IF(G62="y",IF(H62&lt;&gt;"-",H62,INDEX(Raw_Data,MATCH($A62,Look_Up,0),MATCH(I$4,Component,0))/1000*(1+'Raw Data'!$G$13)),(INDEX(Raw_Data,MATCH($A62,Look_Up,0),MATCH(I$4,Component,0))/1000)),"-")</f>
        <v>-</v>
      </c>
      <c r="J62" s="362"/>
      <c r="K62" s="362"/>
      <c r="L62" s="362"/>
      <c r="M62" s="262" t="str">
        <f t="shared" si="54"/>
        <v>-</v>
      </c>
      <c r="N62" s="362"/>
      <c r="O62" s="362"/>
      <c r="P62" s="262" t="str">
        <f t="shared" si="57"/>
        <v>-</v>
      </c>
      <c r="Q62" s="362"/>
      <c r="R62" s="362"/>
      <c r="S62" s="362"/>
      <c r="T62" s="262" t="str">
        <f t="shared" si="55"/>
        <v>-</v>
      </c>
      <c r="U62" s="362"/>
      <c r="V62" s="362"/>
      <c r="W62" s="262" t="str">
        <f t="shared" si="58"/>
        <v>-</v>
      </c>
      <c r="X62" s="362"/>
      <c r="Y62" s="362"/>
      <c r="Z62" s="362"/>
      <c r="AA62" s="262" t="str">
        <f t="shared" si="56"/>
        <v>-</v>
      </c>
      <c r="AB62" s="362"/>
    </row>
    <row r="63" spans="1:50" ht="14.5">
      <c r="A63" s="295" t="str">
        <f t="shared" si="52"/>
        <v>0_2024_CEO</v>
      </c>
      <c r="B63" s="295">
        <f t="shared" si="52"/>
        <v>0</v>
      </c>
      <c r="C63" s="296" t="str">
        <f>_xll.ciqfunctions.udf.CIQ(B63,"IQ_COMPANY_NAME")</f>
        <v>(Invalid Identifier)</v>
      </c>
      <c r="G63" s="294" t="s">
        <v>661</v>
      </c>
      <c r="H63" s="262" t="str">
        <f t="shared" si="53"/>
        <v>-</v>
      </c>
      <c r="I63" s="262" t="str">
        <f>IFERROR(IF(G63="y",IF(H63&lt;&gt;"-",H63,INDEX(Raw_Data,MATCH($A63,Look_Up,0),MATCH(I$4,Component,0))/1000*(1+'Raw Data'!$G$13)),(INDEX(Raw_Data,MATCH($A63,Look_Up,0),MATCH(I$4,Component,0))/1000)),"-")</f>
        <v>-</v>
      </c>
      <c r="J63" s="362"/>
      <c r="K63" s="362"/>
      <c r="L63" s="362"/>
      <c r="M63" s="262" t="str">
        <f t="shared" si="54"/>
        <v>-</v>
      </c>
      <c r="N63" s="362"/>
      <c r="O63" s="362"/>
      <c r="P63" s="262" t="str">
        <f t="shared" si="57"/>
        <v>-</v>
      </c>
      <c r="Q63" s="362"/>
      <c r="R63" s="362"/>
      <c r="S63" s="362"/>
      <c r="T63" s="262" t="str">
        <f t="shared" si="55"/>
        <v>-</v>
      </c>
      <c r="U63" s="362"/>
      <c r="V63" s="362"/>
      <c r="W63" s="262" t="str">
        <f t="shared" si="58"/>
        <v>-</v>
      </c>
      <c r="X63" s="362"/>
      <c r="Y63" s="362"/>
      <c r="Z63" s="362"/>
      <c r="AA63" s="262" t="str">
        <f t="shared" si="56"/>
        <v>-</v>
      </c>
      <c r="AB63" s="362"/>
    </row>
    <row r="64" spans="1:50" ht="14.5">
      <c r="A64" s="295" t="str">
        <f t="shared" si="52"/>
        <v>0_2024_CEO</v>
      </c>
      <c r="B64" s="295">
        <f t="shared" si="52"/>
        <v>0</v>
      </c>
      <c r="C64" s="296" t="str">
        <f>_xll.ciqfunctions.udf.CIQ(B64,"IQ_COMPANY_NAME")</f>
        <v>(Invalid Identifier)</v>
      </c>
      <c r="G64" s="294" t="s">
        <v>661</v>
      </c>
      <c r="H64" s="262" t="str">
        <f t="shared" si="53"/>
        <v>-</v>
      </c>
      <c r="I64" s="262" t="str">
        <f>IFERROR(IF(G64="y",IF(H64&lt;&gt;"-",H64,INDEX(Raw_Data,MATCH($A64,Look_Up,0),MATCH(I$4,Component,0))/1000*(1+'Raw Data'!$G$13)),(INDEX(Raw_Data,MATCH($A64,Look_Up,0),MATCH(I$4,Component,0))/1000)),"-")</f>
        <v>-</v>
      </c>
      <c r="J64" s="362"/>
      <c r="K64" s="362"/>
      <c r="L64" s="362"/>
      <c r="M64" s="262" t="str">
        <f t="shared" si="54"/>
        <v>-</v>
      </c>
      <c r="N64" s="362"/>
      <c r="O64" s="362"/>
      <c r="P64" s="262" t="str">
        <f t="shared" si="57"/>
        <v>-</v>
      </c>
      <c r="Q64" s="362"/>
      <c r="R64" s="362"/>
      <c r="S64" s="362"/>
      <c r="T64" s="262" t="str">
        <f t="shared" si="55"/>
        <v>-</v>
      </c>
      <c r="U64" s="362"/>
      <c r="V64" s="362"/>
      <c r="W64" s="262" t="str">
        <f t="shared" si="58"/>
        <v>-</v>
      </c>
      <c r="X64" s="362"/>
      <c r="Y64" s="362"/>
      <c r="Z64" s="362"/>
      <c r="AA64" s="262" t="str">
        <f t="shared" si="56"/>
        <v>-</v>
      </c>
      <c r="AB64" s="362"/>
    </row>
    <row r="65" spans="1:28" ht="14.5">
      <c r="A65" s="295" t="str">
        <f t="shared" si="52"/>
        <v>0_2024_CEO</v>
      </c>
      <c r="B65" s="295">
        <f t="shared" si="52"/>
        <v>0</v>
      </c>
      <c r="C65" s="296" t="str">
        <f>_xll.ciqfunctions.udf.CIQ(B65,"IQ_COMPANY_NAME")</f>
        <v>(Invalid Identifier)</v>
      </c>
      <c r="G65" s="294" t="s">
        <v>661</v>
      </c>
      <c r="H65" s="262" t="str">
        <f t="shared" si="53"/>
        <v>-</v>
      </c>
      <c r="I65" s="262" t="str">
        <f>IFERROR(IF(G65="y",IF(H65&lt;&gt;"-",H65,INDEX(Raw_Data,MATCH($A65,Look_Up,0),MATCH(I$4,Component,0))/1000*(1+'Raw Data'!$G$13)),(INDEX(Raw_Data,MATCH($A65,Look_Up,0),MATCH(I$4,Component,0))/1000)),"-")</f>
        <v>-</v>
      </c>
      <c r="J65" s="362"/>
      <c r="K65" s="362"/>
      <c r="L65" s="362"/>
      <c r="M65" s="262" t="str">
        <f t="shared" si="54"/>
        <v>-</v>
      </c>
      <c r="N65" s="362"/>
      <c r="O65" s="362"/>
      <c r="P65" s="262" t="str">
        <f t="shared" si="57"/>
        <v>-</v>
      </c>
      <c r="Q65" s="362"/>
      <c r="R65" s="362"/>
      <c r="S65" s="362"/>
      <c r="T65" s="262" t="str">
        <f t="shared" si="55"/>
        <v>-</v>
      </c>
      <c r="U65" s="362"/>
      <c r="V65" s="362"/>
      <c r="W65" s="262" t="str">
        <f t="shared" si="58"/>
        <v>-</v>
      </c>
      <c r="X65" s="362"/>
      <c r="Y65" s="362"/>
      <c r="Z65" s="362"/>
      <c r="AA65" s="262" t="str">
        <f t="shared" si="56"/>
        <v>-</v>
      </c>
      <c r="AB65" s="362"/>
    </row>
    <row r="66" spans="1:28" ht="14.5">
      <c r="A66" s="295" t="str">
        <f t="shared" si="52"/>
        <v>0_2024_CEO</v>
      </c>
      <c r="B66" s="295">
        <f t="shared" si="52"/>
        <v>0</v>
      </c>
      <c r="C66" s="296" t="str">
        <f>_xll.ciqfunctions.udf.CIQ(B66,"IQ_COMPANY_NAME")</f>
        <v>(Invalid Identifier)</v>
      </c>
      <c r="G66" s="294" t="s">
        <v>661</v>
      </c>
      <c r="H66" s="304" t="str">
        <f t="shared" si="53"/>
        <v>-</v>
      </c>
      <c r="I66" s="262" t="str">
        <f>IFERROR(IF(G66="y",IF(H66&lt;&gt;"-",H66,INDEX(Raw_Data,MATCH($A66,Look_Up,0),MATCH(I$4,Component,0))/1000*(1+'Raw Data'!$G$13)),(INDEX(Raw_Data,MATCH($A66,Look_Up,0),MATCH(I$4,Component,0))/1000)),"-")</f>
        <v>-</v>
      </c>
      <c r="J66" s="362"/>
      <c r="K66" s="362"/>
      <c r="L66" s="362"/>
      <c r="M66" s="262" t="str">
        <f t="shared" si="54"/>
        <v>-</v>
      </c>
      <c r="N66" s="362"/>
      <c r="O66" s="362"/>
      <c r="P66" s="304" t="str">
        <f t="shared" si="57"/>
        <v>-</v>
      </c>
      <c r="Q66" s="362"/>
      <c r="R66" s="362"/>
      <c r="S66" s="362"/>
      <c r="T66" s="262" t="str">
        <f t="shared" si="55"/>
        <v>-</v>
      </c>
      <c r="U66" s="362"/>
      <c r="V66" s="362"/>
      <c r="W66" s="304" t="str">
        <f t="shared" si="58"/>
        <v>-</v>
      </c>
      <c r="X66" s="362"/>
      <c r="Y66" s="362"/>
      <c r="Z66" s="362"/>
      <c r="AA66" s="304" t="str">
        <f t="shared" si="56"/>
        <v>-</v>
      </c>
      <c r="AB66" s="362"/>
    </row>
    <row r="67" spans="1:28" ht="14.5">
      <c r="A67" s="15"/>
      <c r="B67" s="15"/>
      <c r="I67" s="288"/>
      <c r="M67" s="288"/>
      <c r="P67" s="288"/>
      <c r="T67" s="288"/>
      <c r="W67" s="288"/>
      <c r="AA67" s="288"/>
    </row>
    <row r="68" spans="1:28" ht="14.5">
      <c r="A68" s="15"/>
      <c r="B68" s="15"/>
      <c r="I68" s="262">
        <f>PERCENTILE(I$47:I$66,$B29)</f>
        <v>1304.1459587500001</v>
      </c>
      <c r="M68" s="262">
        <f>PERCENTILE(M$47:M$66,$B29)</f>
        <v>1367.9324296250002</v>
      </c>
      <c r="P68" s="262">
        <f>PERCENTILE(P$47:P$66,$B29)</f>
        <v>2512.1726651250001</v>
      </c>
      <c r="T68" s="262">
        <f>PERCENTILE(T$47:T$66,$B29)</f>
        <v>4488.4514583750006</v>
      </c>
      <c r="W68" s="262">
        <f>PERCENTILE(W$47:W$66,$B29)</f>
        <v>7308.3083328333332</v>
      </c>
      <c r="AA68" s="262">
        <f>PERCENTILE(AA$47:AA$66,$B29)</f>
        <v>7314.592016940278</v>
      </c>
    </row>
    <row r="69" spans="1:28" ht="14.5">
      <c r="A69" s="15"/>
      <c r="B69" s="15"/>
      <c r="I69" s="266">
        <f>PERCENTILE(I$47:I$66,$B30)</f>
        <v>1040.712</v>
      </c>
      <c r="M69" s="266">
        <f>PERCENTILE(M$47:M$66,$B30)</f>
        <v>1149.2546875</v>
      </c>
      <c r="P69" s="266">
        <f>PERCENTILE(P$47:P$66,$B30)</f>
        <v>2215.9484375000002</v>
      </c>
      <c r="T69" s="266">
        <f>PERCENTILE(T$47:T$66,$B30)</f>
        <v>2797.46875</v>
      </c>
      <c r="W69" s="266">
        <f>PERCENTILE(W$47:W$66,$B30)</f>
        <v>5171.8977999999997</v>
      </c>
      <c r="AA69" s="266">
        <f>PERCENTILE(AA$47:AA$66,$B30)</f>
        <v>5486.9212555185377</v>
      </c>
    </row>
    <row r="70" spans="1:28" ht="14.5">
      <c r="A70" s="15"/>
      <c r="B70" s="15"/>
      <c r="I70" s="262">
        <f>PERCENTILE(I$47:I$66,$B31)</f>
        <v>909.483923</v>
      </c>
      <c r="M70" s="262">
        <f>PERCENTILE(M$47:M$66,$B31)</f>
        <v>1008.1875</v>
      </c>
      <c r="P70" s="262">
        <f>PERCENTILE(P$47:P$66,$B31)</f>
        <v>1905.9124999999999</v>
      </c>
      <c r="T70" s="262">
        <f>PERCENTILE(T$47:T$66,$B31)</f>
        <v>2341.4822625000002</v>
      </c>
      <c r="W70" s="262">
        <f>PERCENTILE(W$47:W$66,$B31)</f>
        <v>4412.0242187500007</v>
      </c>
      <c r="AA70" s="262">
        <f>PERCENTILE(AA$47:AA$66,$B31)</f>
        <v>4495.8069976325005</v>
      </c>
    </row>
    <row r="71" spans="1:28" ht="14.5">
      <c r="A71" s="15"/>
      <c r="B71" s="15"/>
      <c r="I71" s="270">
        <f>AVERAGE(I47:I66)</f>
        <v>1127.5819335235356</v>
      </c>
      <c r="M71" s="270">
        <f>AVERAGE(M47:M66)</f>
        <v>1308.2960888515393</v>
      </c>
      <c r="P71" s="270">
        <f>AVERAGE(P47:P66)</f>
        <v>2435.8780223750755</v>
      </c>
      <c r="T71" s="270">
        <f>AVERAGE(T47:T66)</f>
        <v>3312.6614574151113</v>
      </c>
      <c r="W71" s="270">
        <f>AVERAGE(W47:W66)</f>
        <v>5748.5394797901872</v>
      </c>
      <c r="AA71" s="270">
        <f>AVERAGE(AA47:AA66)</f>
        <v>5997.4396654028842</v>
      </c>
    </row>
    <row r="72" spans="1:28">
      <c r="A72" s="15"/>
      <c r="B72" s="15"/>
    </row>
  </sheetData>
  <sortState xmlns:xlrd2="http://schemas.microsoft.com/office/spreadsheetml/2017/richdata2" ref="A8:AY21">
    <sortCondition descending="1" ref="E8:E21"/>
  </sortState>
  <mergeCells count="10">
    <mergeCell ref="X6:X7"/>
    <mergeCell ref="Y6:Y7"/>
    <mergeCell ref="Z6:AA6"/>
    <mergeCell ref="I6:I7"/>
    <mergeCell ref="H6:H7"/>
    <mergeCell ref="C6:C7"/>
    <mergeCell ref="D6:D7"/>
    <mergeCell ref="E6:E7"/>
    <mergeCell ref="F6:F7"/>
    <mergeCell ref="G6:G7"/>
  </mergeCells>
  <conditionalFormatting sqref="C8:AA27">
    <cfRule type="expression" dxfId="197" priority="2">
      <formula>MOD(ROW(),2)=0</formula>
    </cfRule>
  </conditionalFormatting>
  <conditionalFormatting sqref="C29:AA32">
    <cfRule type="expression" dxfId="196" priority="3">
      <formula>MOD(ROW(),2)=0</formula>
    </cfRule>
  </conditionalFormatting>
  <conditionalFormatting sqref="C34:AA37">
    <cfRule type="expression" dxfId="195" priority="1">
      <formula>MOD(ROW(),2)=0</formula>
    </cfRule>
  </conditionalFormatting>
  <conditionalFormatting sqref="H47:I66">
    <cfRule type="expression" dxfId="194" priority="105">
      <formula>MOD(ROW(),2)=0</formula>
    </cfRule>
  </conditionalFormatting>
  <conditionalFormatting sqref="I68:I71">
    <cfRule type="expression" dxfId="193" priority="110">
      <formula>MOD(ROW(),2)=0</formula>
    </cfRule>
  </conditionalFormatting>
  <conditionalFormatting sqref="M47:M66">
    <cfRule type="expression" dxfId="192" priority="115">
      <formula>MOD(ROW(),2)=0</formula>
    </cfRule>
  </conditionalFormatting>
  <conditionalFormatting sqref="M68:M71">
    <cfRule type="expression" dxfId="191" priority="109">
      <formula>MOD(ROW(),2)=0</formula>
    </cfRule>
  </conditionalFormatting>
  <conditionalFormatting sqref="P47:P66">
    <cfRule type="expression" dxfId="190" priority="114">
      <formula>MOD(ROW(),2)=0</formula>
    </cfRule>
  </conditionalFormatting>
  <conditionalFormatting sqref="P68:P71">
    <cfRule type="expression" dxfId="189" priority="108">
      <formula>MOD(ROW(),2)=0</formula>
    </cfRule>
  </conditionalFormatting>
  <conditionalFormatting sqref="T47:T66">
    <cfRule type="expression" dxfId="188" priority="111">
      <formula>MOD(ROW(),2)=0</formula>
    </cfRule>
  </conditionalFormatting>
  <conditionalFormatting sqref="T68:T71">
    <cfRule type="expression" dxfId="187" priority="107">
      <formula>MOD(ROW(),2)=0</formula>
    </cfRule>
  </conditionalFormatting>
  <conditionalFormatting sqref="W47:W66">
    <cfRule type="expression" dxfId="186" priority="98">
      <formula>MOD(ROW(),2)=0</formula>
    </cfRule>
  </conditionalFormatting>
  <conditionalFormatting sqref="W68:W71">
    <cfRule type="expression" dxfId="185" priority="106">
      <formula>MOD(ROW(),2)=0</formula>
    </cfRule>
  </conditionalFormatting>
  <conditionalFormatting sqref="AA47:AA66">
    <cfRule type="expression" dxfId="184" priority="91">
      <formula>MOD(ROW(),2)=0</formula>
    </cfRule>
  </conditionalFormatting>
  <conditionalFormatting sqref="AA68:AA71">
    <cfRule type="expression" dxfId="183" priority="93">
      <formula>MOD(ROW(),2)=0</formula>
    </cfRule>
  </conditionalFormatting>
  <conditionalFormatting sqref="AC8:AD27">
    <cfRule type="expression" dxfId="182" priority="24">
      <formula>MOD(ROW(),2)=0</formula>
    </cfRule>
  </conditionalFormatting>
  <conditionalFormatting sqref="AC29:AD37">
    <cfRule type="expression" dxfId="181" priority="23">
      <formula>MOD(ROW(),2)=0</formula>
    </cfRule>
  </conditionalFormatting>
  <conditionalFormatting sqref="AL8:AM8 AL9 AL10:AM14 AL15 AL16:AM21">
    <cfRule type="expression" dxfId="180" priority="18">
      <formula>MOD(ROW(),2)=0</formula>
    </cfRule>
  </conditionalFormatting>
  <conditionalFormatting sqref="AL8:AM21">
    <cfRule type="expression" dxfId="179" priority="17">
      <formula>$AJ8="Y"</formula>
    </cfRule>
  </conditionalFormatting>
  <conditionalFormatting sqref="AL29:AM33">
    <cfRule type="expression" dxfId="178" priority="19">
      <formula>MOD(ROW(),2)=0</formula>
    </cfRule>
  </conditionalFormatting>
  <conditionalFormatting sqref="AN8:AN27">
    <cfRule type="expression" dxfId="177" priority="57">
      <formula>MOD(ROW(),2)=0</formula>
    </cfRule>
  </conditionalFormatting>
  <conditionalFormatting sqref="AN29:AN32">
    <cfRule type="expression" dxfId="176" priority="73">
      <formula>MOD(ROW(),2)=0</formula>
    </cfRule>
  </conditionalFormatting>
  <dataValidations disablePrompts="1" count="1">
    <dataValidation type="list" allowBlank="1" showInputMessage="1" showErrorMessage="1" sqref="G47:G66" xr:uid="{7D8C31F1-39FD-42D7-ADE6-410D00B96486}">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6EEC-8851-43FF-A0DC-314DC040B883}">
  <sheetPr>
    <tabColor theme="3"/>
    <pageSetUpPr fitToPage="1"/>
  </sheetPr>
  <dimension ref="A1:AP72"/>
  <sheetViews>
    <sheetView topLeftCell="A5" zoomScale="70" zoomScaleNormal="70" workbookViewId="0">
      <selection activeCell="AA40" sqref="AA40"/>
    </sheetView>
  </sheetViews>
  <sheetFormatPr defaultColWidth="9.1796875" defaultRowHeight="14" outlineLevelRow="1" outlineLevelCol="3"/>
  <cols>
    <col min="1" max="1" width="10.453125" style="12" bestFit="1" customWidth="1"/>
    <col min="2" max="2" width="8.1796875" style="12" customWidth="1"/>
    <col min="3" max="3" width="28.7265625" style="12" customWidth="1"/>
    <col min="4" max="5" width="14.453125" style="12" hidden="1" customWidth="1" outlineLevel="1"/>
    <col min="6" max="6" width="23.81640625" style="12" bestFit="1" customWidth="1" outlineLevel="1"/>
    <col min="7" max="7" width="21.453125" style="12" bestFit="1" customWidth="1"/>
    <col min="8" max="8" width="5.7265625" style="12" hidden="1" customWidth="1" outlineLevel="1"/>
    <col min="9" max="9" width="10.54296875" style="12" customWidth="1" collapsed="1"/>
    <col min="10" max="10" width="11.1796875" style="12" hidden="1" customWidth="1" outlineLevel="1"/>
    <col min="11" max="11" width="11.7265625" style="12" hidden="1" customWidth="1" outlineLevel="1"/>
    <col min="12" max="12" width="12.453125" style="12" hidden="1" customWidth="1" outlineLevel="1"/>
    <col min="13" max="13" width="10.54296875" style="12" customWidth="1" collapsed="1"/>
    <col min="14" max="16" width="10.54296875" style="12" customWidth="1"/>
    <col min="17" max="18" width="11.1796875" style="12" hidden="1" customWidth="1" outlineLevel="1"/>
    <col min="19" max="19" width="12.26953125" style="12" hidden="1" customWidth="1" outlineLevel="1"/>
    <col min="20" max="20" width="10.54296875" style="12" customWidth="1" collapsed="1"/>
    <col min="21" max="23" width="10.5429687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3" width="31" style="12" hidden="1" customWidth="1" outlineLevel="1"/>
    <col min="34"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106</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CFO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07" t="s">
        <v>22</v>
      </c>
      <c r="D6" s="1109" t="s">
        <v>21</v>
      </c>
      <c r="E6" s="1109" t="s">
        <v>20</v>
      </c>
      <c r="F6" s="1109" t="s">
        <v>19</v>
      </c>
      <c r="G6" s="1109" t="s">
        <v>18</v>
      </c>
      <c r="H6" s="1100" t="s">
        <v>114</v>
      </c>
      <c r="I6" s="1100" t="s">
        <v>17</v>
      </c>
      <c r="J6" s="899" t="s">
        <v>16</v>
      </c>
      <c r="K6" s="899"/>
      <c r="L6" s="899"/>
      <c r="M6" s="899" t="s">
        <v>16</v>
      </c>
      <c r="N6" s="899"/>
      <c r="O6" s="899" t="s">
        <v>15</v>
      </c>
      <c r="P6" s="899"/>
      <c r="Q6" s="899" t="s">
        <v>14</v>
      </c>
      <c r="R6" s="899"/>
      <c r="S6" s="899"/>
      <c r="T6" s="899" t="s">
        <v>14</v>
      </c>
      <c r="U6" s="899"/>
      <c r="V6" s="899" t="s">
        <v>656</v>
      </c>
      <c r="W6" s="899"/>
      <c r="X6" s="1102" t="s">
        <v>31</v>
      </c>
      <c r="Y6" s="1104" t="s">
        <v>245</v>
      </c>
      <c r="Z6" s="1104" t="s">
        <v>244</v>
      </c>
      <c r="AA6" s="1106"/>
      <c r="AB6" s="698"/>
      <c r="AC6" s="685" t="s">
        <v>12</v>
      </c>
      <c r="AD6" s="610"/>
      <c r="AE6" s="698">
        <v>2023</v>
      </c>
      <c r="AF6" s="699"/>
      <c r="AG6" s="688" t="s">
        <v>657</v>
      </c>
      <c r="AH6" s="689"/>
      <c r="AI6" s="689"/>
      <c r="AJ6" s="689"/>
      <c r="AK6" s="689"/>
      <c r="AL6" s="906" t="s">
        <v>657</v>
      </c>
      <c r="AM6" s="907"/>
      <c r="AN6" s="682"/>
    </row>
    <row r="7" spans="1:42" ht="20.149999999999999" customHeight="1">
      <c r="A7" s="52" t="s">
        <v>54</v>
      </c>
      <c r="B7" s="52" t="s">
        <v>25</v>
      </c>
      <c r="C7" s="1108"/>
      <c r="D7" s="1110" t="s">
        <v>21</v>
      </c>
      <c r="E7" s="1110" t="s">
        <v>20</v>
      </c>
      <c r="F7" s="1110" t="s">
        <v>19</v>
      </c>
      <c r="G7" s="1110" t="s">
        <v>18</v>
      </c>
      <c r="H7" s="1101" t="s">
        <v>17</v>
      </c>
      <c r="I7" s="1101" t="s">
        <v>17</v>
      </c>
      <c r="J7" s="901" t="s">
        <v>40</v>
      </c>
      <c r="K7" s="902" t="s">
        <v>51</v>
      </c>
      <c r="L7" s="902" t="s">
        <v>104</v>
      </c>
      <c r="M7" s="902" t="s">
        <v>42</v>
      </c>
      <c r="N7" s="901" t="s">
        <v>41</v>
      </c>
      <c r="O7" s="901" t="s">
        <v>53</v>
      </c>
      <c r="P7" s="901" t="s">
        <v>42</v>
      </c>
      <c r="Q7" s="902" t="s">
        <v>40</v>
      </c>
      <c r="R7" s="903" t="s">
        <v>52</v>
      </c>
      <c r="S7" s="903" t="s">
        <v>105</v>
      </c>
      <c r="T7" s="902" t="s">
        <v>42</v>
      </c>
      <c r="U7" s="904" t="s">
        <v>41</v>
      </c>
      <c r="V7" s="901" t="s">
        <v>40</v>
      </c>
      <c r="W7" s="901" t="s">
        <v>42</v>
      </c>
      <c r="X7" s="1103"/>
      <c r="Y7" s="1105"/>
      <c r="Z7" s="611" t="s">
        <v>40</v>
      </c>
      <c r="AA7" s="612" t="s">
        <v>42</v>
      </c>
      <c r="AB7" s="698"/>
      <c r="AC7" s="686" t="s">
        <v>11</v>
      </c>
      <c r="AD7" s="687" t="s">
        <v>10</v>
      </c>
      <c r="AE7" s="699" t="str">
        <f>AE6&amp;" Lookup"</f>
        <v>2023 Lookup</v>
      </c>
      <c r="AF7" s="699"/>
      <c r="AG7" s="691" t="s">
        <v>22</v>
      </c>
      <c r="AH7" s="692" t="s">
        <v>19</v>
      </c>
      <c r="AI7" s="692" t="s">
        <v>660</v>
      </c>
      <c r="AJ7" s="693" t="s">
        <v>658</v>
      </c>
      <c r="AK7" s="692" t="s">
        <v>18</v>
      </c>
      <c r="AL7" s="908" t="s">
        <v>40</v>
      </c>
      <c r="AM7" s="909" t="s">
        <v>42</v>
      </c>
      <c r="AN7" s="502" t="s">
        <v>659</v>
      </c>
    </row>
    <row r="8" spans="1:42" ht="20.25" customHeight="1">
      <c r="A8" s="12" t="str">
        <f t="shared" ref="A8:A21" si="0">$B8&amp;"_"&amp;$C$3&amp;"_"&amp;$C$2</f>
        <v>TSX:K_2024_CFO</v>
      </c>
      <c r="B8" s="12" t="str">
        <f>'Raw Data'!D5</f>
        <v>TSX:K</v>
      </c>
      <c r="C8" s="766" t="str">
        <f t="shared" ref="C8:C21" si="1">IFERROR(INDEX(Raw_Data,MATCH($A8,Look_Up,0),MATCH(C$4,Component,0)),"-")</f>
        <v>Kinross Gold Corporation</v>
      </c>
      <c r="D8" s="767">
        <f>_xll.ciqfunctions.udf.CIQ(B8, "IQ_MARKETCAP", $A$1,$A$2)</f>
        <v>26179.912</v>
      </c>
      <c r="E8" s="767">
        <f>_xll.ciqfunctions.udf.CIQ($B8, "IQ_TEV", $A$1,$A$2)</f>
        <v>27159.32229</v>
      </c>
      <c r="F8" s="768" t="str">
        <f t="shared" ref="F8:G21" si="2">IFERROR(INDEX(Raw_Data,MATCH($A8,Look_Up,0),MATCH(F$4,Component,0)),"-")</f>
        <v>Andrea S. Freeborough</v>
      </c>
      <c r="G8" s="768" t="str">
        <f t="shared" si="2"/>
        <v>EVP &amp; CFO</v>
      </c>
      <c r="H8" s="767">
        <f t="shared" ref="H8:J21" si="3">IFERROR(INDEX(Raw_Data,MATCH($A8,Look_Up,0),MATCH(H$4,Component,0))/1000,"-")</f>
        <v>670</v>
      </c>
      <c r="I8" s="767">
        <f t="shared" si="3"/>
        <v>618.97429750000015</v>
      </c>
      <c r="J8" s="769">
        <f t="shared" si="3"/>
        <v>671.22984096000005</v>
      </c>
      <c r="K8" s="770">
        <f t="shared" ref="K8:L21" si="4">IFERROR(INDEX(Raw_Data,MATCH($A8,Look_Up,0),MATCH(K$4,Component,0)),"-")</f>
        <v>1.0844228002213614</v>
      </c>
      <c r="L8" s="770">
        <f t="shared" si="4"/>
        <v>0.96822427790849686</v>
      </c>
      <c r="M8" s="771">
        <f t="shared" ref="M8:M21" si="5">IFERROR(INDEX(Raw_Data,MATCH($A8,Look_Up,0),MATCH(M$4,Component,0))/1000,"-")</f>
        <v>557.07686775000013</v>
      </c>
      <c r="N8" s="772">
        <f t="shared" ref="N8:N21" si="6">IFERROR(IF(INDEX(Raw_Data,MATCH($A8,Look_Up,0),MATCH(N$4,Component,0))="-",L8,INDEX(Raw_Data,MATCH($A8,Look_Up,0),MATCH(N$4,Component,0))),"-")</f>
        <v>0.9</v>
      </c>
      <c r="O8" s="769">
        <f t="shared" ref="O8:Q21" si="7">IFERROR(INDEX(Raw_Data,MATCH($A8,Look_Up,0),MATCH(O$4,Component,0))/1000,"-")</f>
        <v>1290.20413846</v>
      </c>
      <c r="P8" s="773">
        <f t="shared" si="7"/>
        <v>1176.0511652500002</v>
      </c>
      <c r="Q8" s="769">
        <f t="shared" si="7"/>
        <v>1289.3710751000001</v>
      </c>
      <c r="R8" s="770">
        <f t="shared" ref="R8:S21" si="8">IFERROR(INDEX(Raw_Data,MATCH($A8,Look_Up,0),MATCH(R$4,Component,0)),"-")</f>
        <v>2.0830769230769226</v>
      </c>
      <c r="S8" s="770">
        <f t="shared" si="8"/>
        <v>2.0110262825515424</v>
      </c>
      <c r="T8" s="771">
        <f t="shared" ref="T8:T21" si="9">IFERROR(INDEX(Raw_Data,MATCH($A8,Look_Up,0),MATCH(T$4,Component,0))/1000,"-")</f>
        <v>1244.7735804963775</v>
      </c>
      <c r="U8" s="772">
        <f t="shared" ref="U8:U21" si="10">IFERROR(IF(INDEX(Raw_Data,MATCH($A8,Look_Up,0),MATCH(U$4,Component,0))="-",S8,INDEX(Raw_Data,MATCH($A8,Look_Up,0),MATCH(U$4,Component,0))),"-")</f>
        <v>2.0110262825515424</v>
      </c>
      <c r="V8" s="769">
        <f t="shared" ref="V8:W21" si="11">IFERROR(INDEX(Raw_Data,MATCH($A8,Look_Up,0),MATCH(V$4,Component,0))/1000,"-")</f>
        <v>2579.5752135600001</v>
      </c>
      <c r="W8" s="774">
        <f t="shared" si="11"/>
        <v>2420.8247457463776</v>
      </c>
      <c r="X8" s="769">
        <f t="shared" ref="X8:Y21" si="12">IFERROR((INDEX(Raw_Data,MATCH($A8,Look_Up,0),MATCH(X$4,Component,0))/1000),"-")</f>
        <v>199.92972572000002</v>
      </c>
      <c r="Y8" s="774">
        <f t="shared" si="12"/>
        <v>108.52431485000001</v>
      </c>
      <c r="Z8" s="769">
        <f t="shared" ref="Z8:AA21" si="13">IFERROR(INDEX(Raw_Data,MATCH($A8,Look_Up,0),MATCH(Z$4,Component,0))/1000,"-")</f>
        <v>2888.02925413</v>
      </c>
      <c r="AA8" s="774">
        <f t="shared" si="13"/>
        <v>2729.278786316378</v>
      </c>
      <c r="AB8" s="775"/>
      <c r="AC8" s="776">
        <f t="shared" ref="AC8:AC21" si="14">IFERROR(P8/W8,0)</f>
        <v>0.4858059912500628</v>
      </c>
      <c r="AD8" s="777">
        <f t="shared" ref="AD8:AD21" si="15">IFERROR(T8/W8,0)</f>
        <v>0.51419400874993726</v>
      </c>
      <c r="AE8" s="778" t="str">
        <f t="shared" ref="AE8:AE21" si="16">B8&amp;"_"&amp;$AE$6&amp;"_"&amp;$C$2</f>
        <v>TSX:K_2023_CFO</v>
      </c>
      <c r="AF8" s="778"/>
      <c r="AG8" s="779" t="str" cm="1">
        <f t="array" ref="AG8">IFERROR(INDEX('Import 2023 Data'!$E$4:$I$113,_xlfn.XMATCH(CFO!$AE8,'Import 2023 Data'!$C$4:$C$113),_xlfn.XMATCH(CFO!AG$5,'Import 2023 Data'!$E$3:$I$3)),"-")</f>
        <v>Kinross Gold Corporation</v>
      </c>
      <c r="AH8" s="780" t="str" cm="1">
        <f t="array" ref="AH8">IFERROR(INDEX('Import 2023 Data'!$E$4:$I$113,_xlfn.XMATCH(CFO!$AE8,'Import 2023 Data'!$C$4:$C$113),_xlfn.XMATCH(CFO!AH$5,'Import 2023 Data'!$E$3:$I$3)),"-")</f>
        <v>Andrea S. Freeborough</v>
      </c>
      <c r="AI8" s="781" t="str">
        <f>IF(ISNUMBER(_xlfn.XMATCH(C8,'Import 2023 Data'!$E$4:$E$113)),"N","Y")</f>
        <v>N</v>
      </c>
      <c r="AJ8" s="781" t="str">
        <f t="shared" ref="AJ8:AJ21" si="17">IFERROR(IF(TRIM(LOWER(AH8))=TRIM(LOWER(F8)),"N","Y"),"-")</f>
        <v>N</v>
      </c>
      <c r="AK8" s="780" t="str" cm="1">
        <f t="array" ref="AK8">IFERROR(INDEX('Import 2023 Data'!$E$4:$I$113,_xlfn.XMATCH(CFO!$AE8,'Import 2023 Data'!$C$4:$C$113),_xlfn.XMATCH(CFO!AK$5,'Import 2023 Data'!$E$3:$I$3)),"-")</f>
        <v xml:space="preserve">EVP and CFO </v>
      </c>
      <c r="AL8" s="889" cm="1">
        <f t="array" ref="AL8">IFERROR(INDEX('Import 2023 Data'!$E$4:$I$113,_xlfn.XMATCH(CFO!$AE8,'Import 2023 Data'!$C$4:$C$113),_xlfn.XMATCH(CFO!AL$5,'Import 2023 Data'!$E$3:$I$3)),"-")</f>
        <v>2504.0633727599998</v>
      </c>
      <c r="AM8" s="890" cm="1">
        <f t="array" ref="AM8">IFERROR(INDEX('Import 2023 Data'!$E$4:$I$113,_xlfn.XMATCH(CFO!$AE8,'Import 2023 Data'!$C$4:$C$113),_xlfn.XMATCH(CFO!AM$5,'Import 2023 Data'!$E$3:$I$3)),"-")</f>
        <v>2405.7995411421284</v>
      </c>
      <c r="AN8" s="733">
        <f>IF(AJ8="N",IFERROR(W8/AM8-1,"-"),"-")</f>
        <v>6.2454100382429711E-3</v>
      </c>
    </row>
    <row r="9" spans="1:42" ht="20.25" customHeight="1">
      <c r="A9" s="12" t="str">
        <f t="shared" si="0"/>
        <v>TSX:LUN_2024_CFO</v>
      </c>
      <c r="B9" s="12" t="str">
        <f>'Raw Data'!D6</f>
        <v>TSX:LUN</v>
      </c>
      <c r="C9" s="766" t="str">
        <f t="shared" si="1"/>
        <v>Lundin Mining Corporation</v>
      </c>
      <c r="D9" s="767">
        <f>_xll.ciqfunctions.udf.CIQ(B9, "IQ_MARKETCAP", $A$1,$A$2)</f>
        <v>11855.56763</v>
      </c>
      <c r="E9" s="767">
        <f>_xll.ciqfunctions.udf.CIQ($B9, "IQ_TEV", $A$1,$A$2)</f>
        <v>16005.2402</v>
      </c>
      <c r="F9" s="768" t="str">
        <f t="shared" si="2"/>
        <v>Teitur Poulsen</v>
      </c>
      <c r="G9" s="768" t="str">
        <f t="shared" si="2"/>
        <v>CFO</v>
      </c>
      <c r="H9" s="767">
        <f t="shared" si="3"/>
        <v>758</v>
      </c>
      <c r="I9" s="767">
        <f t="shared" si="3"/>
        <v>725</v>
      </c>
      <c r="J9" s="769">
        <f t="shared" si="3"/>
        <v>1382.5768893500001</v>
      </c>
      <c r="K9" s="770">
        <f t="shared" si="4"/>
        <v>1.907002606</v>
      </c>
      <c r="L9" s="770">
        <f t="shared" si="4"/>
        <v>1.085287528607257</v>
      </c>
      <c r="M9" s="771">
        <f t="shared" si="5"/>
        <v>580</v>
      </c>
      <c r="N9" s="772">
        <f t="shared" si="6"/>
        <v>0.8</v>
      </c>
      <c r="O9" s="769">
        <f t="shared" si="7"/>
        <v>2107.5768893499999</v>
      </c>
      <c r="P9" s="773">
        <f t="shared" si="7"/>
        <v>1305</v>
      </c>
      <c r="Q9" s="769">
        <f t="shared" si="7"/>
        <v>1194.1346689100001</v>
      </c>
      <c r="R9" s="770">
        <f t="shared" si="8"/>
        <v>1.6470823019448275</v>
      </c>
      <c r="S9" s="770">
        <f t="shared" si="8"/>
        <v>1.5817898742619654</v>
      </c>
      <c r="T9" s="771">
        <f t="shared" si="9"/>
        <v>1146.7976588399249</v>
      </c>
      <c r="U9" s="772">
        <f t="shared" si="10"/>
        <v>1.5817898742619654</v>
      </c>
      <c r="V9" s="769">
        <f t="shared" si="11"/>
        <v>3301.7115582599999</v>
      </c>
      <c r="W9" s="774">
        <f t="shared" si="11"/>
        <v>2451.7976588399251</v>
      </c>
      <c r="X9" s="769" t="str">
        <f t="shared" si="12"/>
        <v>-</v>
      </c>
      <c r="Y9" s="774">
        <f t="shared" si="12"/>
        <v>140.1272859</v>
      </c>
      <c r="Z9" s="769">
        <f t="shared" si="13"/>
        <v>3441.83884416</v>
      </c>
      <c r="AA9" s="774">
        <f t="shared" si="13"/>
        <v>2591.9249447399252</v>
      </c>
      <c r="AB9" s="775"/>
      <c r="AC9" s="776">
        <f t="shared" si="14"/>
        <v>0.53226251982696826</v>
      </c>
      <c r="AD9" s="777">
        <f t="shared" si="15"/>
        <v>0.46773748017303163</v>
      </c>
      <c r="AE9" s="778" t="str">
        <f t="shared" si="16"/>
        <v>TSX:LUN_2023_CFO</v>
      </c>
      <c r="AF9" s="778"/>
      <c r="AG9" s="782" t="str" cm="1">
        <f t="array" ref="AG9">IFERROR(INDEX('Import 2023 Data'!$E$4:$I$113,_xlfn.XMATCH(CFO!$AE9,'Import 2023 Data'!$C$4:$C$113),_xlfn.XMATCH(CFO!AG$5,'Import 2023 Data'!$E$3:$I$3)),"-")</f>
        <v>Lundin Mining Corporation</v>
      </c>
      <c r="AH9" s="778" t="str" cm="1">
        <f t="array" ref="AH9">IFERROR(INDEX('Import 2023 Data'!$E$4:$I$113,_xlfn.XMATCH(CFO!$AE9,'Import 2023 Data'!$C$4:$C$113),_xlfn.XMATCH(CFO!AH$5,'Import 2023 Data'!$E$3:$I$3)),"-")</f>
        <v>Teitur Poulsen</v>
      </c>
      <c r="AI9" s="783" t="str">
        <f>IF(ISNUMBER(_xlfn.XMATCH(C9,'Import 2023 Data'!$E$4:$E$113)),"N","Y")</f>
        <v>N</v>
      </c>
      <c r="AJ9" s="783" t="str">
        <f t="shared" si="17"/>
        <v>N</v>
      </c>
      <c r="AK9" s="778" t="str" cm="1">
        <f t="array" ref="AK9">IFERROR(INDEX('Import 2023 Data'!$E$4:$I$113,_xlfn.XMATCH(CFO!$AE9,'Import 2023 Data'!$C$4:$C$113),_xlfn.XMATCH(CFO!AK$5,'Import 2023 Data'!$E$3:$I$3)),"-")</f>
        <v>CFO</v>
      </c>
      <c r="AL9" s="891" cm="1">
        <f t="array" ref="AL9">IFERROR(INDEX('Import 2023 Data'!$E$4:$I$113,_xlfn.XMATCH(CFO!$AE9,'Import 2023 Data'!$C$4:$C$113),_xlfn.XMATCH(CFO!AL$5,'Import 2023 Data'!$E$3:$I$3)),"-")</f>
        <v>2440.1167694000001</v>
      </c>
      <c r="AM9" s="892" cm="1">
        <f t="array" ref="AM9">IFERROR(INDEX('Import 2023 Data'!$E$4:$I$113,_xlfn.XMATCH(CFO!$AE9,'Import 2023 Data'!$C$4:$C$113),_xlfn.XMATCH(CFO!AM$5,'Import 2023 Data'!$E$3:$I$3)),"-")</f>
        <v>2478.811495908838</v>
      </c>
      <c r="AN9" s="733">
        <f t="shared" ref="AN9:AN21" si="18">IF(AJ9="N",IFERROR(W9/AM9-1,"-"),"-")</f>
        <v>-1.0897898897716862E-2</v>
      </c>
      <c r="AP9" s="734" t="s">
        <v>751</v>
      </c>
    </row>
    <row r="10" spans="1:42" ht="20.25" customHeight="1">
      <c r="A10" s="12" t="str">
        <f t="shared" si="0"/>
        <v>TSX:AGI_2024_CFO</v>
      </c>
      <c r="B10" s="12" t="str">
        <f>'Raw Data'!D7</f>
        <v>TSX:AGI</v>
      </c>
      <c r="C10" s="766" t="str">
        <f t="shared" si="1"/>
        <v>Alamos Gold Inc.</v>
      </c>
      <c r="D10" s="767">
        <f>_xll.ciqfunctions.udf.CIQ(B10, "IQ_MARKETCAP", $A$1,$A$2)</f>
        <v>15291.758599999999</v>
      </c>
      <c r="E10" s="767">
        <f>_xll.ciqfunctions.udf.CIQ($B10, "IQ_TEV", $A$1,$A$2)</f>
        <v>15239.87026</v>
      </c>
      <c r="F10" s="768" t="str">
        <f t="shared" si="2"/>
        <v>Gregory Fisher</v>
      </c>
      <c r="G10" s="768" t="str">
        <f t="shared" si="2"/>
        <v>CFO</v>
      </c>
      <c r="H10" s="767" t="str">
        <f t="shared" si="3"/>
        <v>-</v>
      </c>
      <c r="I10" s="767">
        <f t="shared" si="3"/>
        <v>520</v>
      </c>
      <c r="J10" s="769">
        <f t="shared" si="3"/>
        <v>534.87463307000007</v>
      </c>
      <c r="K10" s="770">
        <f t="shared" si="4"/>
        <v>1.0286050635961541</v>
      </c>
      <c r="L10" s="770">
        <f t="shared" si="4"/>
        <v>0.85468595496817967</v>
      </c>
      <c r="M10" s="771">
        <f t="shared" si="5"/>
        <v>442</v>
      </c>
      <c r="N10" s="772">
        <f t="shared" si="6"/>
        <v>0.85</v>
      </c>
      <c r="O10" s="769">
        <f t="shared" si="7"/>
        <v>1054.8746330700001</v>
      </c>
      <c r="P10" s="773">
        <f t="shared" si="7"/>
        <v>962</v>
      </c>
      <c r="Q10" s="769">
        <f t="shared" si="7"/>
        <v>769.38333908000004</v>
      </c>
      <c r="R10" s="770">
        <f t="shared" si="8"/>
        <v>1.4795833443846156</v>
      </c>
      <c r="S10" s="770">
        <f t="shared" si="8"/>
        <v>1.3284207779804895</v>
      </c>
      <c r="T10" s="771">
        <f t="shared" si="9"/>
        <v>806</v>
      </c>
      <c r="U10" s="772">
        <f t="shared" si="10"/>
        <v>1.55</v>
      </c>
      <c r="V10" s="769">
        <f t="shared" si="11"/>
        <v>1824.2579721500001</v>
      </c>
      <c r="W10" s="774">
        <f t="shared" si="11"/>
        <v>1768</v>
      </c>
      <c r="X10" s="769">
        <f t="shared" si="12"/>
        <v>126.61603953000001</v>
      </c>
      <c r="Y10" s="774">
        <f t="shared" si="12"/>
        <v>32.371636420000002</v>
      </c>
      <c r="Z10" s="769">
        <f t="shared" si="13"/>
        <v>1983.2456481000002</v>
      </c>
      <c r="AA10" s="774">
        <f t="shared" si="13"/>
        <v>1926.98767595</v>
      </c>
      <c r="AB10" s="775"/>
      <c r="AC10" s="776">
        <f t="shared" si="14"/>
        <v>0.54411764705882348</v>
      </c>
      <c r="AD10" s="777">
        <f t="shared" si="15"/>
        <v>0.45588235294117646</v>
      </c>
      <c r="AE10" s="778" t="str">
        <f t="shared" si="16"/>
        <v>TSX:AGI_2023_CFO</v>
      </c>
      <c r="AF10" s="778"/>
      <c r="AG10" s="782" t="str" cm="1">
        <f t="array" ref="AG10">IFERROR(INDEX('Import 2023 Data'!$E$4:$I$113,_xlfn.XMATCH(CFO!$AE10,'Import 2023 Data'!$C$4:$C$113),_xlfn.XMATCH(CFO!AG$5,'Import 2023 Data'!$E$3:$I$3)),"-")</f>
        <v>Alamos Gold Inc.</v>
      </c>
      <c r="AH10" s="778" t="str" cm="1">
        <f t="array" ref="AH10">IFERROR(INDEX('Import 2023 Data'!$E$4:$I$113,_xlfn.XMATCH(CFO!$AE10,'Import 2023 Data'!$C$4:$C$113),_xlfn.XMATCH(CFO!AH$5,'Import 2023 Data'!$E$3:$I$3)),"-")</f>
        <v>Gregory Fisher</v>
      </c>
      <c r="AI10" s="783" t="str">
        <f>IF(ISNUMBER(_xlfn.XMATCH(C10,'Import 2023 Data'!$E$4:$E$113)),"N","Y")</f>
        <v>N</v>
      </c>
      <c r="AJ10" s="783" t="str">
        <f t="shared" si="17"/>
        <v>N</v>
      </c>
      <c r="AK10" s="778" t="str" cm="1">
        <f t="array" ref="AK10">IFERROR(INDEX('Import 2023 Data'!$E$4:$I$113,_xlfn.XMATCH(CFO!$AE10,'Import 2023 Data'!$C$4:$C$113),_xlfn.XMATCH(CFO!AK$5,'Import 2023 Data'!$E$3:$I$3)),"-")</f>
        <v>CFO</v>
      </c>
      <c r="AL10" s="893" cm="1">
        <f t="array" ref="AL10">IFERROR(INDEX('Import 2023 Data'!$E$4:$I$113,_xlfn.XMATCH(CFO!$AE10,'Import 2023 Data'!$C$4:$C$113),_xlfn.XMATCH(CFO!AL$5,'Import 2023 Data'!$E$3:$I$3)),"-")</f>
        <v>1408.50680076</v>
      </c>
      <c r="AM10" s="894" cm="1">
        <f t="array" ref="AM10">IFERROR(INDEX('Import 2023 Data'!$E$4:$I$113,_xlfn.XMATCH(CFO!$AE10,'Import 2023 Data'!$C$4:$C$113),_xlfn.XMATCH(CFO!AM$5,'Import 2023 Data'!$E$3:$I$3)),"-")</f>
        <v>1367.626804988</v>
      </c>
      <c r="AN10" s="733">
        <f t="shared" si="18"/>
        <v>0.29275032746635365</v>
      </c>
      <c r="AP10" s="735" t="s">
        <v>752</v>
      </c>
    </row>
    <row r="11" spans="1:42" ht="20.25" customHeight="1">
      <c r="A11" s="12" t="str">
        <f t="shared" si="0"/>
        <v>TSX:PAAS_2024_CFO</v>
      </c>
      <c r="B11" s="12" t="str">
        <f>'Raw Data'!D8</f>
        <v>TSX:PAAS</v>
      </c>
      <c r="C11" s="766" t="str">
        <f t="shared" si="1"/>
        <v>Pan American Silver Corp.</v>
      </c>
      <c r="D11" s="767">
        <f>_xll.ciqfunctions.udf.CIQ(B11, "IQ_MARKETCAP", $A$1,$A$2)</f>
        <v>14762.84492</v>
      </c>
      <c r="E11" s="767">
        <f>_xll.ciqfunctions.udf.CIQ($B11, "IQ_TEV", $A$1,$A$2)</f>
        <v>14643.113660000001</v>
      </c>
      <c r="F11" s="768" t="str">
        <f t="shared" si="2"/>
        <v>Ignacio Couturier</v>
      </c>
      <c r="G11" s="768" t="str">
        <f t="shared" si="2"/>
        <v>CFO</v>
      </c>
      <c r="H11" s="767" t="str">
        <f t="shared" si="3"/>
        <v>-</v>
      </c>
      <c r="I11" s="767">
        <f t="shared" si="3"/>
        <v>575</v>
      </c>
      <c r="J11" s="769">
        <f t="shared" si="3"/>
        <v>507.73</v>
      </c>
      <c r="K11" s="770">
        <f t="shared" si="4"/>
        <v>0.88300869565217388</v>
      </c>
      <c r="L11" s="770">
        <f t="shared" si="4"/>
        <v>0.83123096872616331</v>
      </c>
      <c r="M11" s="771">
        <f t="shared" si="5"/>
        <v>460</v>
      </c>
      <c r="N11" s="772">
        <f t="shared" si="6"/>
        <v>0.8</v>
      </c>
      <c r="O11" s="769">
        <f t="shared" si="7"/>
        <v>1082.73</v>
      </c>
      <c r="P11" s="773">
        <f t="shared" si="7"/>
        <v>1035</v>
      </c>
      <c r="Q11" s="769">
        <f t="shared" si="7"/>
        <v>1035</v>
      </c>
      <c r="R11" s="770">
        <f t="shared" si="8"/>
        <v>1.8</v>
      </c>
      <c r="S11" s="770">
        <f t="shared" si="8"/>
        <v>1.4931567701304544</v>
      </c>
      <c r="T11" s="771">
        <f t="shared" si="9"/>
        <v>1035</v>
      </c>
      <c r="U11" s="772">
        <f t="shared" si="10"/>
        <v>1.8</v>
      </c>
      <c r="V11" s="769">
        <f t="shared" si="11"/>
        <v>2117.73</v>
      </c>
      <c r="W11" s="774">
        <f t="shared" si="11"/>
        <v>2070</v>
      </c>
      <c r="X11" s="769">
        <f t="shared" si="12"/>
        <v>143.75</v>
      </c>
      <c r="Y11" s="774" t="str">
        <f t="shared" si="12"/>
        <v>-</v>
      </c>
      <c r="Z11" s="769">
        <f t="shared" si="13"/>
        <v>2261.48</v>
      </c>
      <c r="AA11" s="774">
        <f t="shared" si="13"/>
        <v>2213.75</v>
      </c>
      <c r="AB11" s="775"/>
      <c r="AC11" s="776">
        <f t="shared" si="14"/>
        <v>0.5</v>
      </c>
      <c r="AD11" s="777">
        <f t="shared" si="15"/>
        <v>0.5</v>
      </c>
      <c r="AE11" s="778" t="str">
        <f t="shared" si="16"/>
        <v>TSX:PAAS_2023_CFO</v>
      </c>
      <c r="AF11" s="778"/>
      <c r="AG11" s="782" t="str" cm="1">
        <f t="array" ref="AG11">IFERROR(INDEX('Import 2023 Data'!$E$4:$I$113,_xlfn.XMATCH(CFO!$AE11,'Import 2023 Data'!$C$4:$C$113),_xlfn.XMATCH(CFO!AG$5,'Import 2023 Data'!$E$3:$I$3)),"-")</f>
        <v>Pan American Silver Corp.</v>
      </c>
      <c r="AH11" s="778" t="str" cm="1">
        <f t="array" ref="AH11">IFERROR(INDEX('Import 2023 Data'!$E$4:$I$113,_xlfn.XMATCH(CFO!$AE11,'Import 2023 Data'!$C$4:$C$113),_xlfn.XMATCH(CFO!AH$5,'Import 2023 Data'!$E$3:$I$3)),"-")</f>
        <v>Ignacio Couturier</v>
      </c>
      <c r="AI11" s="783" t="str">
        <f>IF(ISNUMBER(_xlfn.XMATCH(C11,'Import 2023 Data'!$E$4:$E$113)),"N","Y")</f>
        <v>N</v>
      </c>
      <c r="AJ11" s="783" t="str">
        <f t="shared" si="17"/>
        <v>N</v>
      </c>
      <c r="AK11" s="778" t="str" cm="1">
        <f t="array" ref="AK11">IFERROR(INDEX('Import 2023 Data'!$E$4:$I$113,_xlfn.XMATCH(CFO!$AE11,'Import 2023 Data'!$C$4:$C$113),_xlfn.XMATCH(CFO!AK$5,'Import 2023 Data'!$E$3:$I$3)),"-")</f>
        <v>CFO</v>
      </c>
      <c r="AL11" s="893" cm="1">
        <f t="array" ref="AL11">IFERROR(INDEX('Import 2023 Data'!$E$4:$I$113,_xlfn.XMATCH(CFO!$AE11,'Import 2023 Data'!$C$4:$C$113),_xlfn.XMATCH(CFO!AL$5,'Import 2023 Data'!$E$3:$I$3)),"-")</f>
        <v>1792.39</v>
      </c>
      <c r="AM11" s="894" cm="1">
        <f t="array" ref="AM11">IFERROR(INDEX('Import 2023 Data'!$E$4:$I$113,_xlfn.XMATCH(CFO!$AE11,'Import 2023 Data'!$C$4:$C$113),_xlfn.XMATCH(CFO!AM$5,'Import 2023 Data'!$E$3:$I$3)),"-")</f>
        <v>1795.5</v>
      </c>
      <c r="AN11" s="733">
        <f t="shared" si="18"/>
        <v>0.1528822055137844</v>
      </c>
      <c r="AP11" s="12" t="s">
        <v>753</v>
      </c>
    </row>
    <row r="12" spans="1:42" ht="20.25" customHeight="1">
      <c r="A12" s="12" t="str">
        <f t="shared" si="0"/>
        <v>TSX:CS_2024_CFO</v>
      </c>
      <c r="B12" s="12" t="str">
        <f>'Raw Data'!D9</f>
        <v>TSX:CS</v>
      </c>
      <c r="C12" s="766" t="str">
        <f t="shared" si="1"/>
        <v>Capstone Copper Corp.</v>
      </c>
      <c r="D12" s="767">
        <f>_xll.ciqfunctions.udf.CIQ(B12, "IQ_MARKETCAP", $A$1,$A$2)</f>
        <v>5953.1492900000003</v>
      </c>
      <c r="E12" s="767">
        <f>_xll.ciqfunctions.udf.CIQ($B12, "IQ_TEV", $A$1,$A$2)</f>
        <v>8486.01584</v>
      </c>
      <c r="F12" s="768" t="str">
        <f t="shared" si="2"/>
        <v>Raman Randhawa</v>
      </c>
      <c r="G12" s="768" t="str">
        <f t="shared" si="2"/>
        <v>SVP &amp; CFO</v>
      </c>
      <c r="H12" s="767" t="str">
        <f t="shared" si="3"/>
        <v>-</v>
      </c>
      <c r="I12" s="767">
        <f t="shared" si="3"/>
        <v>532.95000000000005</v>
      </c>
      <c r="J12" s="769">
        <f t="shared" si="3"/>
        <v>361.74</v>
      </c>
      <c r="K12" s="770">
        <f t="shared" si="4"/>
        <v>0.67875035181536725</v>
      </c>
      <c r="L12" s="770">
        <f t="shared" si="4"/>
        <v>0.6790004440691747</v>
      </c>
      <c r="M12" s="771">
        <f t="shared" si="5"/>
        <v>399.71249999999998</v>
      </c>
      <c r="N12" s="772">
        <f t="shared" si="6"/>
        <v>0.75</v>
      </c>
      <c r="O12" s="769">
        <f t="shared" si="7"/>
        <v>894.69</v>
      </c>
      <c r="P12" s="773">
        <f t="shared" si="7"/>
        <v>932.66250000000002</v>
      </c>
      <c r="Q12" s="769">
        <f t="shared" si="7"/>
        <v>906.01599999999996</v>
      </c>
      <c r="R12" s="770">
        <f t="shared" si="8"/>
        <v>1.7000018763486255</v>
      </c>
      <c r="S12" s="770">
        <f t="shared" si="8"/>
        <v>1.6771529570557593</v>
      </c>
      <c r="T12" s="771">
        <f t="shared" si="9"/>
        <v>906.01499999999999</v>
      </c>
      <c r="U12" s="772">
        <f t="shared" si="10"/>
        <v>1.7</v>
      </c>
      <c r="V12" s="769">
        <f t="shared" si="11"/>
        <v>1800.7059999999999</v>
      </c>
      <c r="W12" s="774">
        <f t="shared" si="11"/>
        <v>1838.6775</v>
      </c>
      <c r="X12" s="769" t="str">
        <f t="shared" si="12"/>
        <v>-</v>
      </c>
      <c r="Y12" s="774">
        <f t="shared" si="12"/>
        <v>83.334999999999994</v>
      </c>
      <c r="Z12" s="769">
        <f t="shared" si="13"/>
        <v>1884.0409999999999</v>
      </c>
      <c r="AA12" s="774">
        <f t="shared" si="13"/>
        <v>1922.0125</v>
      </c>
      <c r="AB12" s="775"/>
      <c r="AC12" s="776">
        <f t="shared" si="14"/>
        <v>0.50724637681159424</v>
      </c>
      <c r="AD12" s="777">
        <f t="shared" si="15"/>
        <v>0.49275362318840576</v>
      </c>
      <c r="AE12" s="778" t="str">
        <f t="shared" si="16"/>
        <v>TSX:CS_2023_CFO</v>
      </c>
      <c r="AF12" s="778"/>
      <c r="AG12" s="782" t="str" cm="1">
        <f t="array" ref="AG12">IFERROR(INDEX('Import 2023 Data'!$E$4:$I$113,_xlfn.XMATCH(CFO!$AE12,'Import 2023 Data'!$C$4:$C$113),_xlfn.XMATCH(CFO!AG$5,'Import 2023 Data'!$E$3:$I$3)),"-")</f>
        <v>Capstone Copper Corp.</v>
      </c>
      <c r="AH12" s="778" t="str" cm="1">
        <f t="array" ref="AH12">IFERROR(INDEX('Import 2023 Data'!$E$4:$I$113,_xlfn.XMATCH(CFO!$AE12,'Import 2023 Data'!$C$4:$C$113),_xlfn.XMATCH(CFO!AH$5,'Import 2023 Data'!$E$3:$I$3)),"-")</f>
        <v>Raman Randhawa</v>
      </c>
      <c r="AI12" s="783" t="str">
        <f>IF(ISNUMBER(_xlfn.XMATCH(C12,'Import 2023 Data'!$E$4:$E$113)),"N","Y")</f>
        <v>N</v>
      </c>
      <c r="AJ12" s="783" t="str">
        <f t="shared" si="17"/>
        <v>N</v>
      </c>
      <c r="AK12" s="778" t="str" cm="1">
        <f t="array" ref="AK12">IFERROR(INDEX('Import 2023 Data'!$E$4:$I$113,_xlfn.XMATCH(CFO!$AE12,'Import 2023 Data'!$C$4:$C$113),_xlfn.XMATCH(CFO!AK$5,'Import 2023 Data'!$E$3:$I$3)),"-")</f>
        <v>SVP and CFO</v>
      </c>
      <c r="AL12" s="893" cm="1">
        <f t="array" ref="AL12">IFERROR(INDEX('Import 2023 Data'!$E$4:$I$113,_xlfn.XMATCH(CFO!$AE12,'Import 2023 Data'!$C$4:$C$113),_xlfn.XMATCH(CFO!AL$5,'Import 2023 Data'!$E$3:$I$3)),"-")</f>
        <v>1717.808</v>
      </c>
      <c r="AM12" s="894" cm="1">
        <f t="array" ref="AM12">IFERROR(INDEX('Import 2023 Data'!$E$4:$I$113,_xlfn.XMATCH(CFO!$AE12,'Import 2023 Data'!$C$4:$C$113),_xlfn.XMATCH(CFO!AM$5,'Import 2023 Data'!$E$3:$I$3)),"-")</f>
        <v>1759.5</v>
      </c>
      <c r="AN12" s="733">
        <f t="shared" si="18"/>
        <v>4.4999999999999929E-2</v>
      </c>
    </row>
    <row r="13" spans="1:42" ht="20.25" customHeight="1">
      <c r="A13" s="12" t="str">
        <f t="shared" si="0"/>
        <v>TSX:IMG_2024_CFO</v>
      </c>
      <c r="B13" s="12" t="str">
        <f>'Raw Data'!D10</f>
        <v>TSX:IMG</v>
      </c>
      <c r="C13" s="766" t="str">
        <f t="shared" si="1"/>
        <v>IAMGOLD Corporation</v>
      </c>
      <c r="D13" s="767">
        <f>_xll.ciqfunctions.udf.CIQ(B13, "IQ_MARKETCAP", $A$1,$A$2)</f>
        <v>5554.9869099999996</v>
      </c>
      <c r="E13" s="767">
        <f>_xll.ciqfunctions.udf.CIQ($B13, "IQ_TEV", $A$1,$A$2)</f>
        <v>6834.0846799999999</v>
      </c>
      <c r="F13" s="768" t="str">
        <f t="shared" si="2"/>
        <v>Maarten Theunissen</v>
      </c>
      <c r="G13" s="768" t="str">
        <f t="shared" si="2"/>
        <v>CFO</v>
      </c>
      <c r="H13" s="767" t="str">
        <f t="shared" si="3"/>
        <v>-</v>
      </c>
      <c r="I13" s="767">
        <f t="shared" si="3"/>
        <v>525.28</v>
      </c>
      <c r="J13" s="769">
        <f t="shared" si="3"/>
        <v>505.57100000000003</v>
      </c>
      <c r="K13" s="770">
        <f t="shared" si="4"/>
        <v>0.96247905878769413</v>
      </c>
      <c r="L13" s="770">
        <f t="shared" si="4"/>
        <v>0.96247905878769413</v>
      </c>
      <c r="M13" s="771">
        <f t="shared" si="5"/>
        <v>420.22399999999999</v>
      </c>
      <c r="N13" s="772">
        <f t="shared" si="6"/>
        <v>0.8</v>
      </c>
      <c r="O13" s="769">
        <f t="shared" si="7"/>
        <v>1030.8510000000001</v>
      </c>
      <c r="P13" s="773">
        <f t="shared" si="7"/>
        <v>945.50400000000002</v>
      </c>
      <c r="Q13" s="769">
        <f t="shared" si="7"/>
        <v>776.29499999999996</v>
      </c>
      <c r="R13" s="770">
        <f t="shared" si="8"/>
        <v>1.4778689460858971</v>
      </c>
      <c r="S13" s="770">
        <f t="shared" si="8"/>
        <v>1.4778689460858971</v>
      </c>
      <c r="T13" s="771">
        <f t="shared" si="9"/>
        <v>787.92</v>
      </c>
      <c r="U13" s="772">
        <f t="shared" si="10"/>
        <v>1.5</v>
      </c>
      <c r="V13" s="769">
        <f t="shared" si="11"/>
        <v>1807.146</v>
      </c>
      <c r="W13" s="774">
        <f t="shared" si="11"/>
        <v>1733.424</v>
      </c>
      <c r="X13" s="769">
        <f t="shared" si="12"/>
        <v>18.565999999999999</v>
      </c>
      <c r="Y13" s="774">
        <f t="shared" si="12"/>
        <v>43.557000000000002</v>
      </c>
      <c r="Z13" s="769">
        <f t="shared" si="13"/>
        <v>1869.269</v>
      </c>
      <c r="AA13" s="774">
        <f t="shared" si="13"/>
        <v>1795.547</v>
      </c>
      <c r="AB13" s="775"/>
      <c r="AC13" s="776">
        <f t="shared" si="14"/>
        <v>0.54545454545454553</v>
      </c>
      <c r="AD13" s="777">
        <f t="shared" si="15"/>
        <v>0.45454545454545453</v>
      </c>
      <c r="AE13" s="778" t="str">
        <f t="shared" si="16"/>
        <v>TSX:IMG_2023_CFO</v>
      </c>
      <c r="AF13" s="778"/>
      <c r="AG13" s="782" t="str" cm="1">
        <f t="array" ref="AG13">IFERROR(INDEX('Import 2023 Data'!$E$4:$I$113,_xlfn.XMATCH(CFO!$AE13,'Import 2023 Data'!$C$4:$C$113),_xlfn.XMATCH(CFO!AG$5,'Import 2023 Data'!$E$3:$I$3)),"-")</f>
        <v>IAMGOLD Corporation</v>
      </c>
      <c r="AH13" s="778" t="str" cm="1">
        <f t="array" ref="AH13">IFERROR(INDEX('Import 2023 Data'!$E$4:$I$113,_xlfn.XMATCH(CFO!$AE13,'Import 2023 Data'!$C$4:$C$113),_xlfn.XMATCH(CFO!AH$5,'Import 2023 Data'!$E$3:$I$3)),"-")</f>
        <v>Martin Theunissen</v>
      </c>
      <c r="AI13" s="783" t="str">
        <f>IF(ISNUMBER(_xlfn.XMATCH(C13,'Import 2023 Data'!$E$4:$E$113)),"N","Y")</f>
        <v>N</v>
      </c>
      <c r="AJ13" s="783" t="s">
        <v>720</v>
      </c>
      <c r="AK13" s="778" t="str" cm="1">
        <f t="array" ref="AK13">IFERROR(INDEX('Import 2023 Data'!$E$4:$I$113,_xlfn.XMATCH(CFO!$AE13,'Import 2023 Data'!$C$4:$C$113),_xlfn.XMATCH(CFO!AK$5,'Import 2023 Data'!$E$3:$I$3)),"-")</f>
        <v>CFO</v>
      </c>
      <c r="AL13" s="893" cm="1">
        <f t="array" ref="AL13">IFERROR(INDEX('Import 2023 Data'!$E$4:$I$113,_xlfn.XMATCH(CFO!$AE13,'Import 2023 Data'!$C$4:$C$113),_xlfn.XMATCH(CFO!AL$5,'Import 2023 Data'!$E$3:$I$3)),"-")</f>
        <v>1625.6780000000001</v>
      </c>
      <c r="AM13" s="894" cm="1">
        <f t="array" ref="AM13">IFERROR(INDEX('Import 2023 Data'!$E$4:$I$113,_xlfn.XMATCH(CFO!$AE13,'Import 2023 Data'!$C$4:$C$113),_xlfn.XMATCH(CFO!AM$5,'Import 2023 Data'!$E$3:$I$3)),"-")</f>
        <v>1592.5</v>
      </c>
      <c r="AN13" s="733">
        <f t="shared" si="18"/>
        <v>8.8492307692307648E-2</v>
      </c>
      <c r="AP13" s="12" t="s">
        <v>754</v>
      </c>
    </row>
    <row r="14" spans="1:42" ht="20.25" customHeight="1">
      <c r="A14" s="12" t="str">
        <f t="shared" si="0"/>
        <v>TSX:BTO_2024_CFO</v>
      </c>
      <c r="B14" s="12" t="str">
        <f>'Raw Data'!D11</f>
        <v>TSX:BTO</v>
      </c>
      <c r="C14" s="766" t="str">
        <f t="shared" si="1"/>
        <v>B2Gold Corp.</v>
      </c>
      <c r="D14" s="767">
        <f>_xll.ciqfunctions.udf.CIQ(B14, "IQ_MARKETCAP", $A$1,$A$2)</f>
        <v>6289.7347200000004</v>
      </c>
      <c r="E14" s="767">
        <f>_xll.ciqfunctions.udf.CIQ($B14, "IQ_TEV", $A$1,$A$2)</f>
        <v>6472.2609199999997</v>
      </c>
      <c r="F14" s="768" t="str">
        <f t="shared" si="2"/>
        <v>Michael Cinnamond</v>
      </c>
      <c r="G14" s="768" t="str">
        <f t="shared" si="2"/>
        <v>SVP, Finance &amp; CFO</v>
      </c>
      <c r="H14" s="767" t="str">
        <f t="shared" si="3"/>
        <v>-</v>
      </c>
      <c r="I14" s="767">
        <f t="shared" si="3"/>
        <v>650</v>
      </c>
      <c r="J14" s="769">
        <f t="shared" si="3"/>
        <v>321.75</v>
      </c>
      <c r="K14" s="770">
        <f t="shared" si="4"/>
        <v>0.495</v>
      </c>
      <c r="L14" s="770">
        <f t="shared" si="4"/>
        <v>0.66500000000000004</v>
      </c>
      <c r="M14" s="771">
        <f t="shared" si="5"/>
        <v>487.5</v>
      </c>
      <c r="N14" s="772">
        <f t="shared" si="6"/>
        <v>0.75</v>
      </c>
      <c r="O14" s="769">
        <f t="shared" si="7"/>
        <v>971.75</v>
      </c>
      <c r="P14" s="773">
        <f t="shared" si="7"/>
        <v>1137.5</v>
      </c>
      <c r="Q14" s="769">
        <f t="shared" si="7"/>
        <v>1750</v>
      </c>
      <c r="R14" s="770">
        <f t="shared" si="8"/>
        <v>2.6923076923076925</v>
      </c>
      <c r="S14" s="770">
        <f t="shared" si="8"/>
        <v>2.6923076923076921</v>
      </c>
      <c r="T14" s="771">
        <f t="shared" si="9"/>
        <v>1749.9999999999998</v>
      </c>
      <c r="U14" s="772">
        <f t="shared" si="10"/>
        <v>2.6923076923076921</v>
      </c>
      <c r="V14" s="769">
        <f t="shared" si="11"/>
        <v>2721.75</v>
      </c>
      <c r="W14" s="774">
        <f t="shared" si="11"/>
        <v>2887.5</v>
      </c>
      <c r="X14" s="769" t="str">
        <f t="shared" si="12"/>
        <v>-</v>
      </c>
      <c r="Y14" s="774">
        <f t="shared" si="12"/>
        <v>6.952</v>
      </c>
      <c r="Z14" s="769">
        <f t="shared" si="13"/>
        <v>2728.7020000000002</v>
      </c>
      <c r="AA14" s="774">
        <f t="shared" si="13"/>
        <v>2894.4520000000002</v>
      </c>
      <c r="AB14" s="775"/>
      <c r="AC14" s="776">
        <f t="shared" si="14"/>
        <v>0.39393939393939392</v>
      </c>
      <c r="AD14" s="777">
        <f t="shared" si="15"/>
        <v>0.60606060606060597</v>
      </c>
      <c r="AE14" s="778" t="str">
        <f t="shared" si="16"/>
        <v>TSX:BTO_2023_CFO</v>
      </c>
      <c r="AF14" s="778"/>
      <c r="AG14" s="782" t="str" cm="1">
        <f t="array" ref="AG14">IFERROR(INDEX('Import 2023 Data'!$E$4:$I$113,_xlfn.XMATCH(CFO!$AE14,'Import 2023 Data'!$C$4:$C$113),_xlfn.XMATCH(CFO!AG$5,'Import 2023 Data'!$E$3:$I$3)),"-")</f>
        <v>B2Gold Corp.</v>
      </c>
      <c r="AH14" s="778" t="str" cm="1">
        <f t="array" ref="AH14">IFERROR(INDEX('Import 2023 Data'!$E$4:$I$113,_xlfn.XMATCH(CFO!$AE14,'Import 2023 Data'!$C$4:$C$113),_xlfn.XMATCH(CFO!AH$5,'Import 2023 Data'!$E$3:$I$3)),"-")</f>
        <v>Michael Cinnamond</v>
      </c>
      <c r="AI14" s="783" t="str">
        <f>IF(ISNUMBER(_xlfn.XMATCH(C14,'Import 2023 Data'!$E$4:$E$113)),"N","Y")</f>
        <v>N</v>
      </c>
      <c r="AJ14" s="783" t="str">
        <f t="shared" si="17"/>
        <v>N</v>
      </c>
      <c r="AK14" s="778" t="str" cm="1">
        <f t="array" ref="AK14">IFERROR(INDEX('Import 2023 Data'!$E$4:$I$113,_xlfn.XMATCH(CFO!$AE14,'Import 2023 Data'!$C$4:$C$113),_xlfn.XMATCH(CFO!AK$5,'Import 2023 Data'!$E$3:$I$3)),"-")</f>
        <v>SVP and CFO</v>
      </c>
      <c r="AL14" s="893" cm="1">
        <f t="array" ref="AL14">IFERROR(INDEX('Import 2023 Data'!$E$4:$I$113,_xlfn.XMATCH(CFO!$AE14,'Import 2023 Data'!$C$4:$C$113),_xlfn.XMATCH(CFO!AL$5,'Import 2023 Data'!$E$3:$I$3)),"-")</f>
        <v>2887.5</v>
      </c>
      <c r="AM14" s="894" cm="1">
        <f t="array" ref="AM14">IFERROR(INDEX('Import 2023 Data'!$E$4:$I$113,_xlfn.XMATCH(CFO!$AE14,'Import 2023 Data'!$C$4:$C$113),_xlfn.XMATCH(CFO!AM$5,'Import 2023 Data'!$E$3:$I$3)),"-")</f>
        <v>2887.5</v>
      </c>
      <c r="AN14" s="733">
        <f t="shared" si="18"/>
        <v>0</v>
      </c>
    </row>
    <row r="15" spans="1:42" ht="20.25" customHeight="1">
      <c r="A15" s="12" t="str">
        <f t="shared" si="0"/>
        <v>NYSE:HL_2024_CFO</v>
      </c>
      <c r="B15" s="12" t="str">
        <f>'Raw Data'!D12</f>
        <v>NYSE:HL</v>
      </c>
      <c r="C15" s="766" t="str">
        <f t="shared" si="1"/>
        <v>Hecla Mining Company</v>
      </c>
      <c r="D15" s="767">
        <f>_xll.ciqfunctions.udf.CIQ(B15, "IQ_MARKETCAP", $A$1,$A$2)</f>
        <v>5232.0834199999999</v>
      </c>
      <c r="E15" s="767">
        <f>_xll.ciqfunctions.udf.CIQ($B15, "IQ_TEV", $A$1,$A$2)</f>
        <v>5991.3399399999998</v>
      </c>
      <c r="F15" s="768" t="str">
        <f t="shared" si="2"/>
        <v>Russell D. Lawlar</v>
      </c>
      <c r="G15" s="768" t="str">
        <f t="shared" si="2"/>
        <v>SVP &amp; CFO</v>
      </c>
      <c r="H15" s="767" t="str">
        <f t="shared" si="3"/>
        <v>-</v>
      </c>
      <c r="I15" s="767">
        <f t="shared" si="3"/>
        <v>519.97951499999999</v>
      </c>
      <c r="J15" s="769">
        <f t="shared" si="3"/>
        <v>778.96219755000004</v>
      </c>
      <c r="K15" s="770">
        <f t="shared" si="4"/>
        <v>1.4980632411067194</v>
      </c>
      <c r="L15" s="770">
        <f t="shared" si="4"/>
        <v>1.7089097547401177</v>
      </c>
      <c r="M15" s="771">
        <f t="shared" si="5"/>
        <v>519.97951499999999</v>
      </c>
      <c r="N15" s="772">
        <f t="shared" si="6"/>
        <v>1</v>
      </c>
      <c r="O15" s="769">
        <f t="shared" si="7"/>
        <v>1298.9417125500001</v>
      </c>
      <c r="P15" s="773">
        <f t="shared" si="7"/>
        <v>1039.95903</v>
      </c>
      <c r="Q15" s="769">
        <f t="shared" si="7"/>
        <v>816.16916390000006</v>
      </c>
      <c r="R15" s="770">
        <f t="shared" si="8"/>
        <v>1.5696179183135706</v>
      </c>
      <c r="S15" s="770">
        <f t="shared" si="8"/>
        <v>1.1802554708355313</v>
      </c>
      <c r="T15" s="771">
        <f t="shared" si="9"/>
        <v>1008.4451200000001</v>
      </c>
      <c r="U15" s="772">
        <f t="shared" si="10"/>
        <v>1.9393939393939394</v>
      </c>
      <c r="V15" s="769">
        <f t="shared" si="11"/>
        <v>2115.1108764500004</v>
      </c>
      <c r="W15" s="774">
        <f t="shared" si="11"/>
        <v>2048.4041500000003</v>
      </c>
      <c r="X15" s="769">
        <f t="shared" si="12"/>
        <v>96.806621010000001</v>
      </c>
      <c r="Y15" s="774">
        <f t="shared" si="12"/>
        <v>32.156519730000007</v>
      </c>
      <c r="Z15" s="769">
        <f t="shared" si="13"/>
        <v>2244.0740171900002</v>
      </c>
      <c r="AA15" s="774">
        <f t="shared" si="13"/>
        <v>2177.36729074</v>
      </c>
      <c r="AB15" s="775"/>
      <c r="AC15" s="776">
        <f t="shared" si="14"/>
        <v>0.50769230769230766</v>
      </c>
      <c r="AD15" s="777">
        <f t="shared" si="15"/>
        <v>0.49230769230769228</v>
      </c>
      <c r="AE15" s="778" t="str">
        <f t="shared" si="16"/>
        <v>NYSE:HL_2023_CFO</v>
      </c>
      <c r="AF15" s="778"/>
      <c r="AG15" s="782" t="str" cm="1">
        <f t="array" ref="AG15">IFERROR(INDEX('Import 2023 Data'!$E$4:$I$113,_xlfn.XMATCH(CFO!$AE15,'Import 2023 Data'!$C$4:$C$113),_xlfn.XMATCH(CFO!AG$5,'Import 2023 Data'!$E$3:$I$3)),"-")</f>
        <v>Hecla Mining Company</v>
      </c>
      <c r="AH15" s="778" t="str" cm="1">
        <f t="array" ref="AH15">IFERROR(INDEX('Import 2023 Data'!$E$4:$I$113,_xlfn.XMATCH(CFO!$AE15,'Import 2023 Data'!$C$4:$C$113),_xlfn.XMATCH(CFO!AH$5,'Import 2023 Data'!$E$3:$I$3)),"-")</f>
        <v>Russell D. Lawlar</v>
      </c>
      <c r="AI15" s="783" t="str">
        <f>IF(ISNUMBER(_xlfn.XMATCH(C15,'Import 2023 Data'!$E$4:$E$113)),"N","Y")</f>
        <v>N</v>
      </c>
      <c r="AJ15" s="783" t="str">
        <f t="shared" si="17"/>
        <v>N</v>
      </c>
      <c r="AK15" s="778" t="str" cm="1">
        <f t="array" ref="AK15">IFERROR(INDEX('Import 2023 Data'!$E$4:$I$113,_xlfn.XMATCH(CFO!$AE15,'Import 2023 Data'!$C$4:$C$113),_xlfn.XMATCH(CFO!AK$5,'Import 2023 Data'!$E$3:$I$3)),"-")</f>
        <v>SVP and CFO</v>
      </c>
      <c r="AL15" s="891" cm="1">
        <f t="array" ref="AL15">IFERROR(INDEX('Import 2023 Data'!$E$4:$I$113,_xlfn.XMATCH(CFO!$AE15,'Import 2023 Data'!$C$4:$C$113),_xlfn.XMATCH(CFO!AL$5,'Import 2023 Data'!$E$3:$I$3)),"-")</f>
        <v>1557.47577366</v>
      </c>
      <c r="AM15" s="892" cm="1">
        <f t="array" ref="AM15">IFERROR(INDEX('Import 2023 Data'!$E$4:$I$113,_xlfn.XMATCH(CFO!$AE15,'Import 2023 Data'!$C$4:$C$113),_xlfn.XMATCH(CFO!AM$5,'Import 2023 Data'!$E$3:$I$3)),"-")</f>
        <v>1875.0197956848485</v>
      </c>
      <c r="AN15" s="733">
        <f t="shared" si="18"/>
        <v>9.2470679357187002E-2</v>
      </c>
    </row>
    <row r="16" spans="1:42" ht="20.25" customHeight="1">
      <c r="A16" s="12" t="str">
        <f t="shared" si="0"/>
        <v>TSX:NGD_2024_CFO</v>
      </c>
      <c r="B16" s="12" t="str">
        <f>'Raw Data'!D13</f>
        <v>TSX:NGD</v>
      </c>
      <c r="C16" s="766" t="str">
        <f t="shared" si="1"/>
        <v>New Gold Inc.</v>
      </c>
      <c r="D16" s="767">
        <f>_xll.ciqfunctions.udf.CIQ(B16, "IQ_MARKETCAP", $A$1,$A$2)</f>
        <v>5001.45208</v>
      </c>
      <c r="E16" s="767">
        <f>_xll.ciqfunctions.udf.CIQ($B16, "IQ_TEV", $A$1,$A$2)</f>
        <v>5417.8523800000003</v>
      </c>
      <c r="F16" s="768" t="str">
        <f t="shared" si="2"/>
        <v>Keith Murphy</v>
      </c>
      <c r="G16" s="768" t="str">
        <f t="shared" si="2"/>
        <v>EVP &amp; CFO</v>
      </c>
      <c r="H16" s="767" t="str">
        <f t="shared" si="3"/>
        <v>-</v>
      </c>
      <c r="I16" s="767">
        <f t="shared" si="3"/>
        <v>400</v>
      </c>
      <c r="J16" s="769">
        <f t="shared" si="3"/>
        <v>455.78899999999999</v>
      </c>
      <c r="K16" s="770">
        <f t="shared" si="4"/>
        <v>1.1394725000000001</v>
      </c>
      <c r="L16" s="770">
        <f t="shared" si="4"/>
        <v>1.1394725000000001</v>
      </c>
      <c r="M16" s="771">
        <f t="shared" si="5"/>
        <v>380</v>
      </c>
      <c r="N16" s="772">
        <f t="shared" si="6"/>
        <v>0.95</v>
      </c>
      <c r="O16" s="769">
        <f t="shared" si="7"/>
        <v>855.78899999999999</v>
      </c>
      <c r="P16" s="773">
        <f t="shared" si="7"/>
        <v>780</v>
      </c>
      <c r="Q16" s="769">
        <f t="shared" si="7"/>
        <v>569.99800000000005</v>
      </c>
      <c r="R16" s="770">
        <f t="shared" si="8"/>
        <v>1.424995</v>
      </c>
      <c r="S16" s="770">
        <f t="shared" si="8"/>
        <v>1.424995</v>
      </c>
      <c r="T16" s="771">
        <f t="shared" si="9"/>
        <v>600</v>
      </c>
      <c r="U16" s="772">
        <f t="shared" si="10"/>
        <v>1.5</v>
      </c>
      <c r="V16" s="769">
        <f t="shared" si="11"/>
        <v>1425.787</v>
      </c>
      <c r="W16" s="774">
        <f t="shared" si="11"/>
        <v>1380</v>
      </c>
      <c r="X16" s="769" t="str">
        <f t="shared" si="12"/>
        <v>-</v>
      </c>
      <c r="Y16" s="774">
        <f t="shared" si="12"/>
        <v>15.78</v>
      </c>
      <c r="Z16" s="769">
        <f t="shared" si="13"/>
        <v>1441.567</v>
      </c>
      <c r="AA16" s="774">
        <f t="shared" si="13"/>
        <v>1395.78</v>
      </c>
      <c r="AB16" s="775"/>
      <c r="AC16" s="776">
        <f t="shared" si="14"/>
        <v>0.56521739130434778</v>
      </c>
      <c r="AD16" s="777">
        <f t="shared" si="15"/>
        <v>0.43478260869565216</v>
      </c>
      <c r="AE16" s="778" t="str">
        <f t="shared" si="16"/>
        <v>TSX:NGD_2023_CFO</v>
      </c>
      <c r="AF16" s="778"/>
      <c r="AG16" s="782" t="str" cm="1">
        <f t="array" ref="AG16">IFERROR(INDEX('Import 2023 Data'!$E$4:$I$113,_xlfn.XMATCH(CFO!$AE17,'Import 2023 Data'!$C$4:$C$113),_xlfn.XMATCH(CFO!AG$5,'Import 2023 Data'!$E$3:$I$3)),"-")</f>
        <v>Eldorado Gold Corporation</v>
      </c>
      <c r="AH16" s="778" t="str" cm="1">
        <f t="array" ref="AH16">IFERROR(INDEX('Import 2023 Data'!$E$4:$I$113,_xlfn.XMATCH(CFO!$AE17,'Import 2023 Data'!$C$4:$C$113),_xlfn.XMATCH(CFO!AH$5,'Import 2023 Data'!$E$3:$I$3)),"-")</f>
        <v>Philip Yee</v>
      </c>
      <c r="AI16" s="783" t="str">
        <f>IF(ISNUMBER(_xlfn.XMATCH(C16,'Import 2023 Data'!$E$4:$E$113)),"N","Y")</f>
        <v>N</v>
      </c>
      <c r="AJ16" s="783" t="str">
        <f t="shared" si="17"/>
        <v>Y</v>
      </c>
      <c r="AK16" s="778" t="str" cm="1">
        <f t="array" ref="AK16">IFERROR(INDEX('Import 2023 Data'!$E$4:$I$113,_xlfn.XMATCH(CFO!$AE17,'Import 2023 Data'!$C$4:$C$113),_xlfn.XMATCH(CFO!AK$5,'Import 2023 Data'!$E$3:$I$3)),"-")</f>
        <v>Former EVP and CFO</v>
      </c>
      <c r="AL16" s="893" cm="1">
        <f t="array" ref="AL16">IFERROR(INDEX('Import 2023 Data'!$E$4:$I$113,_xlfn.XMATCH(CFO!$AE16,'Import 2023 Data'!$C$4:$C$113),_xlfn.XMATCH(CFO!AL$5,'Import 2023 Data'!$E$3:$I$3)),"-")</f>
        <v>1842.8320000000001</v>
      </c>
      <c r="AM16" s="894" cm="1">
        <f t="array" ref="AM16">IFERROR(INDEX('Import 2023 Data'!$E$4:$I$113,_xlfn.XMATCH(CFO!$AE16,'Import 2023 Data'!$C$4:$C$113),_xlfn.XMATCH(CFO!AM$5,'Import 2023 Data'!$E$3:$I$3)),"-")</f>
        <v>1768</v>
      </c>
      <c r="AN16" s="733" t="str">
        <f t="shared" si="18"/>
        <v>-</v>
      </c>
      <c r="AP16" s="12" t="s">
        <v>757</v>
      </c>
    </row>
    <row r="17" spans="1:42" ht="20.25" customHeight="1">
      <c r="A17" s="12" t="str">
        <f t="shared" si="0"/>
        <v>TSX:ELD_2024_CFO</v>
      </c>
      <c r="B17" s="12" t="str">
        <f>'Raw Data'!D14</f>
        <v>TSX:ELD</v>
      </c>
      <c r="C17" s="766" t="str">
        <f t="shared" si="1"/>
        <v>Eldorado Gold Corporation</v>
      </c>
      <c r="D17" s="767">
        <f>_xll.ciqfunctions.udf.CIQ(B17, "IQ_MARKETCAP", $A$1,$A$2)</f>
        <v>5759.9111199999998</v>
      </c>
      <c r="E17" s="767">
        <f>_xll.ciqfunctions.udf.CIQ($B17, "IQ_TEV", $A$1,$A$2)</f>
        <v>5657.0414199999996</v>
      </c>
      <c r="F17" s="768" t="str">
        <f t="shared" si="2"/>
        <v>Paul Fernehough</v>
      </c>
      <c r="G17" s="768" t="str">
        <f t="shared" si="2"/>
        <v>EVP &amp; CFO</v>
      </c>
      <c r="H17" s="767" t="str">
        <f t="shared" si="3"/>
        <v>-</v>
      </c>
      <c r="I17" s="767">
        <f t="shared" si="3"/>
        <v>520</v>
      </c>
      <c r="J17" s="769">
        <f t="shared" si="3"/>
        <v>478.46699999999998</v>
      </c>
      <c r="K17" s="770">
        <f t="shared" si="4"/>
        <v>0.92012884615384616</v>
      </c>
      <c r="L17" s="770">
        <f t="shared" si="4"/>
        <v>0.92012884615384616</v>
      </c>
      <c r="M17" s="771">
        <f t="shared" si="5"/>
        <v>416</v>
      </c>
      <c r="N17" s="772">
        <f t="shared" si="6"/>
        <v>0.8</v>
      </c>
      <c r="O17" s="769">
        <f t="shared" si="7"/>
        <v>998.46699999999998</v>
      </c>
      <c r="P17" s="773">
        <f t="shared" si="7"/>
        <v>936</v>
      </c>
      <c r="Q17" s="769">
        <f t="shared" si="7"/>
        <v>779.97800000000018</v>
      </c>
      <c r="R17" s="770">
        <f t="shared" si="8"/>
        <v>1.4999576923076927</v>
      </c>
      <c r="S17" s="770">
        <f t="shared" si="8"/>
        <v>1.4999576923076927</v>
      </c>
      <c r="T17" s="771">
        <f t="shared" si="9"/>
        <v>910</v>
      </c>
      <c r="U17" s="772">
        <f t="shared" si="10"/>
        <v>1.75</v>
      </c>
      <c r="V17" s="769">
        <f t="shared" si="11"/>
        <v>1778.4450000000002</v>
      </c>
      <c r="W17" s="774">
        <f t="shared" si="11"/>
        <v>1846</v>
      </c>
      <c r="X17" s="769">
        <f t="shared" si="12"/>
        <v>93.573999999999998</v>
      </c>
      <c r="Y17" s="774" t="str">
        <f t="shared" si="12"/>
        <v>-</v>
      </c>
      <c r="Z17" s="769">
        <f t="shared" si="13"/>
        <v>1872.0190000000002</v>
      </c>
      <c r="AA17" s="774">
        <f t="shared" si="13"/>
        <v>1939.5740000000001</v>
      </c>
      <c r="AB17" s="775"/>
      <c r="AC17" s="776">
        <f t="shared" si="14"/>
        <v>0.50704225352112675</v>
      </c>
      <c r="AD17" s="777">
        <f t="shared" si="15"/>
        <v>0.49295774647887325</v>
      </c>
      <c r="AE17" s="778" t="str">
        <f t="shared" si="16"/>
        <v>TSX:ELD_2023_CFO</v>
      </c>
      <c r="AF17" s="778"/>
      <c r="AG17" s="782" t="str" cm="1">
        <f t="array" ref="AG17">IFERROR(INDEX('Import 2023 Data'!$E$4:$I$113,_xlfn.XMATCH(CFO!$AE16,'Import 2023 Data'!$C$4:$C$113),_xlfn.XMATCH(CFO!AG$5,'Import 2023 Data'!$E$3:$I$3)),"-")</f>
        <v>New Gold Inc.</v>
      </c>
      <c r="AH17" s="778" t="str" cm="1">
        <f t="array" ref="AH17">IFERROR(INDEX('Import 2023 Data'!$E$4:$I$113,_xlfn.XMATCH(CFO!$AE16,'Import 2023 Data'!$C$4:$C$113),_xlfn.XMATCH(CFO!AH$5,'Import 2023 Data'!$E$3:$I$3)),"-")</f>
        <v>Robert Chausse</v>
      </c>
      <c r="AI17" s="783" t="str">
        <f>IF(ISNUMBER(_xlfn.XMATCH(C17,'Import 2023 Data'!$E$4:$E$113)),"N","Y")</f>
        <v>N</v>
      </c>
      <c r="AJ17" s="783" t="str">
        <f t="shared" si="17"/>
        <v>Y</v>
      </c>
      <c r="AK17" s="778" t="str" cm="1">
        <f t="array" ref="AK17">IFERROR(INDEX('Import 2023 Data'!$E$4:$I$113,_xlfn.XMATCH(CFO!$AE16,'Import 2023 Data'!$C$4:$C$113),_xlfn.XMATCH(CFO!AK$5,'Import 2023 Data'!$E$3:$I$3)),"-")</f>
        <v xml:space="preserve">EVP and CFO </v>
      </c>
      <c r="AL17" s="893" cm="1">
        <f t="array" ref="AL17">IFERROR(INDEX('Import 2023 Data'!$E$4:$I$113,_xlfn.XMATCH(CFO!$AE17,'Import 2023 Data'!$C$4:$C$113),_xlfn.XMATCH(CFO!AL$5,'Import 2023 Data'!$E$3:$I$3)),"-")</f>
        <v>1913.6220000000001</v>
      </c>
      <c r="AM17" s="894" cm="1">
        <f t="array" ref="AM17">IFERROR(INDEX('Import 2023 Data'!$E$4:$I$113,_xlfn.XMATCH(CFO!$AE17,'Import 2023 Data'!$C$4:$C$113),_xlfn.XMATCH(CFO!AM$5,'Import 2023 Data'!$E$3:$I$3)),"-")</f>
        <v>1820.94</v>
      </c>
      <c r="AN17" s="733" t="str">
        <f t="shared" si="18"/>
        <v>-</v>
      </c>
      <c r="AP17" s="12" t="s">
        <v>755</v>
      </c>
    </row>
    <row r="18" spans="1:42" ht="20.25" customHeight="1">
      <c r="A18" s="12" t="str">
        <f t="shared" si="0"/>
        <v>TSX:SSRM_2024_CFO</v>
      </c>
      <c r="B18" s="12" t="str">
        <f>'Raw Data'!D15</f>
        <v>TSX:SSRM</v>
      </c>
      <c r="C18" s="766" t="str">
        <f t="shared" si="1"/>
        <v>SSR Mining Inc.</v>
      </c>
      <c r="D18" s="767">
        <f>_xll.ciqfunctions.udf.CIQ(B18, "IQ_MARKETCAP", $A$1,$A$2)</f>
        <v>3530.3646100000001</v>
      </c>
      <c r="E18" s="767">
        <f>_xll.ciqfunctions.udf.CIQ($B18, "IQ_TEV", $A$1,$A$2)</f>
        <v>4740.9122799999996</v>
      </c>
      <c r="F18" s="768" t="str">
        <f t="shared" si="2"/>
        <v>Michael Sparks</v>
      </c>
      <c r="G18" s="768" t="str">
        <f t="shared" si="2"/>
        <v>EVP &amp; CFO</v>
      </c>
      <c r="H18" s="767" t="str">
        <f t="shared" si="3"/>
        <v>-</v>
      </c>
      <c r="I18" s="767">
        <f t="shared" si="3"/>
        <v>822.10200000000009</v>
      </c>
      <c r="J18" s="769">
        <f t="shared" si="3"/>
        <v>561.08461499999999</v>
      </c>
      <c r="K18" s="770">
        <f t="shared" si="4"/>
        <v>0.68249999999999988</v>
      </c>
      <c r="L18" s="770">
        <f t="shared" si="4"/>
        <v>0.68249999999999988</v>
      </c>
      <c r="M18" s="771">
        <f t="shared" si="5"/>
        <v>616.57650000000012</v>
      </c>
      <c r="N18" s="772">
        <f t="shared" si="6"/>
        <v>0.75</v>
      </c>
      <c r="O18" s="769">
        <f t="shared" si="7"/>
        <v>1383.1866150000003</v>
      </c>
      <c r="P18" s="773">
        <f t="shared" si="7"/>
        <v>1438.6785000000002</v>
      </c>
      <c r="Q18" s="769">
        <f t="shared" si="7"/>
        <v>1438.6785</v>
      </c>
      <c r="R18" s="770">
        <f t="shared" si="8"/>
        <v>1.7499999999999998</v>
      </c>
      <c r="S18" s="770">
        <f t="shared" si="8"/>
        <v>1.7499999999999998</v>
      </c>
      <c r="T18" s="771">
        <f t="shared" si="9"/>
        <v>1438.6785000000002</v>
      </c>
      <c r="U18" s="772">
        <f t="shared" si="10"/>
        <v>1.75</v>
      </c>
      <c r="V18" s="769">
        <f t="shared" si="11"/>
        <v>2821.8651150000001</v>
      </c>
      <c r="W18" s="774">
        <f t="shared" si="11"/>
        <v>2877.3570000000004</v>
      </c>
      <c r="X18" s="769">
        <f t="shared" si="12"/>
        <v>37.816692000000003</v>
      </c>
      <c r="Y18" s="774" t="str">
        <f t="shared" si="12"/>
        <v>-</v>
      </c>
      <c r="Z18" s="769">
        <f t="shared" si="13"/>
        <v>2859.6818069999999</v>
      </c>
      <c r="AA18" s="774">
        <f t="shared" si="13"/>
        <v>2915.1736920000003</v>
      </c>
      <c r="AB18" s="775"/>
      <c r="AC18" s="776">
        <f t="shared" si="14"/>
        <v>0.5</v>
      </c>
      <c r="AD18" s="777">
        <f t="shared" si="15"/>
        <v>0.5</v>
      </c>
      <c r="AE18" s="778" t="str">
        <f t="shared" si="16"/>
        <v>TSX:SSRM_2023_CFO</v>
      </c>
      <c r="AF18" s="778"/>
      <c r="AG18" s="782" t="str" cm="1">
        <f t="array" ref="AG18">IFERROR(INDEX('Import 2023 Data'!$E$4:$I$113,_xlfn.XMATCH(CFO!$AE18,'Import 2023 Data'!$C$4:$C$113),_xlfn.XMATCH(CFO!AG$5,'Import 2023 Data'!$E$3:$I$3)),"-")</f>
        <v>SSR Mining Inc.</v>
      </c>
      <c r="AH18" s="778" t="str" cm="1">
        <f t="array" ref="AH18">IFERROR(INDEX('Import 2023 Data'!$E$4:$I$113,_xlfn.XMATCH(CFO!$AE18,'Import 2023 Data'!$C$4:$C$113),_xlfn.XMATCH(CFO!AH$5,'Import 2023 Data'!$E$3:$I$3)),"-")</f>
        <v>Alison White</v>
      </c>
      <c r="AI18" s="783" t="str">
        <f>IF(ISNUMBER(_xlfn.XMATCH(C18,'Import 2023 Data'!$E$4:$E$113)),"N","Y")</f>
        <v>N</v>
      </c>
      <c r="AJ18" s="783" t="str">
        <f t="shared" si="17"/>
        <v>Y</v>
      </c>
      <c r="AK18" s="778" t="str" cm="1">
        <f t="array" ref="AK18">IFERROR(INDEX('Import 2023 Data'!$E$4:$I$113,_xlfn.XMATCH(CFO!$AE18,'Import 2023 Data'!$C$4:$C$113),_xlfn.XMATCH(CFO!AK$5,'Import 2023 Data'!$E$3:$I$3)),"-")</f>
        <v xml:space="preserve">EVP and CFO </v>
      </c>
      <c r="AL18" s="893" cm="1">
        <f t="array" ref="AL18">IFERROR(INDEX('Import 2023 Data'!$E$4:$I$113,_xlfn.XMATCH(CFO!$AE18,'Import 2023 Data'!$C$4:$C$113),_xlfn.XMATCH(CFO!AL$5,'Import 2023 Data'!$E$3:$I$3)),"-")</f>
        <v>2279.0991033800001</v>
      </c>
      <c r="AM18" s="894" cm="1">
        <f t="array" ref="AM18">IFERROR(INDEX('Import 2023 Data'!$E$4:$I$113,_xlfn.XMATCH(CFO!$AE18,'Import 2023 Data'!$C$4:$C$113),_xlfn.XMATCH(CFO!AM$5,'Import 2023 Data'!$E$3:$I$3)),"-")</f>
        <v>2412.3027499999998</v>
      </c>
      <c r="AN18" s="733" t="str">
        <f t="shared" si="18"/>
        <v>-</v>
      </c>
      <c r="AP18" s="12" t="s">
        <v>756</v>
      </c>
    </row>
    <row r="19" spans="1:42" ht="20.25" customHeight="1">
      <c r="A19" s="12" t="str">
        <f t="shared" si="0"/>
        <v>TSX:OGC
_2024_CFO</v>
      </c>
      <c r="B19" s="12" t="str">
        <f>'Raw Data'!D16</f>
        <v xml:space="preserve">TSX:OGC
</v>
      </c>
      <c r="C19" s="766" t="str">
        <f t="shared" si="1"/>
        <v>OceanaGold Corporation</v>
      </c>
      <c r="D19" s="767">
        <f>_xll.ciqfunctions.udf.CIQ(B19, "IQ_MARKETCAP", $A$1,$A$2)</f>
        <v>4453.8089300000001</v>
      </c>
      <c r="E19" s="767">
        <f>_xll.ciqfunctions.udf.CIQ($B19, "IQ_TEV", $A$1,$A$2)</f>
        <v>4363.2558799999997</v>
      </c>
      <c r="F19" s="768" t="str">
        <f t="shared" si="2"/>
        <v>Marius van Niekerk</v>
      </c>
      <c r="G19" s="768" t="str">
        <f t="shared" si="2"/>
        <v>EVP &amp; CFO</v>
      </c>
      <c r="H19" s="767" t="str">
        <f t="shared" si="3"/>
        <v>-</v>
      </c>
      <c r="I19" s="767">
        <f t="shared" si="3"/>
        <v>561.60939011000005</v>
      </c>
      <c r="J19" s="769">
        <f t="shared" si="3"/>
        <v>198.74589884</v>
      </c>
      <c r="K19" s="770">
        <f t="shared" si="4"/>
        <v>0.35388635293486187</v>
      </c>
      <c r="L19" s="770">
        <f t="shared" si="4"/>
        <v>0.47827938741626741</v>
      </c>
      <c r="M19" s="771">
        <f t="shared" si="5"/>
        <v>336.96563406600001</v>
      </c>
      <c r="N19" s="772">
        <f t="shared" si="6"/>
        <v>0.6</v>
      </c>
      <c r="O19" s="769">
        <f t="shared" si="7"/>
        <v>760.35528895000004</v>
      </c>
      <c r="P19" s="773">
        <f t="shared" si="7"/>
        <v>898.57502417600006</v>
      </c>
      <c r="Q19" s="769">
        <f t="shared" si="7"/>
        <v>1473.3753149100003</v>
      </c>
      <c r="R19" s="770">
        <f t="shared" si="8"/>
        <v>2.6234876781910939</v>
      </c>
      <c r="S19" s="770">
        <f t="shared" si="8"/>
        <v>2.9430435134368285</v>
      </c>
      <c r="T19" s="771">
        <f t="shared" si="9"/>
        <v>1652.840872648449</v>
      </c>
      <c r="U19" s="772">
        <f t="shared" si="10"/>
        <v>2.9430435134368285</v>
      </c>
      <c r="V19" s="769">
        <f t="shared" si="11"/>
        <v>2233.73060386</v>
      </c>
      <c r="W19" s="774">
        <f t="shared" si="11"/>
        <v>2551.4158968244487</v>
      </c>
      <c r="X19" s="769">
        <f t="shared" si="12"/>
        <v>12.690514540000001</v>
      </c>
      <c r="Y19" s="774">
        <f t="shared" si="12"/>
        <v>0</v>
      </c>
      <c r="Z19" s="769">
        <f t="shared" si="13"/>
        <v>2246.4211184000001</v>
      </c>
      <c r="AA19" s="774">
        <f t="shared" si="13"/>
        <v>2564.1064113644488</v>
      </c>
      <c r="AB19" s="775"/>
      <c r="AC19" s="776">
        <f t="shared" si="14"/>
        <v>0.35218680940821423</v>
      </c>
      <c r="AD19" s="777">
        <f t="shared" si="15"/>
        <v>0.64781319059178588</v>
      </c>
      <c r="AE19" s="778" t="str">
        <f t="shared" si="16"/>
        <v>TSX:OGC
_2023_CFO</v>
      </c>
      <c r="AF19" s="778"/>
      <c r="AG19" s="782" t="str" cm="1">
        <f t="array" ref="AG19">IFERROR(INDEX('Import 2023 Data'!$E$4:$I$113,_xlfn.XMATCH(CFO!$AE19,'Import 2023 Data'!$C$4:$C$113),_xlfn.XMATCH(CFO!AG$5,'Import 2023 Data'!$E$3:$I$3)),"-")</f>
        <v>OceanaGold Corporation</v>
      </c>
      <c r="AH19" s="778" t="str" cm="1">
        <f t="array" ref="AH19">IFERROR(INDEX('Import 2023 Data'!$E$4:$I$113,_xlfn.XMATCH(CFO!$AE19,'Import 2023 Data'!$C$4:$C$113),_xlfn.XMATCH(CFO!AH$5,'Import 2023 Data'!$E$3:$I$3)),"-")</f>
        <v xml:space="preserve">Marius van Niekerk </v>
      </c>
      <c r="AI19" s="783" t="str">
        <f>IF(ISNUMBER(_xlfn.XMATCH(C19,'Import 2023 Data'!$E$4:$E$113)),"N","Y")</f>
        <v>N</v>
      </c>
      <c r="AJ19" s="783" t="str">
        <f t="shared" si="17"/>
        <v>N</v>
      </c>
      <c r="AK19" s="778" t="str" cm="1">
        <f t="array" ref="AK19">IFERROR(INDEX('Import 2023 Data'!$E$4:$I$113,_xlfn.XMATCH(CFO!$AE19,'Import 2023 Data'!$C$4:$C$113),_xlfn.XMATCH(CFO!AK$5,'Import 2023 Data'!$E$3:$I$3)),"-")</f>
        <v xml:space="preserve">EVP and CFO </v>
      </c>
      <c r="AL19" s="893" cm="1">
        <f t="array" ref="AL19">IFERROR(INDEX('Import 2023 Data'!$E$4:$I$113,_xlfn.XMATCH(CFO!$AE19,'Import 2023 Data'!$C$4:$C$113),_xlfn.XMATCH(CFO!AL$5,'Import 2023 Data'!$E$3:$I$3)),"-")</f>
        <v>2637.7159398917647</v>
      </c>
      <c r="AM19" s="894" cm="1">
        <f t="array" ref="AM19">IFERROR(INDEX('Import 2023 Data'!$E$4:$I$113,_xlfn.XMATCH(CFO!$AE19,'Import 2023 Data'!$C$4:$C$113),_xlfn.XMATCH(CFO!AM$5,'Import 2023 Data'!$E$3:$I$3)),"-")</f>
        <v>1957.6599981120003</v>
      </c>
      <c r="AN19" s="733">
        <f t="shared" si="18"/>
        <v>0.30329878491927942</v>
      </c>
      <c r="AP19" s="12" t="s">
        <v>758</v>
      </c>
    </row>
    <row r="20" spans="1:42" ht="20.25" customHeight="1">
      <c r="A20" s="12" t="str">
        <f t="shared" si="0"/>
        <v>TSX:ERO_2024_CFO</v>
      </c>
      <c r="B20" s="12" t="str">
        <f>'Raw Data'!D17</f>
        <v>TSX:ERO</v>
      </c>
      <c r="C20" s="766" t="str">
        <f t="shared" si="1"/>
        <v>Ero Copper Corp.</v>
      </c>
      <c r="D20" s="767">
        <f>_xll.ciqfunctions.udf.CIQ(B20, "IQ_MARKETCAP", $A$1,$A$2)</f>
        <v>2080.7628100000002</v>
      </c>
      <c r="E20" s="767">
        <f>_xll.ciqfunctions.udf.CIQ($B20, "IQ_TEV", $A$1,$A$2)</f>
        <v>2927.2829099999999</v>
      </c>
      <c r="F20" s="768" t="str">
        <f t="shared" si="2"/>
        <v>Wayne Drier</v>
      </c>
      <c r="G20" s="768" t="str">
        <f t="shared" si="2"/>
        <v>CFO</v>
      </c>
      <c r="H20" s="767" t="str">
        <f t="shared" si="3"/>
        <v>-</v>
      </c>
      <c r="I20" s="767">
        <f t="shared" si="3"/>
        <v>545.12213450000002</v>
      </c>
      <c r="J20" s="769">
        <f t="shared" si="3"/>
        <v>265.74721183999998</v>
      </c>
      <c r="K20" s="770">
        <f t="shared" si="4"/>
        <v>0.48750031418876455</v>
      </c>
      <c r="L20" s="770">
        <f t="shared" si="4"/>
        <v>0.65016792019330305</v>
      </c>
      <c r="M20" s="771">
        <f t="shared" si="5"/>
        <v>408.84160087499998</v>
      </c>
      <c r="N20" s="772">
        <f t="shared" si="6"/>
        <v>0.75</v>
      </c>
      <c r="O20" s="769">
        <f t="shared" si="7"/>
        <v>810.86934633999999</v>
      </c>
      <c r="P20" s="773">
        <f t="shared" si="7"/>
        <v>953.96373537500006</v>
      </c>
      <c r="Q20" s="769">
        <f t="shared" si="7"/>
        <v>876.38128455000015</v>
      </c>
      <c r="R20" s="770">
        <f t="shared" si="8"/>
        <v>1.607678773407063</v>
      </c>
      <c r="S20" s="770">
        <f t="shared" si="8"/>
        <v>1.593486412706332</v>
      </c>
      <c r="T20" s="771">
        <f t="shared" si="9"/>
        <v>868.64471459122365</v>
      </c>
      <c r="U20" s="772">
        <f t="shared" si="10"/>
        <v>1.593486412706332</v>
      </c>
      <c r="V20" s="769">
        <f t="shared" si="11"/>
        <v>1687.2506308900001</v>
      </c>
      <c r="W20" s="774">
        <f t="shared" si="11"/>
        <v>1822.6084499662236</v>
      </c>
      <c r="X20" s="769" t="str">
        <f t="shared" si="12"/>
        <v>-</v>
      </c>
      <c r="Y20" s="774">
        <f t="shared" si="12"/>
        <v>8.6389218500000009</v>
      </c>
      <c r="Z20" s="769">
        <f t="shared" si="13"/>
        <v>1695.8895527400002</v>
      </c>
      <c r="AA20" s="774">
        <f t="shared" si="13"/>
        <v>1831.2473718162237</v>
      </c>
      <c r="AB20" s="775"/>
      <c r="AC20" s="776">
        <f t="shared" si="14"/>
        <v>0.52340574597504952</v>
      </c>
      <c r="AD20" s="777">
        <f t="shared" si="15"/>
        <v>0.47659425402495048</v>
      </c>
      <c r="AE20" s="778" t="str">
        <f t="shared" si="16"/>
        <v>TSX:ERO_2023_CFO</v>
      </c>
      <c r="AF20" s="778"/>
      <c r="AG20" s="782" t="str" cm="1">
        <f t="array" ref="AG20">IFERROR(INDEX('Import 2023 Data'!$E$4:$I$113,_xlfn.XMATCH(CFO!$AE20,'Import 2023 Data'!$C$4:$C$113),_xlfn.XMATCH(CFO!AG$5,'Import 2023 Data'!$E$3:$I$3)),"-")</f>
        <v>Ero Copper Corp.</v>
      </c>
      <c r="AH20" s="778" t="str" cm="1">
        <f t="array" ref="AH20">IFERROR(INDEX('Import 2023 Data'!$E$4:$I$113,_xlfn.XMATCH(CFO!$AE20,'Import 2023 Data'!$C$4:$C$113),_xlfn.XMATCH(CFO!AH$5,'Import 2023 Data'!$E$3:$I$3)),"-")</f>
        <v>Wayne Drier</v>
      </c>
      <c r="AI20" s="783" t="str">
        <f>IF(ISNUMBER(_xlfn.XMATCH(C20,'Import 2023 Data'!$E$4:$E$113)),"N","Y")</f>
        <v>N</v>
      </c>
      <c r="AJ20" s="783" t="str">
        <f t="shared" si="17"/>
        <v>N</v>
      </c>
      <c r="AK20" s="778" t="str" cm="1">
        <f t="array" ref="AK20">IFERROR(INDEX('Import 2023 Data'!$E$4:$I$113,_xlfn.XMATCH(CFO!$AE20,'Import 2023 Data'!$C$4:$C$113),_xlfn.XMATCH(CFO!AK$5,'Import 2023 Data'!$E$3:$I$3)),"-")</f>
        <v>CFO</v>
      </c>
      <c r="AL20" s="893" cm="1">
        <f t="array" ref="AL20">IFERROR(INDEX('Import 2023 Data'!$E$4:$I$113,_xlfn.XMATCH(CFO!$AE20,'Import 2023 Data'!$C$4:$C$113),_xlfn.XMATCH(CFO!AL$5,'Import 2023 Data'!$E$3:$I$3)),"-")</f>
        <v>1951.0758623600002</v>
      </c>
      <c r="AM20" s="894" cm="1">
        <f t="array" ref="AM20">IFERROR(INDEX('Import 2023 Data'!$E$4:$I$113,_xlfn.XMATCH(CFO!$AE20,'Import 2023 Data'!$C$4:$C$113),_xlfn.XMATCH(CFO!AM$5,'Import 2023 Data'!$E$3:$I$3)),"-")</f>
        <v>1718.0663749136897</v>
      </c>
      <c r="AN20" s="733">
        <f t="shared" si="18"/>
        <v>6.0848682320428837E-2</v>
      </c>
      <c r="AP20" s="736" t="s">
        <v>759</v>
      </c>
    </row>
    <row r="21" spans="1:42" ht="20.25" customHeight="1">
      <c r="A21" s="12" t="str">
        <f t="shared" si="0"/>
        <v>TSX:CG_2024_CFO</v>
      </c>
      <c r="B21" s="12" t="str">
        <f>'Raw Data'!D18</f>
        <v>TSX:CG</v>
      </c>
      <c r="C21" s="766" t="str">
        <f t="shared" si="1"/>
        <v>Centerra Gold Inc.</v>
      </c>
      <c r="D21" s="767">
        <f>_xll.ciqfunctions.udf.CIQ(B21, "IQ_MARKETCAP", $A$1,$A$2)</f>
        <v>2054.8528000000001</v>
      </c>
      <c r="E21" s="767">
        <f>_xll.ciqfunctions.udf.CIQ($B21, "IQ_TEV", $A$1,$A$2)</f>
        <v>1190.4233200000001</v>
      </c>
      <c r="F21" s="768" t="str">
        <f t="shared" si="2"/>
        <v>Ryan Snyder</v>
      </c>
      <c r="G21" s="768" t="str">
        <f t="shared" si="2"/>
        <v>EVP, CFO</v>
      </c>
      <c r="H21" s="767" t="str">
        <f t="shared" si="3"/>
        <v>-</v>
      </c>
      <c r="I21" s="767">
        <f t="shared" si="3"/>
        <v>398.70299999999997</v>
      </c>
      <c r="J21" s="769">
        <f t="shared" si="3"/>
        <v>279.71800000000002</v>
      </c>
      <c r="K21" s="770">
        <f t="shared" si="4"/>
        <v>0.70156984020687074</v>
      </c>
      <c r="L21" s="770">
        <f t="shared" si="4"/>
        <v>0.70156984020687074</v>
      </c>
      <c r="M21" s="771">
        <f t="shared" si="5"/>
        <v>318.9624</v>
      </c>
      <c r="N21" s="772">
        <f t="shared" si="6"/>
        <v>0.8</v>
      </c>
      <c r="O21" s="769">
        <f t="shared" si="7"/>
        <v>678.42100000000005</v>
      </c>
      <c r="P21" s="773">
        <f t="shared" si="7"/>
        <v>717.66539999999998</v>
      </c>
      <c r="Q21" s="769">
        <f t="shared" si="7"/>
        <v>641.38800000000015</v>
      </c>
      <c r="R21" s="770">
        <f t="shared" si="8"/>
        <v>1.6086861648896551</v>
      </c>
      <c r="S21" s="770">
        <f t="shared" si="8"/>
        <v>1.6086861648896551</v>
      </c>
      <c r="T21" s="771">
        <f t="shared" si="9"/>
        <v>717.66539999999998</v>
      </c>
      <c r="U21" s="772">
        <f t="shared" si="10"/>
        <v>1.8</v>
      </c>
      <c r="V21" s="769">
        <f t="shared" si="11"/>
        <v>1319.809</v>
      </c>
      <c r="W21" s="774">
        <f t="shared" si="11"/>
        <v>1435.3308</v>
      </c>
      <c r="X21" s="769">
        <f t="shared" si="12"/>
        <v>67.406000000000006</v>
      </c>
      <c r="Y21" s="774">
        <f t="shared" si="12"/>
        <v>29.785</v>
      </c>
      <c r="Z21" s="769">
        <f t="shared" si="13"/>
        <v>1417</v>
      </c>
      <c r="AA21" s="774">
        <f t="shared" si="13"/>
        <v>1532.5218</v>
      </c>
      <c r="AB21" s="775"/>
      <c r="AC21" s="776">
        <f t="shared" si="14"/>
        <v>0.5</v>
      </c>
      <c r="AD21" s="777">
        <f t="shared" si="15"/>
        <v>0.5</v>
      </c>
      <c r="AE21" s="778" t="str">
        <f t="shared" si="16"/>
        <v>TSX:CG_2023_CFO</v>
      </c>
      <c r="AF21" s="778"/>
      <c r="AG21" s="784" t="str" cm="1">
        <f t="array" ref="AG21">IFERROR(INDEX('Import 2023 Data'!$E$4:$I$113,_xlfn.XMATCH(CFO!$AE21,'Import 2023 Data'!$C$4:$C$113),_xlfn.XMATCH(CFO!AG$5,'Import 2023 Data'!$E$3:$I$3)),"-")</f>
        <v>Centerra Gold Inc.</v>
      </c>
      <c r="AH21" s="785" t="str" cm="1">
        <f t="array" ref="AH21">IFERROR(INDEX('Import 2023 Data'!$E$4:$I$113,_xlfn.XMATCH(CFO!$AE21,'Import 2023 Data'!$C$4:$C$113),_xlfn.XMATCH(CFO!AH$5,'Import 2023 Data'!$E$3:$I$3)),"-")</f>
        <v>Darren Millman</v>
      </c>
      <c r="AI21" s="786" t="str">
        <f>IF(ISNUMBER(_xlfn.XMATCH(C21,'Import 2023 Data'!$E$4:$E$113)),"N","Y")</f>
        <v>N</v>
      </c>
      <c r="AJ21" s="786" t="str">
        <f t="shared" si="17"/>
        <v>Y</v>
      </c>
      <c r="AK21" s="785" t="str" cm="1">
        <f t="array" ref="AK21">IFERROR(INDEX('Import 2023 Data'!$E$4:$I$113,_xlfn.XMATCH(CFO!$AE21,'Import 2023 Data'!$C$4:$C$113),_xlfn.XMATCH(CFO!AK$5,'Import 2023 Data'!$E$3:$I$3)),"-")</f>
        <v xml:space="preserve">EVP and CFO </v>
      </c>
      <c r="AL21" s="897" cm="1">
        <f t="array" ref="AL21">IFERROR(INDEX('Import 2023 Data'!$E$4:$I$113,_xlfn.XMATCH(CFO!$AE21,'Import 2023 Data'!$C$4:$C$113),_xlfn.XMATCH(CFO!AL$5,'Import 2023 Data'!$E$3:$I$3)),"-")</f>
        <v>1850.809</v>
      </c>
      <c r="AM21" s="898" cm="1">
        <f t="array" ref="AM21">IFERROR(INDEX('Import 2023 Data'!$E$4:$I$113,_xlfn.XMATCH(CFO!$AE21,'Import 2023 Data'!$C$4:$C$113),_xlfn.XMATCH(CFO!AM$5,'Import 2023 Data'!$E$3:$I$3)),"-")</f>
        <v>1853.28</v>
      </c>
      <c r="AN21" s="733" t="str">
        <f t="shared" si="18"/>
        <v>-</v>
      </c>
      <c r="AP21" s="12" t="s">
        <v>755</v>
      </c>
    </row>
    <row r="22" spans="1:42" ht="20.25" hidden="1" customHeight="1" outlineLevel="1">
      <c r="A22" s="12" t="str">
        <f t="shared" ref="A22:A27" si="19">$B22&amp;"_"&amp;$C$3&amp;"_"&amp;$C$2</f>
        <v>0_2024_CFO</v>
      </c>
      <c r="B22" s="12">
        <f>'Raw Data'!D19</f>
        <v>0</v>
      </c>
      <c r="C22" s="766" t="str">
        <f t="shared" ref="C22:C27" si="20">IFERROR(INDEX(Raw_Data,MATCH($A22,Look_Up,0),MATCH(C$4,Component,0)),"-")</f>
        <v>(Invalid Identifier)</v>
      </c>
      <c r="D22" s="767" t="str">
        <f>_xll.ciqfunctions.udf.CIQ(B22, "IQ_MARKETCAP", $A$1,$A$2)</f>
        <v>(Invalid Identifier)</v>
      </c>
      <c r="E22" s="767" t="str">
        <f>_xll.ciqfunctions.udf.CIQ($B22, "IQ_TEV", $A$1,$A$2)</f>
        <v>(Invalid Identifier)</v>
      </c>
      <c r="F22" s="768" t="str">
        <f t="shared" ref="F22:G27" si="21">IFERROR(INDEX(Raw_Data,MATCH($A22,Look_Up,0),MATCH(F$4,Component,0)),"-")</f>
        <v>-</v>
      </c>
      <c r="G22" s="768" t="str">
        <f t="shared" si="21"/>
        <v>-</v>
      </c>
      <c r="H22" s="767" t="str">
        <f t="shared" ref="H22:J27" si="22">IFERROR(INDEX(Raw_Data,MATCH($A22,Look_Up,0),MATCH(H$4,Component,0))/1000,"-")</f>
        <v>-</v>
      </c>
      <c r="I22" s="767" t="str">
        <f t="shared" si="22"/>
        <v>-</v>
      </c>
      <c r="J22" s="769" t="str">
        <f t="shared" si="22"/>
        <v>-</v>
      </c>
      <c r="K22" s="770" t="str">
        <f t="shared" ref="K22:L27" si="23">IFERROR(INDEX(Raw_Data,MATCH($A22,Look_Up,0),MATCH(K$4,Component,0)),"-")</f>
        <v>-</v>
      </c>
      <c r="L22" s="770" t="str">
        <f t="shared" si="23"/>
        <v>N/A</v>
      </c>
      <c r="M22" s="771" t="str">
        <f t="shared" ref="M22:M27" si="24">IFERROR(INDEX(Raw_Data,MATCH($A22,Look_Up,0),MATCH(M$4,Component,0))/1000,"-")</f>
        <v>-</v>
      </c>
      <c r="N22" s="772" t="str">
        <f t="shared" ref="N22:N27" si="25">IFERROR(IF(INDEX(Raw_Data,MATCH($A22,Look_Up,0),MATCH(N$4,Component,0))="-",L22,INDEX(Raw_Data,MATCH($A22,Look_Up,0),MATCH(N$4,Component,0))),"-")</f>
        <v>N/A</v>
      </c>
      <c r="O22" s="769" t="str">
        <f t="shared" ref="O22:Q27" si="26">IFERROR(INDEX(Raw_Data,MATCH($A22,Look_Up,0),MATCH(O$4,Component,0))/1000,"-")</f>
        <v>-</v>
      </c>
      <c r="P22" s="773" t="str">
        <f t="shared" si="26"/>
        <v>-</v>
      </c>
      <c r="Q22" s="769" t="str">
        <f t="shared" si="26"/>
        <v>-</v>
      </c>
      <c r="R22" s="770" t="str">
        <f t="shared" ref="R22:S27" si="27">IFERROR(INDEX(Raw_Data,MATCH($A22,Look_Up,0),MATCH(R$4,Component,0)),"-")</f>
        <v>-</v>
      </c>
      <c r="S22" s="770" t="str">
        <f t="shared" si="27"/>
        <v>N/A</v>
      </c>
      <c r="T22" s="771" t="str">
        <f t="shared" ref="T22:T27" si="28">IFERROR(INDEX(Raw_Data,MATCH($A22,Look_Up,0),MATCH(T$4,Component,0))/1000,"-")</f>
        <v>-</v>
      </c>
      <c r="U22" s="772" t="str">
        <f t="shared" ref="U22:U27" si="29">IFERROR(IF(INDEX(Raw_Data,MATCH($A22,Look_Up,0),MATCH(U$4,Component,0))="-",S22,INDEX(Raw_Data,MATCH($A22,Look_Up,0),MATCH(U$4,Component,0))),"-")</f>
        <v>N/A</v>
      </c>
      <c r="V22" s="769" t="str">
        <f t="shared" ref="V22:AA27" si="30">IFERROR(INDEX(Raw_Data,MATCH($A22,Look_Up,0),MATCH(V$4,Component,0))/1000,"-")</f>
        <v>-</v>
      </c>
      <c r="W22" s="774" t="str">
        <f t="shared" si="30"/>
        <v>-</v>
      </c>
      <c r="X22" s="769" t="str">
        <f t="shared" ref="X22:Y27" si="31">IFERROR((INDEX(Raw_Data,MATCH($A22,Look_Up,0),MATCH(X$4,Component,0))/1000),"-")</f>
        <v>-</v>
      </c>
      <c r="Y22" s="774" t="str">
        <f t="shared" si="31"/>
        <v>-</v>
      </c>
      <c r="Z22" s="769" t="str">
        <f t="shared" si="30"/>
        <v>-</v>
      </c>
      <c r="AA22" s="774" t="str">
        <f t="shared" si="30"/>
        <v>-</v>
      </c>
      <c r="AB22" s="775"/>
      <c r="AC22" s="776"/>
      <c r="AD22" s="777"/>
      <c r="AE22" s="778" t="str">
        <f t="shared" ref="AE22:AE27" si="32">B22&amp;"_"&amp;$AE$6&amp;"_"&amp;$C$2</f>
        <v>0_2023_CFO</v>
      </c>
      <c r="AF22" s="778"/>
      <c r="AG22" s="782" t="str" cm="1">
        <f t="array" ref="AG22">IFERROR(INDEX('Import 2023 Data'!$E$4:$I$113,_xlfn.XMATCH(CFO!$AE22,'Import 2023 Data'!$C$4:$C$113),_xlfn.XMATCH(CFO!AG$5,'Import 2023 Data'!$E$3:$I$3)),"-")</f>
        <v>-</v>
      </c>
      <c r="AH22" s="778" t="str" cm="1">
        <f t="array" ref="AH22">IFERROR(INDEX('Import 2023 Data'!$E$4:$I$113,_xlfn.XMATCH(CFO!$AE22,'Import 2023 Data'!$C$4:$C$113),_xlfn.XMATCH(CFO!AH$5,'Import 2023 Data'!$E$3:$I$3)),"-")</f>
        <v>-</v>
      </c>
      <c r="AI22" s="778"/>
      <c r="AJ22" s="783" t="str">
        <f t="shared" ref="AJ22:AJ27" si="33">IFERROR(IF(TRIM(LOWER(AH22))=TRIM(LOWER(F22)),"N","Y"),"-")</f>
        <v>N</v>
      </c>
      <c r="AK22" s="778" t="str" cm="1">
        <f t="array" ref="AK22">IFERROR(INDEX('Import 2023 Data'!$E$4:$I$113,_xlfn.XMATCH(CFO!$AE22,'Import 2023 Data'!$C$4:$C$113),_xlfn.XMATCH(CFO!AK$5,'Import 2023 Data'!$E$3:$I$3)),"-")</f>
        <v>-</v>
      </c>
      <c r="AL22" s="775" t="str" cm="1">
        <f t="array" ref="AL22">IFERROR(INDEX('Import 2023 Data'!$E$4:$I$113,_xlfn.XMATCH(CFO!$AE22,'Import 2023 Data'!$C$4:$C$113),_xlfn.XMATCH(CFO!AL$5,'Import 2023 Data'!$E$3:$I$3)),"-")</f>
        <v>-</v>
      </c>
      <c r="AM22" s="775" t="str" cm="1">
        <f t="array" ref="AM22">IFERROR(INDEX('Import 2023 Data'!$E$4:$I$113,_xlfn.XMATCH(CFO!$AE22,'Import 2023 Data'!$C$4:$C$113),_xlfn.XMATCH(CFO!AM$5,'Import 2023 Data'!$E$3:$I$3)),"-")</f>
        <v>-</v>
      </c>
      <c r="AN22" s="505" t="str">
        <f t="shared" ref="AN22:AN27" si="34">IFERROR(IF(AJ22="Y","New Incumbent",W22/AM22-1),"-")</f>
        <v>-</v>
      </c>
    </row>
    <row r="23" spans="1:42" ht="20.25" hidden="1" customHeight="1" outlineLevel="1">
      <c r="A23" s="12" t="str">
        <f t="shared" si="19"/>
        <v>0_2024_CFO</v>
      </c>
      <c r="B23" s="12">
        <f>'Raw Data'!D20</f>
        <v>0</v>
      </c>
      <c r="C23" s="766" t="str">
        <f t="shared" si="20"/>
        <v>(Invalid Identifier)</v>
      </c>
      <c r="D23" s="767" t="str">
        <f>_xll.ciqfunctions.udf.CIQ(B23, "IQ_MARKETCAP", $A$1,$A$2)</f>
        <v>(Invalid Identifier)</v>
      </c>
      <c r="E23" s="767" t="str">
        <f>_xll.ciqfunctions.udf.CIQ($B23, "IQ_TEV", $A$1,$A$2)</f>
        <v>(Invalid Identifier)</v>
      </c>
      <c r="F23" s="768" t="str">
        <f t="shared" si="21"/>
        <v>-</v>
      </c>
      <c r="G23" s="768" t="str">
        <f t="shared" si="21"/>
        <v>-</v>
      </c>
      <c r="H23" s="767" t="str">
        <f t="shared" si="22"/>
        <v>-</v>
      </c>
      <c r="I23" s="767" t="str">
        <f t="shared" si="22"/>
        <v>-</v>
      </c>
      <c r="J23" s="769" t="str">
        <f t="shared" si="22"/>
        <v>-</v>
      </c>
      <c r="K23" s="770" t="str">
        <f t="shared" si="23"/>
        <v>-</v>
      </c>
      <c r="L23" s="770" t="str">
        <f t="shared" si="23"/>
        <v>N/A</v>
      </c>
      <c r="M23" s="771" t="str">
        <f t="shared" si="24"/>
        <v>-</v>
      </c>
      <c r="N23" s="772" t="str">
        <f t="shared" si="25"/>
        <v>N/A</v>
      </c>
      <c r="O23" s="769" t="str">
        <f t="shared" si="26"/>
        <v>-</v>
      </c>
      <c r="P23" s="773" t="str">
        <f t="shared" si="26"/>
        <v>-</v>
      </c>
      <c r="Q23" s="769" t="str">
        <f t="shared" si="26"/>
        <v>-</v>
      </c>
      <c r="R23" s="770" t="str">
        <f t="shared" si="27"/>
        <v>-</v>
      </c>
      <c r="S23" s="770" t="str">
        <f t="shared" si="27"/>
        <v>N/A</v>
      </c>
      <c r="T23" s="771" t="str">
        <f t="shared" si="28"/>
        <v>-</v>
      </c>
      <c r="U23" s="772" t="str">
        <f t="shared" si="29"/>
        <v>N/A</v>
      </c>
      <c r="V23" s="769" t="str">
        <f t="shared" si="30"/>
        <v>-</v>
      </c>
      <c r="W23" s="774" t="str">
        <f t="shared" si="30"/>
        <v>-</v>
      </c>
      <c r="X23" s="769" t="str">
        <f t="shared" si="31"/>
        <v>-</v>
      </c>
      <c r="Y23" s="774" t="str">
        <f t="shared" si="31"/>
        <v>-</v>
      </c>
      <c r="Z23" s="769" t="str">
        <f t="shared" si="30"/>
        <v>-</v>
      </c>
      <c r="AA23" s="774" t="str">
        <f t="shared" si="30"/>
        <v>-</v>
      </c>
      <c r="AB23" s="775"/>
      <c r="AC23" s="776"/>
      <c r="AD23" s="777"/>
      <c r="AE23" s="778" t="str">
        <f t="shared" si="32"/>
        <v>0_2023_CFO</v>
      </c>
      <c r="AF23" s="778"/>
      <c r="AG23" s="782" t="str" cm="1">
        <f t="array" ref="AG23">IFERROR(INDEX('Import 2023 Data'!$E$4:$I$113,_xlfn.XMATCH(CFO!$AE23,'Import 2023 Data'!$C$4:$C$113),_xlfn.XMATCH(CFO!AG$5,'Import 2023 Data'!$E$3:$I$3)),"-")</f>
        <v>-</v>
      </c>
      <c r="AH23" s="778" t="str" cm="1">
        <f t="array" ref="AH23">IFERROR(INDEX('Import 2023 Data'!$E$4:$I$113,_xlfn.XMATCH(CFO!$AE23,'Import 2023 Data'!$C$4:$C$113),_xlfn.XMATCH(CFO!AH$5,'Import 2023 Data'!$E$3:$I$3)),"-")</f>
        <v>-</v>
      </c>
      <c r="AI23" s="778"/>
      <c r="AJ23" s="783" t="str">
        <f t="shared" si="33"/>
        <v>N</v>
      </c>
      <c r="AK23" s="778" t="str" cm="1">
        <f t="array" ref="AK23">IFERROR(INDEX('Import 2023 Data'!$E$4:$I$113,_xlfn.XMATCH(CFO!$AE23,'Import 2023 Data'!$C$4:$C$113),_xlfn.XMATCH(CFO!AK$5,'Import 2023 Data'!$E$3:$I$3)),"-")</f>
        <v>-</v>
      </c>
      <c r="AL23" s="775" t="str" cm="1">
        <f t="array" ref="AL23">IFERROR(INDEX('Import 2023 Data'!$E$4:$I$113,_xlfn.XMATCH(CFO!$AE23,'Import 2023 Data'!$C$4:$C$113),_xlfn.XMATCH(CFO!AL$5,'Import 2023 Data'!$E$3:$I$3)),"-")</f>
        <v>-</v>
      </c>
      <c r="AM23" s="775" t="str" cm="1">
        <f t="array" ref="AM23">IFERROR(INDEX('Import 2023 Data'!$E$4:$I$113,_xlfn.XMATCH(CFO!$AE23,'Import 2023 Data'!$C$4:$C$113),_xlfn.XMATCH(CFO!AM$5,'Import 2023 Data'!$E$3:$I$3)),"-")</f>
        <v>-</v>
      </c>
      <c r="AN23" s="505" t="str">
        <f t="shared" si="34"/>
        <v>-</v>
      </c>
    </row>
    <row r="24" spans="1:42" ht="20.25" hidden="1" customHeight="1" outlineLevel="1">
      <c r="A24" s="12" t="str">
        <f t="shared" si="19"/>
        <v>0_2024_CFO</v>
      </c>
      <c r="B24" s="12">
        <f>'Raw Data'!D21</f>
        <v>0</v>
      </c>
      <c r="C24" s="766" t="str">
        <f t="shared" si="20"/>
        <v>(Invalid Identifier)</v>
      </c>
      <c r="D24" s="767" t="str">
        <f>_xll.ciqfunctions.udf.CIQ(B24, "IQ_MARKETCAP", $A$1,$A$2)</f>
        <v>(Invalid Identifier)</v>
      </c>
      <c r="E24" s="767" t="str">
        <f>_xll.ciqfunctions.udf.CIQ($B24, "IQ_TEV", $A$1,$A$2)</f>
        <v>(Invalid Identifier)</v>
      </c>
      <c r="F24" s="768" t="str">
        <f t="shared" si="21"/>
        <v>-</v>
      </c>
      <c r="G24" s="768" t="str">
        <f t="shared" si="21"/>
        <v>-</v>
      </c>
      <c r="H24" s="767" t="str">
        <f t="shared" si="22"/>
        <v>-</v>
      </c>
      <c r="I24" s="767" t="str">
        <f t="shared" si="22"/>
        <v>-</v>
      </c>
      <c r="J24" s="769" t="str">
        <f t="shared" si="22"/>
        <v>-</v>
      </c>
      <c r="K24" s="770" t="str">
        <f t="shared" si="23"/>
        <v>-</v>
      </c>
      <c r="L24" s="770" t="str">
        <f t="shared" si="23"/>
        <v>N/A</v>
      </c>
      <c r="M24" s="771" t="str">
        <f t="shared" si="24"/>
        <v>-</v>
      </c>
      <c r="N24" s="772" t="str">
        <f t="shared" si="25"/>
        <v>N/A</v>
      </c>
      <c r="O24" s="769" t="str">
        <f t="shared" si="26"/>
        <v>-</v>
      </c>
      <c r="P24" s="773" t="str">
        <f t="shared" si="26"/>
        <v>-</v>
      </c>
      <c r="Q24" s="769" t="str">
        <f t="shared" si="26"/>
        <v>-</v>
      </c>
      <c r="R24" s="770" t="str">
        <f t="shared" si="27"/>
        <v>-</v>
      </c>
      <c r="S24" s="770" t="str">
        <f t="shared" si="27"/>
        <v>N/A</v>
      </c>
      <c r="T24" s="771" t="str">
        <f t="shared" si="28"/>
        <v>-</v>
      </c>
      <c r="U24" s="772" t="str">
        <f t="shared" si="29"/>
        <v>N/A</v>
      </c>
      <c r="V24" s="769" t="str">
        <f t="shared" si="30"/>
        <v>-</v>
      </c>
      <c r="W24" s="774" t="str">
        <f t="shared" si="30"/>
        <v>-</v>
      </c>
      <c r="X24" s="769" t="str">
        <f t="shared" si="31"/>
        <v>-</v>
      </c>
      <c r="Y24" s="774" t="str">
        <f t="shared" si="31"/>
        <v>-</v>
      </c>
      <c r="Z24" s="769" t="str">
        <f t="shared" si="30"/>
        <v>-</v>
      </c>
      <c r="AA24" s="774" t="str">
        <f t="shared" si="30"/>
        <v>-</v>
      </c>
      <c r="AB24" s="775"/>
      <c r="AC24" s="776"/>
      <c r="AD24" s="777"/>
      <c r="AE24" s="778" t="str">
        <f t="shared" si="32"/>
        <v>0_2023_CFO</v>
      </c>
      <c r="AF24" s="778"/>
      <c r="AG24" s="782" t="str" cm="1">
        <f t="array" ref="AG24">IFERROR(INDEX('Import 2023 Data'!$E$4:$I$113,_xlfn.XMATCH(CFO!$AE24,'Import 2023 Data'!$C$4:$C$113),_xlfn.XMATCH(CFO!AG$5,'Import 2023 Data'!$E$3:$I$3)),"-")</f>
        <v>-</v>
      </c>
      <c r="AH24" s="778" t="str" cm="1">
        <f t="array" ref="AH24">IFERROR(INDEX('Import 2023 Data'!$E$4:$I$113,_xlfn.XMATCH(CFO!$AE24,'Import 2023 Data'!$C$4:$C$113),_xlfn.XMATCH(CFO!AH$5,'Import 2023 Data'!$E$3:$I$3)),"-")</f>
        <v>-</v>
      </c>
      <c r="AI24" s="778"/>
      <c r="AJ24" s="783" t="str">
        <f t="shared" si="33"/>
        <v>N</v>
      </c>
      <c r="AK24" s="778" t="str" cm="1">
        <f t="array" ref="AK24">IFERROR(INDEX('Import 2023 Data'!$E$4:$I$113,_xlfn.XMATCH(CFO!$AE24,'Import 2023 Data'!$C$4:$C$113),_xlfn.XMATCH(CFO!AK$5,'Import 2023 Data'!$E$3:$I$3)),"-")</f>
        <v>-</v>
      </c>
      <c r="AL24" s="775" t="str" cm="1">
        <f t="array" ref="AL24">IFERROR(INDEX('Import 2023 Data'!$E$4:$I$113,_xlfn.XMATCH(CFO!$AE24,'Import 2023 Data'!$C$4:$C$113),_xlfn.XMATCH(CFO!AL$5,'Import 2023 Data'!$E$3:$I$3)),"-")</f>
        <v>-</v>
      </c>
      <c r="AM24" s="775" t="str" cm="1">
        <f t="array" ref="AM24">IFERROR(INDEX('Import 2023 Data'!$E$4:$I$113,_xlfn.XMATCH(CFO!$AE24,'Import 2023 Data'!$C$4:$C$113),_xlfn.XMATCH(CFO!AM$5,'Import 2023 Data'!$E$3:$I$3)),"-")</f>
        <v>-</v>
      </c>
      <c r="AN24" s="505" t="str">
        <f t="shared" si="34"/>
        <v>-</v>
      </c>
    </row>
    <row r="25" spans="1:42" ht="20.25" hidden="1" customHeight="1" outlineLevel="1">
      <c r="A25" s="12" t="str">
        <f t="shared" si="19"/>
        <v>0_2024_CFO</v>
      </c>
      <c r="B25" s="12">
        <f>'Raw Data'!D22</f>
        <v>0</v>
      </c>
      <c r="C25" s="766" t="str">
        <f t="shared" si="20"/>
        <v>(Invalid Identifier)</v>
      </c>
      <c r="D25" s="767" t="str">
        <f>_xll.ciqfunctions.udf.CIQ(B25, "IQ_MARKETCAP", $A$1,$A$2)</f>
        <v>(Invalid Identifier)</v>
      </c>
      <c r="E25" s="767" t="str">
        <f>_xll.ciqfunctions.udf.CIQ($B25, "IQ_TEV", $A$1,$A$2)</f>
        <v>(Invalid Identifier)</v>
      </c>
      <c r="F25" s="768" t="str">
        <f t="shared" si="21"/>
        <v>-</v>
      </c>
      <c r="G25" s="768" t="str">
        <f t="shared" si="21"/>
        <v>-</v>
      </c>
      <c r="H25" s="767" t="str">
        <f t="shared" si="22"/>
        <v>-</v>
      </c>
      <c r="I25" s="767" t="str">
        <f t="shared" si="22"/>
        <v>-</v>
      </c>
      <c r="J25" s="769" t="str">
        <f t="shared" si="22"/>
        <v>-</v>
      </c>
      <c r="K25" s="770" t="str">
        <f t="shared" si="23"/>
        <v>-</v>
      </c>
      <c r="L25" s="770" t="str">
        <f t="shared" si="23"/>
        <v>N/A</v>
      </c>
      <c r="M25" s="771" t="str">
        <f t="shared" si="24"/>
        <v>-</v>
      </c>
      <c r="N25" s="772" t="str">
        <f t="shared" si="25"/>
        <v>N/A</v>
      </c>
      <c r="O25" s="769" t="str">
        <f t="shared" si="26"/>
        <v>-</v>
      </c>
      <c r="P25" s="773" t="str">
        <f t="shared" si="26"/>
        <v>-</v>
      </c>
      <c r="Q25" s="769" t="str">
        <f t="shared" si="26"/>
        <v>-</v>
      </c>
      <c r="R25" s="770" t="str">
        <f t="shared" si="27"/>
        <v>-</v>
      </c>
      <c r="S25" s="770" t="str">
        <f t="shared" si="27"/>
        <v>N/A</v>
      </c>
      <c r="T25" s="771" t="str">
        <f t="shared" si="28"/>
        <v>-</v>
      </c>
      <c r="U25" s="772" t="str">
        <f t="shared" si="29"/>
        <v>N/A</v>
      </c>
      <c r="V25" s="769" t="str">
        <f t="shared" si="30"/>
        <v>-</v>
      </c>
      <c r="W25" s="774" t="str">
        <f t="shared" si="30"/>
        <v>-</v>
      </c>
      <c r="X25" s="769" t="str">
        <f t="shared" si="31"/>
        <v>-</v>
      </c>
      <c r="Y25" s="774" t="str">
        <f t="shared" si="31"/>
        <v>-</v>
      </c>
      <c r="Z25" s="769" t="str">
        <f t="shared" si="30"/>
        <v>-</v>
      </c>
      <c r="AA25" s="774" t="str">
        <f t="shared" si="30"/>
        <v>-</v>
      </c>
      <c r="AB25" s="775"/>
      <c r="AC25" s="776"/>
      <c r="AD25" s="777"/>
      <c r="AE25" s="778" t="str">
        <f t="shared" si="32"/>
        <v>0_2023_CFO</v>
      </c>
      <c r="AF25" s="778"/>
      <c r="AG25" s="782" t="str" cm="1">
        <f t="array" ref="AG25">IFERROR(INDEX('Import 2023 Data'!$E$4:$I$113,_xlfn.XMATCH(CFO!$AE25,'Import 2023 Data'!$C$4:$C$113),_xlfn.XMATCH(CFO!AG$5,'Import 2023 Data'!$E$3:$I$3)),"-")</f>
        <v>-</v>
      </c>
      <c r="AH25" s="778" t="str" cm="1">
        <f t="array" ref="AH25">IFERROR(INDEX('Import 2023 Data'!$E$4:$I$113,_xlfn.XMATCH(CFO!$AE25,'Import 2023 Data'!$C$4:$C$113),_xlfn.XMATCH(CFO!AH$5,'Import 2023 Data'!$E$3:$I$3)),"-")</f>
        <v>-</v>
      </c>
      <c r="AI25" s="778"/>
      <c r="AJ25" s="783" t="str">
        <f t="shared" si="33"/>
        <v>N</v>
      </c>
      <c r="AK25" s="778" t="str" cm="1">
        <f t="array" ref="AK25">IFERROR(INDEX('Import 2023 Data'!$E$4:$I$113,_xlfn.XMATCH(CFO!$AE25,'Import 2023 Data'!$C$4:$C$113),_xlfn.XMATCH(CFO!AK$5,'Import 2023 Data'!$E$3:$I$3)),"-")</f>
        <v>-</v>
      </c>
      <c r="AL25" s="775" t="str" cm="1">
        <f t="array" ref="AL25">IFERROR(INDEX('Import 2023 Data'!$E$4:$I$113,_xlfn.XMATCH(CFO!$AE25,'Import 2023 Data'!$C$4:$C$113),_xlfn.XMATCH(CFO!AL$5,'Import 2023 Data'!$E$3:$I$3)),"-")</f>
        <v>-</v>
      </c>
      <c r="AM25" s="775" t="str" cm="1">
        <f t="array" ref="AM25">IFERROR(INDEX('Import 2023 Data'!$E$4:$I$113,_xlfn.XMATCH(CFO!$AE25,'Import 2023 Data'!$C$4:$C$113),_xlfn.XMATCH(CFO!AM$5,'Import 2023 Data'!$E$3:$I$3)),"-")</f>
        <v>-</v>
      </c>
      <c r="AN25" s="505" t="str">
        <f t="shared" si="34"/>
        <v>-</v>
      </c>
    </row>
    <row r="26" spans="1:42" ht="20.25" hidden="1" customHeight="1" outlineLevel="1">
      <c r="A26" s="12" t="str">
        <f t="shared" si="19"/>
        <v>0_2024_CFO</v>
      </c>
      <c r="B26" s="12">
        <f>'Raw Data'!D23</f>
        <v>0</v>
      </c>
      <c r="C26" s="766" t="str">
        <f t="shared" si="20"/>
        <v>(Invalid Identifier)</v>
      </c>
      <c r="D26" s="767" t="str">
        <f>_xll.ciqfunctions.udf.CIQ(B26, "IQ_MARKETCAP", $A$1,$A$2)</f>
        <v>(Invalid Identifier)</v>
      </c>
      <c r="E26" s="767" t="str">
        <f>_xll.ciqfunctions.udf.CIQ($B26, "IQ_TEV", $A$1,$A$2)</f>
        <v>(Invalid Identifier)</v>
      </c>
      <c r="F26" s="768" t="str">
        <f t="shared" si="21"/>
        <v>-</v>
      </c>
      <c r="G26" s="768" t="str">
        <f t="shared" si="21"/>
        <v>-</v>
      </c>
      <c r="H26" s="767" t="str">
        <f t="shared" si="22"/>
        <v>-</v>
      </c>
      <c r="I26" s="767" t="str">
        <f t="shared" si="22"/>
        <v>-</v>
      </c>
      <c r="J26" s="769" t="str">
        <f t="shared" si="22"/>
        <v>-</v>
      </c>
      <c r="K26" s="770" t="str">
        <f t="shared" si="23"/>
        <v>-</v>
      </c>
      <c r="L26" s="770" t="str">
        <f t="shared" si="23"/>
        <v>N/A</v>
      </c>
      <c r="M26" s="771" t="str">
        <f t="shared" si="24"/>
        <v>-</v>
      </c>
      <c r="N26" s="772" t="str">
        <f t="shared" si="25"/>
        <v>N/A</v>
      </c>
      <c r="O26" s="769" t="str">
        <f t="shared" si="26"/>
        <v>-</v>
      </c>
      <c r="P26" s="773" t="str">
        <f t="shared" si="26"/>
        <v>-</v>
      </c>
      <c r="Q26" s="769" t="str">
        <f t="shared" si="26"/>
        <v>-</v>
      </c>
      <c r="R26" s="770" t="str">
        <f t="shared" si="27"/>
        <v>-</v>
      </c>
      <c r="S26" s="770" t="str">
        <f t="shared" si="27"/>
        <v>N/A</v>
      </c>
      <c r="T26" s="771" t="str">
        <f t="shared" si="28"/>
        <v>-</v>
      </c>
      <c r="U26" s="772" t="str">
        <f t="shared" si="29"/>
        <v>N/A</v>
      </c>
      <c r="V26" s="769" t="str">
        <f t="shared" si="30"/>
        <v>-</v>
      </c>
      <c r="W26" s="774" t="str">
        <f t="shared" si="30"/>
        <v>-</v>
      </c>
      <c r="X26" s="769" t="str">
        <f t="shared" si="31"/>
        <v>-</v>
      </c>
      <c r="Y26" s="774" t="str">
        <f t="shared" si="31"/>
        <v>-</v>
      </c>
      <c r="Z26" s="769" t="str">
        <f t="shared" si="30"/>
        <v>-</v>
      </c>
      <c r="AA26" s="774" t="str">
        <f t="shared" si="30"/>
        <v>-</v>
      </c>
      <c r="AB26" s="775"/>
      <c r="AC26" s="776"/>
      <c r="AD26" s="777"/>
      <c r="AE26" s="778" t="str">
        <f t="shared" si="32"/>
        <v>0_2023_CFO</v>
      </c>
      <c r="AF26" s="778"/>
      <c r="AG26" s="782" t="str" cm="1">
        <f t="array" ref="AG26">IFERROR(INDEX('Import 2023 Data'!$E$4:$I$113,_xlfn.XMATCH(CFO!$AE26,'Import 2023 Data'!$C$4:$C$113),_xlfn.XMATCH(CFO!AG$5,'Import 2023 Data'!$E$3:$I$3)),"-")</f>
        <v>-</v>
      </c>
      <c r="AH26" s="778" t="str" cm="1">
        <f t="array" ref="AH26">IFERROR(INDEX('Import 2023 Data'!$E$4:$I$113,_xlfn.XMATCH(CFO!$AE26,'Import 2023 Data'!$C$4:$C$113),_xlfn.XMATCH(CFO!AH$5,'Import 2023 Data'!$E$3:$I$3)),"-")</f>
        <v>-</v>
      </c>
      <c r="AI26" s="778"/>
      <c r="AJ26" s="783" t="str">
        <f t="shared" si="33"/>
        <v>N</v>
      </c>
      <c r="AK26" s="778" t="str" cm="1">
        <f t="array" ref="AK26">IFERROR(INDEX('Import 2023 Data'!$E$4:$I$113,_xlfn.XMATCH(CFO!$AE26,'Import 2023 Data'!$C$4:$C$113),_xlfn.XMATCH(CFO!AK$5,'Import 2023 Data'!$E$3:$I$3)),"-")</f>
        <v>-</v>
      </c>
      <c r="AL26" s="775" t="str" cm="1">
        <f t="array" ref="AL26">IFERROR(INDEX('Import 2023 Data'!$E$4:$I$113,_xlfn.XMATCH(CFO!$AE26,'Import 2023 Data'!$C$4:$C$113),_xlfn.XMATCH(CFO!AL$5,'Import 2023 Data'!$E$3:$I$3)),"-")</f>
        <v>-</v>
      </c>
      <c r="AM26" s="775" t="str" cm="1">
        <f t="array" ref="AM26">IFERROR(INDEX('Import 2023 Data'!$E$4:$I$113,_xlfn.XMATCH(CFO!$AE26,'Import 2023 Data'!$C$4:$C$113),_xlfn.XMATCH(CFO!AM$5,'Import 2023 Data'!$E$3:$I$3)),"-")</f>
        <v>-</v>
      </c>
      <c r="AN26" s="505" t="str">
        <f t="shared" si="34"/>
        <v>-</v>
      </c>
    </row>
    <row r="27" spans="1:42" ht="20.25" hidden="1" customHeight="1" outlineLevel="1">
      <c r="A27" s="12" t="str">
        <f t="shared" si="19"/>
        <v>0_2024_CFO</v>
      </c>
      <c r="B27" s="12">
        <f>'Raw Data'!D24</f>
        <v>0</v>
      </c>
      <c r="C27" s="766" t="str">
        <f t="shared" si="20"/>
        <v>(Invalid Identifier)</v>
      </c>
      <c r="D27" s="767" t="str">
        <f>_xll.ciqfunctions.udf.CIQ(B27, "IQ_MARKETCAP", $A$1,$A$2)</f>
        <v>(Invalid Identifier)</v>
      </c>
      <c r="E27" s="767" t="str">
        <f>_xll.ciqfunctions.udf.CIQ($B27, "IQ_TEV", $A$1,$A$2)</f>
        <v>(Invalid Identifier)</v>
      </c>
      <c r="F27" s="768" t="str">
        <f t="shared" si="21"/>
        <v>-</v>
      </c>
      <c r="G27" s="768" t="str">
        <f t="shared" si="21"/>
        <v>-</v>
      </c>
      <c r="H27" s="767" t="str">
        <f t="shared" si="22"/>
        <v>-</v>
      </c>
      <c r="I27" s="767" t="str">
        <f t="shared" si="22"/>
        <v>-</v>
      </c>
      <c r="J27" s="769" t="str">
        <f t="shared" si="22"/>
        <v>-</v>
      </c>
      <c r="K27" s="770" t="str">
        <f t="shared" si="23"/>
        <v>-</v>
      </c>
      <c r="L27" s="770" t="str">
        <f t="shared" si="23"/>
        <v>N/A</v>
      </c>
      <c r="M27" s="771" t="str">
        <f t="shared" si="24"/>
        <v>-</v>
      </c>
      <c r="N27" s="772" t="str">
        <f t="shared" si="25"/>
        <v>N/A</v>
      </c>
      <c r="O27" s="769" t="str">
        <f t="shared" si="26"/>
        <v>-</v>
      </c>
      <c r="P27" s="773" t="str">
        <f t="shared" si="26"/>
        <v>-</v>
      </c>
      <c r="Q27" s="769" t="str">
        <f t="shared" si="26"/>
        <v>-</v>
      </c>
      <c r="R27" s="770" t="str">
        <f t="shared" si="27"/>
        <v>-</v>
      </c>
      <c r="S27" s="770" t="str">
        <f t="shared" si="27"/>
        <v>N/A</v>
      </c>
      <c r="T27" s="771" t="str">
        <f t="shared" si="28"/>
        <v>-</v>
      </c>
      <c r="U27" s="772" t="str">
        <f t="shared" si="29"/>
        <v>N/A</v>
      </c>
      <c r="V27" s="769" t="str">
        <f t="shared" si="30"/>
        <v>-</v>
      </c>
      <c r="W27" s="774" t="str">
        <f t="shared" si="30"/>
        <v>-</v>
      </c>
      <c r="X27" s="769" t="str">
        <f t="shared" si="31"/>
        <v>-</v>
      </c>
      <c r="Y27" s="774" t="str">
        <f t="shared" si="31"/>
        <v>-</v>
      </c>
      <c r="Z27" s="769" t="str">
        <f t="shared" si="30"/>
        <v>-</v>
      </c>
      <c r="AA27" s="774" t="str">
        <f t="shared" si="30"/>
        <v>-</v>
      </c>
      <c r="AB27" s="775"/>
      <c r="AC27" s="776"/>
      <c r="AD27" s="777"/>
      <c r="AE27" s="778" t="str">
        <f t="shared" si="32"/>
        <v>0_2023_CFO</v>
      </c>
      <c r="AF27" s="778"/>
      <c r="AG27" s="784" t="str" cm="1">
        <f t="array" ref="AG27">IFERROR(INDEX('Import 2023 Data'!$E$4:$I$113,_xlfn.XMATCH(CFO!$AE27,'Import 2023 Data'!$C$4:$C$113),_xlfn.XMATCH(CFO!AG$5,'Import 2023 Data'!$E$3:$I$3)),"-")</f>
        <v>-</v>
      </c>
      <c r="AH27" s="785" t="str" cm="1">
        <f t="array" ref="AH27">IFERROR(INDEX('Import 2023 Data'!$E$4:$I$113,_xlfn.XMATCH(CFO!$AE27,'Import 2023 Data'!$C$4:$C$113),_xlfn.XMATCH(CFO!AH$5,'Import 2023 Data'!$E$3:$I$3)),"-")</f>
        <v>-</v>
      </c>
      <c r="AI27" s="785"/>
      <c r="AJ27" s="786" t="str">
        <f t="shared" si="33"/>
        <v>N</v>
      </c>
      <c r="AK27" s="785" t="str" cm="1">
        <f t="array" ref="AK27">IFERROR(INDEX('Import 2023 Data'!$E$4:$I$113,_xlfn.XMATCH(CFO!$AE27,'Import 2023 Data'!$C$4:$C$113),_xlfn.XMATCH(CFO!AK$5,'Import 2023 Data'!$E$3:$I$3)),"-")</f>
        <v>-</v>
      </c>
      <c r="AL27" s="787" t="str" cm="1">
        <f t="array" ref="AL27">IFERROR(INDEX('Import 2023 Data'!$E$4:$I$113,_xlfn.XMATCH(CFO!$AE27,'Import 2023 Data'!$C$4:$C$113),_xlfn.XMATCH(CFO!AL$5,'Import 2023 Data'!$E$3:$I$3)),"-")</f>
        <v>-</v>
      </c>
      <c r="AM27" s="787" t="str" cm="1">
        <f t="array" ref="AM27">IFERROR(INDEX('Import 2023 Data'!$E$4:$I$113,_xlfn.XMATCH(CFO!$AE27,'Import 2023 Data'!$C$4:$C$113),_xlfn.XMATCH(CFO!AM$5,'Import 2023 Data'!$E$3:$I$3)),"-")</f>
        <v>-</v>
      </c>
      <c r="AN27" s="509" t="str">
        <f t="shared" si="34"/>
        <v>-</v>
      </c>
    </row>
    <row r="28" spans="1:42" ht="20.25" customHeight="1" collapsed="1">
      <c r="C28" s="788" t="str">
        <f>$C$3&amp;" Summary Statistics"</f>
        <v>2024 Summary Statistics</v>
      </c>
      <c r="D28" s="789"/>
      <c r="E28" s="789"/>
      <c r="F28" s="789"/>
      <c r="G28" s="789"/>
      <c r="H28" s="789"/>
      <c r="I28" s="789"/>
      <c r="J28" s="789"/>
      <c r="K28" s="790"/>
      <c r="L28" s="790"/>
      <c r="M28" s="789"/>
      <c r="N28" s="790"/>
      <c r="O28" s="789"/>
      <c r="P28" s="789"/>
      <c r="Q28" s="789"/>
      <c r="R28" s="790"/>
      <c r="S28" s="790"/>
      <c r="T28" s="789"/>
      <c r="U28" s="790"/>
      <c r="V28" s="789"/>
      <c r="W28" s="791"/>
      <c r="X28" s="789"/>
      <c r="Y28" s="791"/>
      <c r="Z28" s="789"/>
      <c r="AA28" s="791"/>
      <c r="AB28" s="775"/>
      <c r="AC28" s="792"/>
      <c r="AD28" s="793"/>
      <c r="AE28" s="778"/>
      <c r="AF28" s="778"/>
      <c r="AG28" s="778"/>
      <c r="AH28" s="778"/>
      <c r="AI28" s="778"/>
      <c r="AJ28" s="778"/>
      <c r="AK28" s="778"/>
      <c r="AL28" s="794"/>
      <c r="AM28" s="795"/>
    </row>
    <row r="29" spans="1:42" s="17" customFormat="1" ht="20.25" customHeight="1">
      <c r="B29" s="17">
        <v>0.75</v>
      </c>
      <c r="C29" s="796" t="s">
        <v>9</v>
      </c>
      <c r="D29" s="797">
        <f t="shared" ref="D29:E31" si="35">PERCENTILE(D$8:D$27,$B29)</f>
        <v>10464.1094025</v>
      </c>
      <c r="E29" s="797">
        <f t="shared" si="35"/>
        <v>13103.839205</v>
      </c>
      <c r="F29" s="798"/>
      <c r="G29" s="798"/>
      <c r="H29" s="798"/>
      <c r="I29" s="797">
        <f t="shared" ref="I29:X31" si="36">PERCENTILE(I$8:I$27,$B29)</f>
        <v>607.98072312500017</v>
      </c>
      <c r="J29" s="799">
        <f t="shared" si="36"/>
        <v>554.53211951749995</v>
      </c>
      <c r="K29" s="800">
        <f t="shared" si="36"/>
        <v>1.0704683660650596</v>
      </c>
      <c r="L29" s="800">
        <f t="shared" si="36"/>
        <v>0.96678797312829623</v>
      </c>
      <c r="M29" s="801">
        <f t="shared" si="36"/>
        <v>511.85963624999999</v>
      </c>
      <c r="N29" s="777">
        <f t="shared" si="36"/>
        <v>0.83750000000000002</v>
      </c>
      <c r="O29" s="799">
        <f t="shared" si="36"/>
        <v>1238.3356038449999</v>
      </c>
      <c r="P29" s="802">
        <f t="shared" si="36"/>
        <v>1113.1147575</v>
      </c>
      <c r="Q29" s="799">
        <f t="shared" si="36"/>
        <v>1265.5619735525001</v>
      </c>
      <c r="R29" s="800">
        <f t="shared" si="36"/>
        <v>1.7875000000000001</v>
      </c>
      <c r="S29" s="800">
        <f t="shared" si="36"/>
        <v>1.7317882392639397</v>
      </c>
      <c r="T29" s="801">
        <f t="shared" si="36"/>
        <v>1220.2796000822643</v>
      </c>
      <c r="U29" s="777">
        <f t="shared" si="36"/>
        <v>1.9045454545454545</v>
      </c>
      <c r="V29" s="799">
        <f t="shared" si="36"/>
        <v>2493.1140611350002</v>
      </c>
      <c r="W29" s="802">
        <f t="shared" si="36"/>
        <v>2444.054430566538</v>
      </c>
      <c r="X29" s="799">
        <f t="shared" si="36"/>
        <v>126.61603953000001</v>
      </c>
      <c r="Y29" s="802">
        <f t="shared" ref="X29:AA31" si="37">PERCENTILE(Y$8:Y$27,$B29)</f>
        <v>63.445999999999998</v>
      </c>
      <c r="Z29" s="799">
        <f t="shared" si="37"/>
        <v>2611.8965000000003</v>
      </c>
      <c r="AA29" s="802">
        <f t="shared" si="37"/>
        <v>2584.9703113960559</v>
      </c>
      <c r="AB29" s="803"/>
      <c r="AC29" s="776">
        <f t="shared" ref="AC29:AD31" si="38">PERCENTILE(AC$8:AC$27,$B29)</f>
        <v>0.53004832636398858</v>
      </c>
      <c r="AD29" s="777">
        <f t="shared" si="38"/>
        <v>0.5</v>
      </c>
      <c r="AE29" s="778"/>
      <c r="AF29" s="778"/>
      <c r="AG29" s="778"/>
      <c r="AH29" s="778"/>
      <c r="AI29" s="778"/>
      <c r="AJ29" s="778"/>
      <c r="AK29" s="778"/>
      <c r="AL29" s="804">
        <v>2399.8623528950002</v>
      </c>
      <c r="AM29" s="805">
        <v>2293.7646553845962</v>
      </c>
      <c r="AN29" s="666">
        <f>PERCENTILE(AN$8:AN$27,$B29)</f>
        <v>0.13777932397463505</v>
      </c>
    </row>
    <row r="30" spans="1:42" s="17" customFormat="1" ht="20.25" customHeight="1">
      <c r="B30" s="17">
        <v>0.5</v>
      </c>
      <c r="C30" s="806" t="s">
        <v>8</v>
      </c>
      <c r="D30" s="807">
        <f t="shared" si="35"/>
        <v>5657.4490150000001</v>
      </c>
      <c r="E30" s="807">
        <f t="shared" si="35"/>
        <v>6231.8004299999993</v>
      </c>
      <c r="F30" s="808"/>
      <c r="G30" s="808"/>
      <c r="H30" s="808"/>
      <c r="I30" s="807">
        <f t="shared" si="36"/>
        <v>539.03606725000009</v>
      </c>
      <c r="J30" s="809">
        <f t="shared" si="36"/>
        <v>492.01900000000001</v>
      </c>
      <c r="K30" s="810">
        <f t="shared" si="36"/>
        <v>0.90156877090301002</v>
      </c>
      <c r="L30" s="810">
        <f t="shared" si="36"/>
        <v>0.84295846184717149</v>
      </c>
      <c r="M30" s="811">
        <f t="shared" si="36"/>
        <v>431.11199999999997</v>
      </c>
      <c r="N30" s="812">
        <f t="shared" si="36"/>
        <v>0.8</v>
      </c>
      <c r="O30" s="809">
        <f t="shared" si="36"/>
        <v>1014.6590000000001</v>
      </c>
      <c r="P30" s="813">
        <f t="shared" si="36"/>
        <v>957.98186768749997</v>
      </c>
      <c r="Q30" s="809">
        <f t="shared" si="36"/>
        <v>891.19864227500011</v>
      </c>
      <c r="R30" s="810">
        <f t="shared" si="36"/>
        <v>1.6278842334172414</v>
      </c>
      <c r="S30" s="810">
        <f t="shared" si="36"/>
        <v>1.5876381434841487</v>
      </c>
      <c r="T30" s="811">
        <f t="shared" si="36"/>
        <v>959.22256000000004</v>
      </c>
      <c r="U30" s="812">
        <f t="shared" si="36"/>
        <v>1.75</v>
      </c>
      <c r="V30" s="809">
        <f t="shared" si="36"/>
        <v>1969.6844243000003</v>
      </c>
      <c r="W30" s="813">
        <f t="shared" si="36"/>
        <v>1947.2020750000001</v>
      </c>
      <c r="X30" s="809">
        <f t="shared" si="37"/>
        <v>93.573999999999998</v>
      </c>
      <c r="Y30" s="813">
        <f t="shared" si="37"/>
        <v>32.156519730000007</v>
      </c>
      <c r="Z30" s="809">
        <f t="shared" si="37"/>
        <v>2113.6598326450003</v>
      </c>
      <c r="AA30" s="813">
        <f t="shared" si="37"/>
        <v>2058.4706453700001</v>
      </c>
      <c r="AB30" s="803"/>
      <c r="AC30" s="814">
        <f t="shared" si="38"/>
        <v>0.50714431516636049</v>
      </c>
      <c r="AD30" s="812">
        <f t="shared" si="38"/>
        <v>0.49285568483363951</v>
      </c>
      <c r="AE30" s="778"/>
      <c r="AF30" s="778"/>
      <c r="AG30" s="778"/>
      <c r="AH30" s="778"/>
      <c r="AI30" s="778"/>
      <c r="AJ30" s="778"/>
      <c r="AK30" s="778">
        <f>W30/AM30</f>
        <v>1.0599267735737108</v>
      </c>
      <c r="AL30" s="809">
        <v>1882.2155</v>
      </c>
      <c r="AM30" s="813">
        <v>1837.1100000000001</v>
      </c>
      <c r="AN30" s="667">
        <f>PERCENTILE(AN$8:AN$27,$B30)</f>
        <v>7.4670495006368243E-2</v>
      </c>
      <c r="AO30" s="17">
        <f>W30/AM30-1</f>
        <v>5.992677357371079E-2</v>
      </c>
      <c r="AP30" s="17">
        <f>W30/AM30</f>
        <v>1.0599267735737108</v>
      </c>
    </row>
    <row r="31" spans="1:42" s="17" customFormat="1" ht="20.25" customHeight="1">
      <c r="B31" s="17">
        <v>0.25</v>
      </c>
      <c r="C31" s="796" t="s">
        <v>7</v>
      </c>
      <c r="D31" s="797">
        <f t="shared" si="35"/>
        <v>4590.7197175000001</v>
      </c>
      <c r="E31" s="797">
        <f t="shared" si="35"/>
        <v>4910.1473049999995</v>
      </c>
      <c r="F31" s="798"/>
      <c r="G31" s="798"/>
      <c r="H31" s="798"/>
      <c r="I31" s="797">
        <f t="shared" si="36"/>
        <v>520</v>
      </c>
      <c r="J31" s="799">
        <f t="shared" si="36"/>
        <v>331.7475</v>
      </c>
      <c r="K31" s="800">
        <f t="shared" si="36"/>
        <v>0.67968776386152541</v>
      </c>
      <c r="L31" s="800">
        <f t="shared" si="36"/>
        <v>0.67987533305188097</v>
      </c>
      <c r="M31" s="801">
        <f t="shared" si="36"/>
        <v>401.99477521874996</v>
      </c>
      <c r="N31" s="777">
        <f t="shared" si="36"/>
        <v>0.75</v>
      </c>
      <c r="O31" s="799">
        <f t="shared" si="36"/>
        <v>865.51424999999995</v>
      </c>
      <c r="P31" s="802">
        <f t="shared" si="36"/>
        <v>933.49687500000005</v>
      </c>
      <c r="Q31" s="799">
        <f t="shared" si="36"/>
        <v>777.21575000000007</v>
      </c>
      <c r="R31" s="800">
        <f t="shared" si="36"/>
        <v>1.5173727488091622</v>
      </c>
      <c r="S31" s="800">
        <f t="shared" si="36"/>
        <v>1.4816909020970366</v>
      </c>
      <c r="T31" s="801">
        <f t="shared" si="36"/>
        <v>821.66117864780585</v>
      </c>
      <c r="U31" s="777">
        <f t="shared" si="36"/>
        <v>1.5847140088730569</v>
      </c>
      <c r="V31" s="799">
        <f t="shared" si="36"/>
        <v>1784.01025</v>
      </c>
      <c r="W31" s="802">
        <f t="shared" si="36"/>
        <v>1781.652112491556</v>
      </c>
      <c r="X31" s="799">
        <f t="shared" si="37"/>
        <v>37.816692000000003</v>
      </c>
      <c r="Y31" s="802">
        <f t="shared" si="37"/>
        <v>12.209460925</v>
      </c>
      <c r="Z31" s="799">
        <f t="shared" si="37"/>
        <v>1869.9565</v>
      </c>
      <c r="AA31" s="802">
        <f t="shared" si="37"/>
        <v>1853.9386538621677</v>
      </c>
      <c r="AB31" s="803"/>
      <c r="AC31" s="776">
        <f t="shared" si="38"/>
        <v>0.5</v>
      </c>
      <c r="AD31" s="777">
        <f t="shared" si="38"/>
        <v>0.46995167363601131</v>
      </c>
      <c r="AE31" s="778"/>
      <c r="AF31" s="778"/>
      <c r="AG31" s="778"/>
      <c r="AH31" s="778"/>
      <c r="AI31" s="778"/>
      <c r="AJ31" s="778"/>
      <c r="AK31" s="778"/>
      <c r="AL31" s="799">
        <v>1736.4535000000001</v>
      </c>
      <c r="AM31" s="802">
        <v>1761.625</v>
      </c>
      <c r="AN31" s="668">
        <f>PERCENTILE(AN$8:AN$27,$B31)</f>
        <v>1.5934057528682211E-2</v>
      </c>
    </row>
    <row r="32" spans="1:42" s="17" customFormat="1" ht="20.25" customHeight="1">
      <c r="A32" s="12"/>
      <c r="B32" s="12"/>
      <c r="C32" s="815" t="s">
        <v>6</v>
      </c>
      <c r="D32" s="816">
        <f>AVERAGE(D8:D27)</f>
        <v>8142.9421314285719</v>
      </c>
      <c r="E32" s="816">
        <f>AVERAGE(E8:E27)</f>
        <v>8937.7154271428553</v>
      </c>
      <c r="F32" s="815"/>
      <c r="G32" s="815"/>
      <c r="H32" s="815"/>
      <c r="I32" s="816">
        <f t="shared" ref="I32:N32" si="39">AVERAGE(I8:I27)</f>
        <v>565.33716693642862</v>
      </c>
      <c r="J32" s="817">
        <f t="shared" si="39"/>
        <v>521.71330618642855</v>
      </c>
      <c r="K32" s="818">
        <f t="shared" si="39"/>
        <v>0.91588497647598643</v>
      </c>
      <c r="L32" s="818">
        <f t="shared" si="39"/>
        <v>0.88049546298409775</v>
      </c>
      <c r="M32" s="819">
        <f t="shared" si="39"/>
        <v>453.13135840650011</v>
      </c>
      <c r="N32" s="820">
        <f t="shared" si="39"/>
        <v>0.80714285714285716</v>
      </c>
      <c r="O32" s="817">
        <f>AVERAGE(O8:O27)</f>
        <v>1087.0504731228573</v>
      </c>
      <c r="P32" s="821">
        <f t="shared" ref="P32:W32" si="40">AVERAGE(P8:P27)</f>
        <v>1018.4685253429286</v>
      </c>
      <c r="Q32" s="817">
        <f t="shared" si="40"/>
        <v>1022.5834533178571</v>
      </c>
      <c r="R32" s="818">
        <f t="shared" si="40"/>
        <v>1.7831674508041182</v>
      </c>
      <c r="S32" s="818">
        <f t="shared" si="40"/>
        <v>1.7330105396107029</v>
      </c>
      <c r="T32" s="819">
        <f t="shared" si="40"/>
        <v>1062.3414890411411</v>
      </c>
      <c r="U32" s="820">
        <f t="shared" si="40"/>
        <v>1.8650748367613073</v>
      </c>
      <c r="V32" s="817">
        <f t="shared" si="40"/>
        <v>2109.6339264407147</v>
      </c>
      <c r="W32" s="821">
        <f t="shared" si="40"/>
        <v>2080.8100143840697</v>
      </c>
      <c r="X32" s="817">
        <f>AVERAGE(X8:X27)</f>
        <v>88.572843644444447</v>
      </c>
      <c r="Y32" s="821">
        <f>AVERAGE(Y8:Y27)</f>
        <v>45.566152613636362</v>
      </c>
      <c r="Z32" s="817">
        <f>AVERAGE(Z8:Z27)</f>
        <v>2202.3755886942859</v>
      </c>
      <c r="AA32" s="821">
        <f>AVERAGE(AA8:AA27)</f>
        <v>2173.5516766376409</v>
      </c>
      <c r="AB32" s="803"/>
      <c r="AC32" s="822">
        <f>AVERAGE(AC8:AC27)</f>
        <v>0.49745507016017382</v>
      </c>
      <c r="AD32" s="820">
        <f>AVERAGE(AD8:AD27)</f>
        <v>0.50254492983982613</v>
      </c>
      <c r="AE32" s="778"/>
      <c r="AF32" s="778"/>
      <c r="AG32" s="778"/>
      <c r="AH32" s="778"/>
      <c r="AI32" s="778"/>
      <c r="AJ32" s="778"/>
      <c r="AK32" s="778"/>
      <c r="AL32" s="817">
        <v>2029.1923301579832</v>
      </c>
      <c r="AM32" s="821">
        <v>1978.0361971963932</v>
      </c>
      <c r="AN32" s="669">
        <f>PERCENTILE(AN$8:AN$27,$B32)</f>
        <v>-1.0897898897716862E-2</v>
      </c>
    </row>
    <row r="33" spans="1:39" s="17" customFormat="1" ht="20.25" customHeight="1" outlineLevel="1">
      <c r="A33" s="12"/>
      <c r="B33" s="12"/>
      <c r="C33" s="788" t="str">
        <f>$C$3+1&amp;" Estimated Summary Statistics "</f>
        <v xml:space="preserve">2025 Estimated Summary Statistics </v>
      </c>
      <c r="D33" s="789"/>
      <c r="E33" s="789"/>
      <c r="F33" s="789"/>
      <c r="G33" s="789"/>
      <c r="H33" s="789"/>
      <c r="I33" s="789"/>
      <c r="J33" s="789"/>
      <c r="K33" s="790"/>
      <c r="L33" s="790"/>
      <c r="M33" s="789"/>
      <c r="N33" s="790"/>
      <c r="O33" s="789"/>
      <c r="P33" s="789"/>
      <c r="Q33" s="789"/>
      <c r="R33" s="790"/>
      <c r="S33" s="790"/>
      <c r="T33" s="789"/>
      <c r="U33" s="790"/>
      <c r="V33" s="789"/>
      <c r="W33" s="791"/>
      <c r="X33" s="788"/>
      <c r="Y33" s="788"/>
      <c r="Z33" s="788"/>
      <c r="AA33" s="788"/>
      <c r="AB33" s="803"/>
      <c r="AC33" s="824"/>
      <c r="AD33" s="824"/>
      <c r="AE33" s="778"/>
      <c r="AF33" s="778"/>
      <c r="AG33" s="778"/>
      <c r="AH33" s="778"/>
      <c r="AI33" s="778"/>
      <c r="AJ33" s="778"/>
      <c r="AK33" s="778"/>
      <c r="AL33" s="823"/>
      <c r="AM33" s="823"/>
    </row>
    <row r="34" spans="1:39" s="17" customFormat="1" ht="20.25" customHeight="1" outlineLevel="1">
      <c r="A34" s="12"/>
      <c r="B34" s="17">
        <v>0.75</v>
      </c>
      <c r="C34" s="796" t="s">
        <v>9</v>
      </c>
      <c r="D34" s="797">
        <f t="shared" ref="D34:E36" si="41">PERCENTILE(D$8:D$27,$B34)</f>
        <v>10464.1094025</v>
      </c>
      <c r="E34" s="797">
        <f t="shared" si="41"/>
        <v>13103.839205</v>
      </c>
      <c r="F34" s="798"/>
      <c r="G34" s="798"/>
      <c r="H34" s="798"/>
      <c r="I34" s="797">
        <f>I68</f>
        <v>650.1875</v>
      </c>
      <c r="J34" s="799">
        <f>J68</f>
        <v>0</v>
      </c>
      <c r="K34" s="800">
        <f>K68</f>
        <v>0</v>
      </c>
      <c r="L34" s="800">
        <f>L68</f>
        <v>0</v>
      </c>
      <c r="M34" s="801">
        <f>M68</f>
        <v>527.21542533749994</v>
      </c>
      <c r="N34" s="777">
        <f>PERCENTILE(N$8:N$27,$B34)</f>
        <v>0.83750000000000002</v>
      </c>
      <c r="O34" s="799" t="s">
        <v>78</v>
      </c>
      <c r="P34" s="797">
        <f>P68</f>
        <v>1146.5082002250001</v>
      </c>
      <c r="Q34" s="799">
        <f>Q68</f>
        <v>0</v>
      </c>
      <c r="R34" s="800">
        <f>R68</f>
        <v>0</v>
      </c>
      <c r="S34" s="800">
        <f>S68</f>
        <v>0</v>
      </c>
      <c r="T34" s="801">
        <f>T68</f>
        <v>1310.2898881547926</v>
      </c>
      <c r="U34" s="777">
        <f>PERCENTILE(U$8:U$27,$B34)</f>
        <v>1.9045454545454545</v>
      </c>
      <c r="V34" s="799" t="s">
        <v>78</v>
      </c>
      <c r="W34" s="802">
        <f>W68</f>
        <v>2606.1398881547925</v>
      </c>
      <c r="X34" s="984">
        <f>X29</f>
        <v>126.61603953000001</v>
      </c>
      <c r="Y34" s="988">
        <f>Y29</f>
        <v>63.445999999999998</v>
      </c>
      <c r="Z34" s="799" t="s">
        <v>78</v>
      </c>
      <c r="AA34" s="802">
        <f>AA68</f>
        <v>2687.8052300102231</v>
      </c>
      <c r="AB34" s="803"/>
      <c r="AC34" s="778" t="s">
        <v>719</v>
      </c>
      <c r="AD34" s="824"/>
      <c r="AE34" s="778"/>
      <c r="AF34" s="778"/>
      <c r="AG34" s="778"/>
      <c r="AH34" s="778"/>
      <c r="AI34" s="778"/>
      <c r="AJ34" s="778"/>
      <c r="AK34" s="778"/>
      <c r="AL34"/>
      <c r="AM34"/>
    </row>
    <row r="35" spans="1:39" s="17" customFormat="1" ht="20.25" customHeight="1" outlineLevel="1">
      <c r="A35" s="12"/>
      <c r="B35" s="17">
        <v>0.5</v>
      </c>
      <c r="C35" s="806" t="s">
        <v>8</v>
      </c>
      <c r="D35" s="807">
        <f t="shared" si="41"/>
        <v>5657.4490150000001</v>
      </c>
      <c r="E35" s="807">
        <f t="shared" si="41"/>
        <v>6231.8004299999993</v>
      </c>
      <c r="F35" s="808"/>
      <c r="G35" s="808"/>
      <c r="H35" s="808"/>
      <c r="I35" s="807">
        <f t="shared" ref="I35:M37" si="42">I69</f>
        <v>555.20714926750009</v>
      </c>
      <c r="J35" s="809">
        <f t="shared" si="42"/>
        <v>0</v>
      </c>
      <c r="K35" s="810">
        <f t="shared" si="42"/>
        <v>0</v>
      </c>
      <c r="L35" s="810">
        <f t="shared" si="42"/>
        <v>0</v>
      </c>
      <c r="M35" s="811">
        <f t="shared" si="42"/>
        <v>444.04536000000002</v>
      </c>
      <c r="N35" s="812">
        <f>PERCENTILE(N$8:N$27,$B35)</f>
        <v>0.8</v>
      </c>
      <c r="O35" s="809" t="s">
        <v>78</v>
      </c>
      <c r="P35" s="807">
        <f t="shared" ref="P35:T37" si="43">P69</f>
        <v>986.72132371812506</v>
      </c>
      <c r="Q35" s="809">
        <f t="shared" si="43"/>
        <v>0</v>
      </c>
      <c r="R35" s="810">
        <f t="shared" si="43"/>
        <v>0</v>
      </c>
      <c r="S35" s="810">
        <f t="shared" si="43"/>
        <v>0</v>
      </c>
      <c r="T35" s="811">
        <f t="shared" si="43"/>
        <v>987.99923680000006</v>
      </c>
      <c r="U35" s="812">
        <f>PERCENTILE(U$8:U$27,$B35)</f>
        <v>1.75</v>
      </c>
      <c r="V35" s="809" t="s">
        <v>78</v>
      </c>
      <c r="W35" s="813">
        <f>W69</f>
        <v>2005.61813725</v>
      </c>
      <c r="X35" s="992">
        <f t="shared" ref="X35:Y37" si="44">X30</f>
        <v>93.573999999999998</v>
      </c>
      <c r="Y35" s="996">
        <f t="shared" si="44"/>
        <v>32.156519730000007</v>
      </c>
      <c r="Z35" s="809" t="s">
        <v>78</v>
      </c>
      <c r="AA35" s="813">
        <f>AA69</f>
        <v>2116.8867076200004</v>
      </c>
      <c r="AB35" s="803">
        <f>AA35/W35</f>
        <v>1.0554784424329977</v>
      </c>
      <c r="AC35" s="845">
        <f>W34-W35</f>
        <v>600.5217509047925</v>
      </c>
      <c r="AD35" s="824"/>
      <c r="AE35" s="778"/>
      <c r="AF35" s="778"/>
      <c r="AG35" s="778"/>
      <c r="AH35" s="778"/>
      <c r="AI35" s="778"/>
      <c r="AJ35" s="778"/>
      <c r="AK35" s="778"/>
      <c r="AL35"/>
      <c r="AM35"/>
    </row>
    <row r="36" spans="1:39" s="17" customFormat="1" ht="20.25" customHeight="1" outlineLevel="1">
      <c r="A36" s="12"/>
      <c r="B36" s="17">
        <v>0.25</v>
      </c>
      <c r="C36" s="796" t="s">
        <v>7</v>
      </c>
      <c r="D36" s="797">
        <f t="shared" si="41"/>
        <v>4590.7197175000001</v>
      </c>
      <c r="E36" s="797">
        <f t="shared" si="41"/>
        <v>4910.1473049999995</v>
      </c>
      <c r="F36" s="798"/>
      <c r="G36" s="798"/>
      <c r="H36" s="798"/>
      <c r="I36" s="797">
        <f t="shared" si="42"/>
        <v>535.6</v>
      </c>
      <c r="J36" s="799">
        <f t="shared" si="42"/>
        <v>0</v>
      </c>
      <c r="K36" s="800">
        <f t="shared" si="42"/>
        <v>0</v>
      </c>
      <c r="L36" s="800">
        <f t="shared" si="42"/>
        <v>0</v>
      </c>
      <c r="M36" s="801">
        <f t="shared" si="42"/>
        <v>414.05461847531251</v>
      </c>
      <c r="N36" s="777">
        <f>PERCENTILE(N$8:N$27,$B36)</f>
        <v>0.75</v>
      </c>
      <c r="O36" s="799" t="s">
        <v>78</v>
      </c>
      <c r="P36" s="797">
        <f t="shared" si="43"/>
        <v>961.50178125000014</v>
      </c>
      <c r="Q36" s="799">
        <f t="shared" si="43"/>
        <v>0</v>
      </c>
      <c r="R36" s="800">
        <f t="shared" si="43"/>
        <v>0</v>
      </c>
      <c r="S36" s="800">
        <f t="shared" si="43"/>
        <v>0</v>
      </c>
      <c r="T36" s="801">
        <f t="shared" si="43"/>
        <v>846.31101400724015</v>
      </c>
      <c r="U36" s="777">
        <f>PERCENTILE(U$8:U$27,$B36)</f>
        <v>1.5847140088730569</v>
      </c>
      <c r="V36" s="799" t="s">
        <v>78</v>
      </c>
      <c r="W36" s="802">
        <f>W70</f>
        <v>1835.1016758663027</v>
      </c>
      <c r="X36" s="984">
        <f t="shared" si="44"/>
        <v>37.816692000000003</v>
      </c>
      <c r="Y36" s="988">
        <f t="shared" si="44"/>
        <v>12.209460925</v>
      </c>
      <c r="Z36" s="799" t="s">
        <v>78</v>
      </c>
      <c r="AA36" s="802">
        <f>AA70</f>
        <v>1908.7374252364079</v>
      </c>
      <c r="AB36" s="803"/>
      <c r="AC36" s="824"/>
      <c r="AD36" s="824"/>
      <c r="AE36" s="778"/>
      <c r="AF36" s="778"/>
      <c r="AG36" s="778"/>
      <c r="AH36" s="778"/>
      <c r="AI36" s="778"/>
      <c r="AJ36" s="778"/>
      <c r="AK36" s="778"/>
      <c r="AL36"/>
      <c r="AM36"/>
    </row>
    <row r="37" spans="1:39" s="17" customFormat="1" ht="20.25" customHeight="1" outlineLevel="1">
      <c r="A37" s="12"/>
      <c r="B37" s="12"/>
      <c r="C37" s="815" t="s">
        <v>6</v>
      </c>
      <c r="D37" s="816">
        <f>AVERAGE(D13:D32)</f>
        <v>5293.3213589560437</v>
      </c>
      <c r="E37" s="816">
        <f>AVERAGE(E13:E32)</f>
        <v>5905.9966228571429</v>
      </c>
      <c r="F37" s="815"/>
      <c r="G37" s="815"/>
      <c r="H37" s="815"/>
      <c r="I37" s="816">
        <f t="shared" si="42"/>
        <v>585.41917291416428</v>
      </c>
      <c r="J37" s="817">
        <f t="shared" si="42"/>
        <v>0</v>
      </c>
      <c r="K37" s="818">
        <f t="shared" si="42"/>
        <v>0</v>
      </c>
      <c r="L37" s="818">
        <f t="shared" si="42"/>
        <v>0</v>
      </c>
      <c r="M37" s="819">
        <f t="shared" si="42"/>
        <v>469.45464388851644</v>
      </c>
      <c r="N37" s="820">
        <f>AVERAGE(N13:N32)</f>
        <v>0.79958791208791213</v>
      </c>
      <c r="O37" s="817" t="s">
        <v>78</v>
      </c>
      <c r="P37" s="816">
        <f t="shared" si="43"/>
        <v>1054.8738168026807</v>
      </c>
      <c r="Q37" s="817">
        <f t="shared" si="43"/>
        <v>0</v>
      </c>
      <c r="R37" s="818">
        <f t="shared" si="43"/>
        <v>0</v>
      </c>
      <c r="S37" s="818">
        <f t="shared" si="43"/>
        <v>0</v>
      </c>
      <c r="T37" s="819">
        <f t="shared" si="43"/>
        <v>1100.1450163897832</v>
      </c>
      <c r="U37" s="820">
        <f>AVERAGE(U13:U32)</f>
        <v>1.8901973736942008</v>
      </c>
      <c r="V37" s="817" t="s">
        <v>78</v>
      </c>
      <c r="W37" s="821">
        <f>W71</f>
        <v>2155.0188331924646</v>
      </c>
      <c r="X37" s="999">
        <f t="shared" si="44"/>
        <v>88.572843644444447</v>
      </c>
      <c r="Y37" s="1003">
        <f t="shared" si="44"/>
        <v>45.566152613636362</v>
      </c>
      <c r="Z37" s="817" t="s">
        <v>78</v>
      </c>
      <c r="AA37" s="821">
        <f>AA71</f>
        <v>2247.7604954460353</v>
      </c>
      <c r="AB37" s="803"/>
      <c r="AC37" s="824"/>
      <c r="AD37" s="824"/>
      <c r="AE37" s="778"/>
      <c r="AF37" s="778"/>
      <c r="AG37" s="778"/>
      <c r="AH37" s="778"/>
      <c r="AI37" s="778"/>
      <c r="AJ37" s="778"/>
      <c r="AK37" s="778"/>
      <c r="AL37"/>
      <c r="AM37"/>
    </row>
    <row r="38" spans="1:39" ht="7.5" customHeight="1">
      <c r="C38" s="825"/>
      <c r="D38" s="825"/>
      <c r="E38" s="825"/>
      <c r="F38" s="825"/>
      <c r="G38" s="825"/>
      <c r="H38" s="825"/>
      <c r="I38" s="826"/>
      <c r="J38" s="827"/>
      <c r="K38" s="828"/>
      <c r="L38" s="828"/>
      <c r="M38" s="826"/>
      <c r="N38" s="829"/>
      <c r="O38" s="827"/>
      <c r="P38" s="826"/>
      <c r="Q38" s="826"/>
      <c r="R38" s="829"/>
      <c r="S38" s="829"/>
      <c r="T38" s="827"/>
      <c r="U38" s="828"/>
      <c r="V38" s="827"/>
      <c r="W38" s="826"/>
      <c r="X38" s="828"/>
      <c r="Y38" s="827"/>
      <c r="Z38" s="826"/>
      <c r="AA38" s="826"/>
      <c r="AB38" s="775"/>
      <c r="AC38" s="825"/>
      <c r="AD38" s="825"/>
      <c r="AE38" s="778"/>
      <c r="AF38" s="778"/>
      <c r="AG38" s="778"/>
      <c r="AH38" s="778"/>
      <c r="AI38" s="778"/>
      <c r="AJ38" s="778"/>
      <c r="AK38" s="778"/>
      <c r="AL38"/>
      <c r="AM38"/>
    </row>
    <row r="39" spans="1:39" s="35" customFormat="1" ht="20.25" customHeight="1">
      <c r="A39" s="35" t="str">
        <f>$B39&amp;"_"&amp;$C$3&amp;"_"&amp;$C$2</f>
        <v>TSX:HBM_2024_CFO</v>
      </c>
      <c r="B39" s="35" t="str">
        <f>'Raw Data'!G6</f>
        <v>TSX:HBM</v>
      </c>
      <c r="C39" s="830" t="str">
        <f>IFERROR(INDEX(Raw_Data,MATCH($A39,Look_Up,0),MATCH(C$4,Component,0)),"-")</f>
        <v>Hudbay Minerals Inc.</v>
      </c>
      <c r="D39" s="831">
        <f>_xll.ciqfunctions.udf.CIQ(B39, "IQ_MARKETCAP", $A$1,$A$2)</f>
        <v>5664.3295799999996</v>
      </c>
      <c r="E39" s="831">
        <f>_xll.ciqfunctions.udf.CIQ($B39, "IQ_TEV", $A$1,$A$2)</f>
        <v>6773.8200500000003</v>
      </c>
      <c r="F39" s="832" t="str">
        <f>IFERROR(INDEX(Raw_Data,MATCH($A39,Look_Up,0),MATCH(F$4,Component,0)),"-")</f>
        <v>Eugene Lei</v>
      </c>
      <c r="G39" s="832" t="str">
        <f>IFERROR(INDEX(Raw_Data,MATCH($A39,Look_Up,0),MATCH(G$4,Component,0)),"-")</f>
        <v>CFO</v>
      </c>
      <c r="H39" s="832" t="str">
        <f>IFERROR(INDEX(Raw_Data,MATCH($A39,Look_Up,0),MATCH(H$4,Component,0))/1000,"-")</f>
        <v>-</v>
      </c>
      <c r="I39" s="831">
        <f>IFERROR(INDEX(Raw_Data,MATCH($A39,Look_Up,0),MATCH(I$4,Component,0))/1000,"-")</f>
        <v>573.68100000000004</v>
      </c>
      <c r="J39" s="831">
        <f>IFERROR(INDEX(Raw_Data,MATCH($A39,Look_Up,0),MATCH(J$4,Component,0))/1000,"-")</f>
        <v>658.79499999999996</v>
      </c>
      <c r="K39" s="833">
        <f>IFERROR(INDEX(Raw_Data,MATCH($A39,Look_Up,0),MATCH(K$4,Component,0)),"-")</f>
        <v>1.1483646835087793</v>
      </c>
      <c r="L39" s="833">
        <f>IFERROR(INDEX(Raw_Data,MATCH($A39,Look_Up,0),MATCH(L$4,Component,0)),"-")</f>
        <v>1.1483646835087793</v>
      </c>
      <c r="M39" s="831">
        <f>IFERROR(INDEX(Raw_Data,MATCH($A39,Look_Up,0),MATCH(M$4,Component,0))/1000,"-")</f>
        <v>516.31290000000001</v>
      </c>
      <c r="N39" s="833">
        <f>IFERROR(IF(INDEX(Raw_Data,MATCH($A39,Look_Up,0),MATCH(N$4,Component,0))="-",L39,INDEX(Raw_Data,MATCH($A39,Look_Up,0),MATCH(N$4,Component,0))),"-")</f>
        <v>0.9</v>
      </c>
      <c r="O39" s="831" t="s">
        <v>78</v>
      </c>
      <c r="P39" s="831">
        <f>IFERROR(INDEX(Raw_Data,MATCH($A39,Look_Up,0),MATCH(P$4,Component,0))/1000,"-")</f>
        <v>1089.9938999999999</v>
      </c>
      <c r="Q39" s="831">
        <f>IFERROR(INDEX(Raw_Data,MATCH($A39,Look_Up,0),MATCH(Q$4,Component,0))/1000,"-")</f>
        <v>882.58500000000004</v>
      </c>
      <c r="R39" s="833">
        <f>IFERROR(INDEX(Raw_Data,MATCH($A39,Look_Up,0),MATCH(R$4,Component,0)),"-")</f>
        <v>1.5384595271588217</v>
      </c>
      <c r="S39" s="833">
        <f>IFERROR(INDEX(Raw_Data,MATCH($A39,Look_Up,0),MATCH(S$4,Component,0)),"-")</f>
        <v>1.5384595271588217</v>
      </c>
      <c r="T39" s="831">
        <f>IFERROR(INDEX(Raw_Data,MATCH($A39,Look_Up,0),MATCH(T$4,Component,0))/1000,"-")</f>
        <v>975.2577</v>
      </c>
      <c r="U39" s="833">
        <f>IFERROR(IF(INDEX(Raw_Data,MATCH($A39,Look_Up,0),MATCH(U$4,Component,0))="-",S39,INDEX(Raw_Data,MATCH($A39,Look_Up,0),MATCH(U$4,Component,0))),"-")</f>
        <v>1.7</v>
      </c>
      <c r="V39" s="831" t="s">
        <v>78</v>
      </c>
      <c r="W39" s="831">
        <f>IFERROR(INDEX(Raw_Data,MATCH($A39,Look_Up,0),MATCH(W$4,Component,0))/1000,"-")</f>
        <v>2065.2516000000001</v>
      </c>
      <c r="X39" s="835">
        <f>IFERROR((INDEX(Raw_Data,MATCH($A39,Look_Up,0),MATCH(X$4,Component,0))/1000),"-")</f>
        <v>132.22200000000001</v>
      </c>
      <c r="Y39" s="831">
        <f>IFERROR((INDEX(Raw_Data,MATCH($A39,Look_Up,0),MATCH(Y$4,Component,0))/1000),"-")</f>
        <v>103.501</v>
      </c>
      <c r="Z39" s="831">
        <f>IFERROR(INDEX(Raw_Data,MATCH($A39,Look_Up,0),MATCH(Z$4,Component,0))/1000,"-")</f>
        <v>2350.7840000000001</v>
      </c>
      <c r="AA39" s="834">
        <f>IFERROR(INDEX(Raw_Data,MATCH($A39,Look_Up,0),MATCH(AA$4,Component,0))/1000,"-")</f>
        <v>2300.9745999999996</v>
      </c>
      <c r="AB39" s="836"/>
      <c r="AC39" s="837">
        <f>IFERROR(P39/W39,0)</f>
        <v>0.52777777777777779</v>
      </c>
      <c r="AD39" s="838">
        <f>IFERROR(T39/W39,0)</f>
        <v>0.47222222222222221</v>
      </c>
      <c r="AE39" s="778" t="str">
        <f>B39&amp;"_"&amp;$AE$6&amp;"_"&amp;$C$2</f>
        <v>TSX:HBM_2023_CFO</v>
      </c>
      <c r="AF39" s="778"/>
      <c r="AG39" s="778"/>
      <c r="AH39" s="778"/>
      <c r="AI39" s="778"/>
      <c r="AJ39" s="778"/>
      <c r="AK39" s="778"/>
      <c r="AL39"/>
      <c r="AM39"/>
    </row>
    <row r="40" spans="1:39" ht="20.25" customHeight="1">
      <c r="B40" s="33"/>
      <c r="C40" s="839" t="s">
        <v>5</v>
      </c>
      <c r="D40" s="840">
        <f>IF(D$39&gt;=MAX(D$8:D$27),"max",IF(D$39&lt;=MIN(D$8:D$27),"min",PERCENTRANK(D$8:D$27,D$39)))</f>
        <v>0.502</v>
      </c>
      <c r="E40" s="840">
        <f>IF(E$39&gt;=MAX(E$8:E$27),"max",IF(E$39&lt;=MIN(E$8:E$27),"min",PERCENTRANK(E$8:E$27,E$39)))</f>
        <v>0.60199999999999998</v>
      </c>
      <c r="F40" s="841"/>
      <c r="G40" s="841"/>
      <c r="H40" s="841"/>
      <c r="I40" s="840">
        <f>IF(I$39&gt;=MAX(I$47:I$66),"max",IF(I$39&lt;=MIN(I$47:I$66),"min",PERCENTRANK(I$47:I$66,I$39)))</f>
        <v>0.59299999999999997</v>
      </c>
      <c r="J40" s="840">
        <f>IF(J$39&gt;=MAX(J$8:J$27),"max",IF(J$39&lt;=MIN(J$8:J$27),"min",PERCENTRANK(J$8:J$27,J$39)))</f>
        <v>0.83699999999999997</v>
      </c>
      <c r="K40" s="840">
        <f>IF(K$39&gt;=MAX(K$8:K$27),"max",IF(K$39&lt;=MIN(K$8:K$27),"min",PERCENTRANK(K$8:K$27,K$39)))</f>
        <v>0.84799999999999998</v>
      </c>
      <c r="L40" s="840">
        <f>IF(L$39&gt;=MAX(L$8:L$27),"max",IF(L$39&lt;=MIN(L$8:L$27),"min",PERCENTRANK(L$8:L$27,L$39)))</f>
        <v>0.92400000000000004</v>
      </c>
      <c r="M40" s="840">
        <f>IF(M$39&gt;=MAX(M$47:M$66),"max",IF(M$39&lt;=MIN(M$47:M$66),"min",PERCENTRANK(M$47:M$66,M$39)))</f>
        <v>0.72399999999999998</v>
      </c>
      <c r="N40" s="840">
        <f>IF(N$39&gt;=MAX(N$8:N$27),"max",IF(N$39&lt;=MIN(N$8:N$27),"min",PERCENTRANK(N$8:N$27,N$39)))</f>
        <v>0.84599999999999997</v>
      </c>
      <c r="O40" s="840" t="s">
        <v>78</v>
      </c>
      <c r="P40" s="840">
        <f>IF(P$39&gt;=MAX(P$47:P$66),"max",IF(P$39&lt;=MIN(P$47:P$66),"min",PERCENTRANK(P$47:P$66,P$39)))</f>
        <v>0.70599999999999996</v>
      </c>
      <c r="Q40" s="840">
        <f>IF(Q$39&gt;=MAX(Q$8:Q$27),"max",IF(Q$39&lt;=MIN(Q$8:Q$27),"min",PERCENTRANK(Q$8:Q$27,Q$39)))</f>
        <v>0.47699999999999998</v>
      </c>
      <c r="R40" s="840">
        <f>IF(R$39&gt;=MAX(R$8:R$27),"max",IF(R$39&lt;=MIN(R$8:R$27),"min",PERCENTRANK(R$8:R$27,R$39)))</f>
        <v>0.27300000000000002</v>
      </c>
      <c r="S40" s="840">
        <f>IF(S$39&gt;=MAX(S$8:S$27),"max",IF(S$39&lt;=MIN(S$8:S$27),"min",PERCENTRANK(S$8:S$27,S$39)))</f>
        <v>0.42</v>
      </c>
      <c r="T40" s="840">
        <f>IF(T$39&gt;=MAX(T$47:T$66),"max",IF(T$39&lt;=MIN(T$47:T$66),"min",PERCENTRANK(T$47:T$66,T$39)))</f>
        <v>0.49</v>
      </c>
      <c r="U40" s="840">
        <f>IF(U$39&gt;=MAX(U$8:U$27),"max",IF(U$39&lt;=MIN(U$8:U$27),"min",PERCENTRANK(U$8:U$27,U$39)))</f>
        <v>0.38400000000000001</v>
      </c>
      <c r="V40" s="840" t="s">
        <v>78</v>
      </c>
      <c r="W40" s="840">
        <f>IF(W$39&gt;=MAX(W$47:W$66),"max",IF(W$39&lt;=MIN(W$47:W$66),"min",PERCENTRANK(W$47:W$66,W$39)))</f>
        <v>0.52200000000000002</v>
      </c>
      <c r="X40" s="840">
        <f>IF(X$39&gt;=MAX(X$8:X$27),"max",IF(X$39&lt;=MIN(X$8:X$27),"min",PERCENTRANK(X$8:X$27,X$39)))</f>
        <v>0.79</v>
      </c>
      <c r="Y40" s="840">
        <f>IF(Y$39&gt;=MAX(Y$8:Y$27),"max",IF(Y$39&lt;=MIN(Y$8:Y$27),"min",PERCENTRANK(Y$8:Y$27,Y$39)))</f>
        <v>0.88</v>
      </c>
      <c r="Z40" s="840">
        <f>IF(Z$39&gt;=MAX(Z$8:Z$27),"max",IF(Z$39&lt;=MIN(Z$8:Z$27),"min",PERCENTRANK(Z$8:Z$27,Z$39)))</f>
        <v>0.70699999999999996</v>
      </c>
      <c r="AA40" s="842">
        <f>IF(AA$39&gt;=MAX(AA$47:AA$66),"max",IF(AA$39&lt;=MIN(AA$47:AA$66),"min",PERCENTRANK(AA$47:AA$66,AA$39)))</f>
        <v>0.62</v>
      </c>
      <c r="AB40" s="775"/>
      <c r="AC40" s="843">
        <f>IF(AC$39&gt;=MAX(AC$8:AC27),"max",IF(AC$39&lt;=MIN(AC$8:AC27),"min",PERCENTRANK(AC$8:AC27,AC$39)))</f>
        <v>0.73</v>
      </c>
      <c r="AD40" s="844">
        <f>IF(AD$39&gt;=MAX(AD$8:AD27),"max",IF(AD$39&lt;=MIN(AD$8:AD27),"min",PERCENTRANK(AD$8:AD27,AD$39)))</f>
        <v>0.26900000000000002</v>
      </c>
      <c r="AE40" s="778"/>
      <c r="AF40" s="778"/>
      <c r="AG40" s="778"/>
      <c r="AH40" s="778"/>
      <c r="AI40" s="778"/>
      <c r="AJ40" s="778"/>
      <c r="AK40" s="778"/>
      <c r="AL40"/>
      <c r="AM40"/>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t="s">
        <v>724</v>
      </c>
      <c r="W42" s="600">
        <f>W39/W35-1</f>
        <v>2.9733208751176576E-2</v>
      </c>
      <c r="X42" s="275"/>
      <c r="Y42" s="275"/>
      <c r="Z42" s="275"/>
      <c r="AA42" s="275"/>
      <c r="AB42" s="259" t="s">
        <v>717</v>
      </c>
      <c r="AC42" s="605">
        <f>AM39</f>
        <v>0</v>
      </c>
      <c r="AD42" s="259"/>
      <c r="AE42" s="316"/>
      <c r="AF42" s="316"/>
      <c r="AG42" s="316"/>
      <c r="AH42" s="316"/>
      <c r="AI42" s="316"/>
      <c r="AJ42" s="316"/>
      <c r="AK42" s="316"/>
    </row>
    <row r="43" spans="1:39" ht="14.5">
      <c r="B43" s="15"/>
      <c r="C43" s="284"/>
      <c r="D43" s="284"/>
      <c r="E43" s="284"/>
      <c r="F43" s="284"/>
      <c r="G43" s="284"/>
      <c r="H43" s="284"/>
      <c r="I43" s="284"/>
      <c r="J43" s="284"/>
      <c r="K43" s="284"/>
      <c r="L43" s="284"/>
      <c r="M43" s="284"/>
      <c r="N43" s="284"/>
      <c r="O43" s="284"/>
      <c r="P43" s="284"/>
      <c r="Q43" s="284"/>
      <c r="R43" s="284"/>
      <c r="S43" s="284"/>
      <c r="T43" s="284"/>
      <c r="U43" s="284"/>
      <c r="V43" s="275" t="s">
        <v>725</v>
      </c>
      <c r="W43" s="604">
        <f>W39-W35</f>
        <v>59.633462750000035</v>
      </c>
      <c r="X43" s="284"/>
      <c r="Y43" s="284"/>
      <c r="Z43" s="284"/>
      <c r="AA43" s="284"/>
      <c r="AB43" s="12" t="s">
        <v>713</v>
      </c>
      <c r="AC43" s="603" t="e">
        <f>W39/AC42-1</f>
        <v>#DIV/0!</v>
      </c>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6" si="45">A8</f>
        <v>TSX:K_2024_CFO</v>
      </c>
      <c r="B47" s="295" t="str">
        <f t="shared" si="45"/>
        <v>TSX:K</v>
      </c>
      <c r="C47" s="296" t="str">
        <f>_xll.ciqfunctions.udf.CIQ(B47,"IQ_COMPANY_NAME")</f>
        <v>Kinross Gold Corporation</v>
      </c>
      <c r="E47" s="14"/>
      <c r="F47" s="14"/>
      <c r="G47" s="294" t="s">
        <v>661</v>
      </c>
      <c r="H47" s="303">
        <f t="shared" ref="H47:H66" si="46">IFERROR(INDEX(Raw_Data,MATCH($A47,Look_Up,0),MATCH(H$4,Component,0))/1000,"-")</f>
        <v>670</v>
      </c>
      <c r="I47" s="303">
        <f>IFERROR(IF(G47="y",IF(H47&lt;&gt;"-",H47,INDEX(Raw_Data,MATCH($A47,Look_Up,0),MATCH(I$4,Component,0))/1000*(1+'Raw Data'!$G$13)),(INDEX(Raw_Data,MATCH($A47,Look_Up,0),MATCH(I$4,Component,0))/1000)),"-")</f>
        <v>670</v>
      </c>
      <c r="J47" s="361"/>
      <c r="K47" s="361"/>
      <c r="L47" s="361"/>
      <c r="M47" s="303">
        <f t="shared" ref="M47:M66" si="47">IFERROR(I47*N8,"-")</f>
        <v>603</v>
      </c>
      <c r="N47" s="362"/>
      <c r="O47" s="361"/>
      <c r="P47" s="303">
        <f>IFERROR(IF(SUM(M47,I47)=0,"-",SUM(M47,I47)),"-")</f>
        <v>1273</v>
      </c>
      <c r="Q47" s="361"/>
      <c r="R47" s="361"/>
      <c r="S47" s="361"/>
      <c r="T47" s="303">
        <f t="shared" ref="T47:T66" si="48">IFERROR(I47*U8,"-")</f>
        <v>1347.3876093095334</v>
      </c>
      <c r="U47" s="362"/>
      <c r="V47" s="361"/>
      <c r="W47" s="303">
        <f>IFERROR(IF(SUM(T47,P47)=0,"-",SUM(T47,P47)),"-")</f>
        <v>2620.3876093095332</v>
      </c>
      <c r="X47" s="362"/>
      <c r="Y47" s="361"/>
      <c r="Z47" s="361"/>
      <c r="AA47" s="303">
        <f t="shared" ref="AA47:AA66" si="49">IFERROR(IF(SUM(W47,X8,Y8)=0,"-",SUM(W47,X8,Y8)),"-")</f>
        <v>2928.8416498795332</v>
      </c>
      <c r="AB47" s="362"/>
    </row>
    <row r="48" spans="1:39" ht="14.5">
      <c r="A48" s="295" t="str">
        <f t="shared" si="45"/>
        <v>TSX:LUN_2024_CFO</v>
      </c>
      <c r="B48" s="295" t="str">
        <f t="shared" si="45"/>
        <v>TSX:LUN</v>
      </c>
      <c r="C48" s="296" t="str">
        <f>_xll.ciqfunctions.udf.CIQ(B48,"IQ_COMPANY_NAME")</f>
        <v>Lundin Mining Corporation</v>
      </c>
      <c r="E48" s="14"/>
      <c r="F48" s="14"/>
      <c r="G48" s="294" t="s">
        <v>661</v>
      </c>
      <c r="H48" s="262">
        <f t="shared" si="46"/>
        <v>758</v>
      </c>
      <c r="I48" s="262">
        <f>IFERROR(IF(G48="y",IF(H48&lt;&gt;"-",H48,INDEX(Raw_Data,MATCH($A48,Look_Up,0),MATCH(I$4,Component,0))/1000*(1+'Raw Data'!$G$13)),(INDEX(Raw_Data,MATCH($A48,Look_Up,0),MATCH(I$4,Component,0))/1000)),"-")</f>
        <v>758</v>
      </c>
      <c r="J48" s="361"/>
      <c r="K48" s="361"/>
      <c r="L48" s="361"/>
      <c r="M48" s="262">
        <f t="shared" si="47"/>
        <v>606.4</v>
      </c>
      <c r="N48" s="362"/>
      <c r="O48" s="361"/>
      <c r="P48" s="262">
        <f t="shared" ref="P48:P66" si="50">IFERROR(IF(SUM(M48,I48)=0,"-",SUM(M48,I48)),"-")</f>
        <v>1364.4</v>
      </c>
      <c r="Q48" s="361"/>
      <c r="R48" s="361"/>
      <c r="S48" s="361"/>
      <c r="T48" s="262">
        <f t="shared" si="48"/>
        <v>1198.9967246905699</v>
      </c>
      <c r="U48" s="362"/>
      <c r="V48" s="361"/>
      <c r="W48" s="262">
        <f t="shared" ref="W48:W66" si="51">IFERROR(IF(SUM(T48,P48)=0,"-",SUM(T48,P48)),"-")</f>
        <v>2563.39672469057</v>
      </c>
      <c r="X48" s="362"/>
      <c r="Y48" s="361"/>
      <c r="Z48" s="361"/>
      <c r="AA48" s="262">
        <f t="shared" si="49"/>
        <v>2703.52401059057</v>
      </c>
      <c r="AB48" s="362"/>
    </row>
    <row r="49" spans="1:30" ht="14.5">
      <c r="A49" s="295" t="str">
        <f t="shared" si="45"/>
        <v>TSX:AGI_2024_CFO</v>
      </c>
      <c r="B49" s="295" t="str">
        <f t="shared" si="45"/>
        <v>TSX:AGI</v>
      </c>
      <c r="C49" s="296" t="str">
        <f>_xll.ciqfunctions.udf.CIQ(B49,"IQ_COMPANY_NAME")</f>
        <v>Alamos Gold Inc.</v>
      </c>
      <c r="E49" s="14"/>
      <c r="F49" s="14"/>
      <c r="G49" s="294" t="s">
        <v>661</v>
      </c>
      <c r="H49" s="262" t="str">
        <f t="shared" si="46"/>
        <v>-</v>
      </c>
      <c r="I49" s="262">
        <f>IFERROR(IF(G49="y",IF(H49&lt;&gt;"-",H49,INDEX(Raw_Data,MATCH($A49,Look_Up,0),MATCH(I$4,Component,0))/1000*(1+'Raw Data'!$G$13)),(INDEX(Raw_Data,MATCH($A49,Look_Up,0),MATCH(I$4,Component,0))/1000)),"-")</f>
        <v>535.6</v>
      </c>
      <c r="J49" s="361"/>
      <c r="K49" s="361"/>
      <c r="L49" s="361"/>
      <c r="M49" s="262">
        <f t="shared" si="47"/>
        <v>455.26</v>
      </c>
      <c r="N49" s="362"/>
      <c r="O49" s="361"/>
      <c r="P49" s="262">
        <f t="shared" si="50"/>
        <v>990.86</v>
      </c>
      <c r="Q49" s="361"/>
      <c r="R49" s="361"/>
      <c r="S49" s="361"/>
      <c r="T49" s="262">
        <f t="shared" si="48"/>
        <v>830.18000000000006</v>
      </c>
      <c r="U49" s="362"/>
      <c r="V49" s="361"/>
      <c r="W49" s="262">
        <f t="shared" si="51"/>
        <v>1821.04</v>
      </c>
      <c r="X49" s="362"/>
      <c r="Y49" s="361"/>
      <c r="Z49" s="361"/>
      <c r="AA49" s="262">
        <f t="shared" si="49"/>
        <v>1980.02767595</v>
      </c>
      <c r="AB49" s="362"/>
    </row>
    <row r="50" spans="1:30" ht="14.5">
      <c r="A50" s="295" t="str">
        <f t="shared" si="45"/>
        <v>TSX:PAAS_2024_CFO</v>
      </c>
      <c r="B50" s="295" t="str">
        <f t="shared" si="45"/>
        <v>TSX:PAAS</v>
      </c>
      <c r="C50" s="296" t="str">
        <f>_xll.ciqfunctions.udf.CIQ(B50,"IQ_COMPANY_NAME")</f>
        <v>Pan American Silver Corp.</v>
      </c>
      <c r="G50" s="294" t="s">
        <v>661</v>
      </c>
      <c r="H50" s="262" t="str">
        <f t="shared" si="46"/>
        <v>-</v>
      </c>
      <c r="I50" s="262">
        <f>IFERROR(IF(G50="y",IF(H50&lt;&gt;"-",H50,INDEX(Raw_Data,MATCH($A50,Look_Up,0),MATCH(I$4,Component,0))/1000*(1+'Raw Data'!$G$13)),(INDEX(Raw_Data,MATCH($A50,Look_Up,0),MATCH(I$4,Component,0))/1000)),"-")</f>
        <v>592.25</v>
      </c>
      <c r="J50" s="362"/>
      <c r="K50" s="362"/>
      <c r="L50" s="362"/>
      <c r="M50" s="262">
        <f t="shared" si="47"/>
        <v>473.8</v>
      </c>
      <c r="N50" s="362"/>
      <c r="O50" s="362"/>
      <c r="P50" s="262">
        <f t="shared" si="50"/>
        <v>1066.05</v>
      </c>
      <c r="Q50" s="362"/>
      <c r="R50" s="362"/>
      <c r="S50" s="362"/>
      <c r="T50" s="262">
        <f t="shared" si="48"/>
        <v>1066.05</v>
      </c>
      <c r="U50" s="362"/>
      <c r="V50" s="362"/>
      <c r="W50" s="262">
        <f t="shared" si="51"/>
        <v>2132.1</v>
      </c>
      <c r="X50" s="362"/>
      <c r="Y50" s="362"/>
      <c r="Z50" s="362"/>
      <c r="AA50" s="262">
        <f t="shared" si="49"/>
        <v>2275.85</v>
      </c>
      <c r="AB50" s="362"/>
    </row>
    <row r="51" spans="1:30" ht="14.5">
      <c r="A51" s="295" t="str">
        <f t="shared" si="45"/>
        <v>TSX:CS_2024_CFO</v>
      </c>
      <c r="B51" s="295" t="str">
        <f t="shared" si="45"/>
        <v>TSX:CS</v>
      </c>
      <c r="C51" s="296" t="str">
        <f>_xll.ciqfunctions.udf.CIQ(B51,"IQ_COMPANY_NAME")</f>
        <v>Capstone Copper Corp.</v>
      </c>
      <c r="G51" s="294" t="s">
        <v>661</v>
      </c>
      <c r="H51" s="262" t="str">
        <f t="shared" si="46"/>
        <v>-</v>
      </c>
      <c r="I51" s="262">
        <f>IFERROR(IF(G51="y",IF(H51&lt;&gt;"-",H51,INDEX(Raw_Data,MATCH($A51,Look_Up,0),MATCH(I$4,Component,0))/1000*(1+'Raw Data'!$G$13)),(INDEX(Raw_Data,MATCH($A51,Look_Up,0),MATCH(I$4,Component,0))/1000)),"-")</f>
        <v>548.93850000000009</v>
      </c>
      <c r="J51" s="362"/>
      <c r="K51" s="362"/>
      <c r="L51" s="362"/>
      <c r="M51" s="262">
        <f t="shared" si="47"/>
        <v>411.70387500000004</v>
      </c>
      <c r="N51" s="362"/>
      <c r="O51" s="362"/>
      <c r="P51" s="262">
        <f t="shared" si="50"/>
        <v>960.64237500000013</v>
      </c>
      <c r="Q51" s="362"/>
      <c r="R51" s="362"/>
      <c r="S51" s="362"/>
      <c r="T51" s="262">
        <f t="shared" si="48"/>
        <v>933.19545000000016</v>
      </c>
      <c r="U51" s="362"/>
      <c r="V51" s="362"/>
      <c r="W51" s="262">
        <f t="shared" si="51"/>
        <v>1893.8378250000003</v>
      </c>
      <c r="X51" s="362"/>
      <c r="Y51" s="362"/>
      <c r="Z51" s="362"/>
      <c r="AA51" s="262">
        <f t="shared" si="49"/>
        <v>1977.1728250000003</v>
      </c>
      <c r="AB51" s="362"/>
    </row>
    <row r="52" spans="1:30" ht="14.5">
      <c r="A52" s="295" t="str">
        <f t="shared" si="45"/>
        <v>TSX:IMG_2024_CFO</v>
      </c>
      <c r="B52" s="295" t="str">
        <f t="shared" si="45"/>
        <v>TSX:IMG</v>
      </c>
      <c r="C52" s="296" t="str">
        <f>_xll.ciqfunctions.udf.CIQ(B52,"IQ_COMPANY_NAME")</f>
        <v>IAMGOLD Corporation</v>
      </c>
      <c r="G52" s="294" t="s">
        <v>661</v>
      </c>
      <c r="H52" s="262" t="str">
        <f t="shared" si="46"/>
        <v>-</v>
      </c>
      <c r="I52" s="262">
        <f>IFERROR(IF(G52="y",IF(H52&lt;&gt;"-",H52,INDEX(Raw_Data,MATCH($A52,Look_Up,0),MATCH(I$4,Component,0))/1000*(1+'Raw Data'!$G$13)),(INDEX(Raw_Data,MATCH($A52,Look_Up,0),MATCH(I$4,Component,0))/1000)),"-")</f>
        <v>541.03840000000002</v>
      </c>
      <c r="J52" s="362"/>
      <c r="K52" s="362"/>
      <c r="L52" s="362"/>
      <c r="M52" s="262">
        <f t="shared" si="47"/>
        <v>432.83072000000004</v>
      </c>
      <c r="N52" s="362"/>
      <c r="O52" s="362"/>
      <c r="P52" s="262">
        <f t="shared" si="50"/>
        <v>973.86912000000007</v>
      </c>
      <c r="Q52" s="362"/>
      <c r="R52" s="362"/>
      <c r="S52" s="362"/>
      <c r="T52" s="262">
        <f t="shared" si="48"/>
        <v>811.55760000000009</v>
      </c>
      <c r="U52" s="362"/>
      <c r="V52" s="362"/>
      <c r="W52" s="262">
        <f t="shared" si="51"/>
        <v>1785.4267200000002</v>
      </c>
      <c r="X52" s="362"/>
      <c r="Y52" s="362"/>
      <c r="Z52" s="362"/>
      <c r="AA52" s="262">
        <f t="shared" si="49"/>
        <v>1847.5497200000002</v>
      </c>
      <c r="AB52" s="362"/>
    </row>
    <row r="53" spans="1:30" ht="14.5">
      <c r="A53" s="295" t="str">
        <f t="shared" si="45"/>
        <v>TSX:BTO_2024_CFO</v>
      </c>
      <c r="B53" s="295" t="str">
        <f t="shared" si="45"/>
        <v>TSX:BTO</v>
      </c>
      <c r="C53" s="296" t="str">
        <f>_xll.ciqfunctions.udf.CIQ(B53,"IQ_COMPANY_NAME")</f>
        <v>B2Gold Corp.</v>
      </c>
      <c r="G53" s="294" t="s">
        <v>661</v>
      </c>
      <c r="H53" s="262" t="str">
        <f t="shared" si="46"/>
        <v>-</v>
      </c>
      <c r="I53" s="262">
        <f>IFERROR(IF(G53="y",IF(H53&lt;&gt;"-",H53,INDEX(Raw_Data,MATCH($A53,Look_Up,0),MATCH(I$4,Component,0))/1000*(1+'Raw Data'!$G$13)),(INDEX(Raw_Data,MATCH($A53,Look_Up,0),MATCH(I$4,Component,0))/1000)),"-")</f>
        <v>669.5</v>
      </c>
      <c r="J53" s="362"/>
      <c r="K53" s="362"/>
      <c r="L53" s="362"/>
      <c r="M53" s="262">
        <f t="shared" si="47"/>
        <v>502.125</v>
      </c>
      <c r="N53" s="362"/>
      <c r="O53" s="362"/>
      <c r="P53" s="262">
        <f t="shared" si="50"/>
        <v>1171.625</v>
      </c>
      <c r="Q53" s="362"/>
      <c r="R53" s="362"/>
      <c r="S53" s="362"/>
      <c r="T53" s="262">
        <f t="shared" si="48"/>
        <v>1802.4999999999998</v>
      </c>
      <c r="U53" s="362"/>
      <c r="V53" s="362"/>
      <c r="W53" s="262">
        <f t="shared" si="51"/>
        <v>2974.125</v>
      </c>
      <c r="X53" s="362"/>
      <c r="Y53" s="362"/>
      <c r="Z53" s="362"/>
      <c r="AA53" s="262">
        <f t="shared" si="49"/>
        <v>2981.0770000000002</v>
      </c>
      <c r="AB53" s="362"/>
    </row>
    <row r="54" spans="1:30" s="17" customFormat="1" ht="14.5">
      <c r="A54" s="295" t="str">
        <f t="shared" si="45"/>
        <v>NYSE:HL_2024_CFO</v>
      </c>
      <c r="B54" s="295" t="str">
        <f t="shared" si="45"/>
        <v>NYSE:HL</v>
      </c>
      <c r="C54" s="296" t="str">
        <f>_xll.ciqfunctions.udf.CIQ(B54,"IQ_COMPANY_NAME")</f>
        <v>Hecla Mining Company</v>
      </c>
      <c r="E54" s="22"/>
      <c r="F54" s="20"/>
      <c r="G54" s="294" t="s">
        <v>661</v>
      </c>
      <c r="H54" s="262" t="str">
        <f t="shared" si="46"/>
        <v>-</v>
      </c>
      <c r="I54" s="262">
        <f>IFERROR(IF(G54="y",IF(H54&lt;&gt;"-",H54,INDEX(Raw_Data,MATCH($A54,Look_Up,0),MATCH(I$4,Component,0))/1000*(1+'Raw Data'!$G$13)),(INDEX(Raw_Data,MATCH($A54,Look_Up,0),MATCH(I$4,Component,0))/1000)),"-")</f>
        <v>535.57890044999999</v>
      </c>
      <c r="J54" s="22"/>
      <c r="K54" s="363"/>
      <c r="L54" s="363"/>
      <c r="M54" s="262">
        <f t="shared" si="47"/>
        <v>535.57890044999999</v>
      </c>
      <c r="N54" s="364"/>
      <c r="O54" s="22"/>
      <c r="P54" s="262">
        <f t="shared" si="50"/>
        <v>1071.1578009</v>
      </c>
      <c r="Q54" s="21"/>
      <c r="R54" s="365"/>
      <c r="S54" s="365"/>
      <c r="T54" s="262">
        <f t="shared" si="48"/>
        <v>1038.6984735999999</v>
      </c>
      <c r="U54" s="364"/>
      <c r="V54" s="22"/>
      <c r="W54" s="262">
        <f t="shared" si="51"/>
        <v>2109.8562744999999</v>
      </c>
      <c r="X54" s="364"/>
      <c r="Y54" s="22"/>
      <c r="Z54" s="22"/>
      <c r="AA54" s="262">
        <f t="shared" si="49"/>
        <v>2238.8194152400001</v>
      </c>
      <c r="AB54" s="364"/>
      <c r="AC54" s="19"/>
      <c r="AD54" s="19"/>
    </row>
    <row r="55" spans="1:30" ht="14.5">
      <c r="A55" s="295" t="str">
        <f t="shared" si="45"/>
        <v>TSX:NGD_2024_CFO</v>
      </c>
      <c r="B55" s="295" t="str">
        <f t="shared" si="45"/>
        <v>TSX:NGD</v>
      </c>
      <c r="C55" s="296" t="str">
        <f>_xll.ciqfunctions.udf.CIQ(B55,"IQ_COMPANY_NAME")</f>
        <v>New Gold Inc.</v>
      </c>
      <c r="G55" s="294" t="s">
        <v>661</v>
      </c>
      <c r="H55" s="262" t="str">
        <f t="shared" si="46"/>
        <v>-</v>
      </c>
      <c r="I55" s="262">
        <f>IFERROR(IF(G55="y",IF(H55&lt;&gt;"-",H55,INDEX(Raw_Data,MATCH($A55,Look_Up,0),MATCH(I$4,Component,0))/1000*(1+'Raw Data'!$G$13)),(INDEX(Raw_Data,MATCH($A55,Look_Up,0),MATCH(I$4,Component,0))/1000)),"-")</f>
        <v>412</v>
      </c>
      <c r="J55" s="366"/>
      <c r="K55" s="366"/>
      <c r="L55" s="366"/>
      <c r="M55" s="262">
        <f t="shared" si="47"/>
        <v>391.4</v>
      </c>
      <c r="N55" s="362"/>
      <c r="O55" s="366"/>
      <c r="P55" s="262">
        <f t="shared" si="50"/>
        <v>803.4</v>
      </c>
      <c r="Q55" s="366"/>
      <c r="R55" s="366"/>
      <c r="S55" s="366"/>
      <c r="T55" s="262">
        <f t="shared" si="48"/>
        <v>618</v>
      </c>
      <c r="U55" s="362"/>
      <c r="V55" s="366"/>
      <c r="W55" s="262">
        <f t="shared" si="51"/>
        <v>1421.4</v>
      </c>
      <c r="X55" s="362"/>
      <c r="Y55" s="366"/>
      <c r="Z55" s="366"/>
      <c r="AA55" s="262">
        <f t="shared" si="49"/>
        <v>1437.18</v>
      </c>
      <c r="AB55" s="362"/>
    </row>
    <row r="56" spans="1:30" ht="14.5">
      <c r="A56" s="295" t="str">
        <f t="shared" si="45"/>
        <v>TSX:ELD_2024_CFO</v>
      </c>
      <c r="B56" s="295" t="str">
        <f t="shared" si="45"/>
        <v>TSX:ELD</v>
      </c>
      <c r="C56" s="296" t="str">
        <f>_xll.ciqfunctions.udf.CIQ(B56,"IQ_COMPANY_NAME")</f>
        <v>Eldorado Gold Corporation</v>
      </c>
      <c r="G56" s="294" t="s">
        <v>661</v>
      </c>
      <c r="H56" s="262" t="str">
        <f t="shared" si="46"/>
        <v>-</v>
      </c>
      <c r="I56" s="262">
        <f>IFERROR(IF(G56="y",IF(H56&lt;&gt;"-",H56,INDEX(Raw_Data,MATCH($A56,Look_Up,0),MATCH(I$4,Component,0))/1000*(1+'Raw Data'!$G$13)),(INDEX(Raw_Data,MATCH($A56,Look_Up,0),MATCH(I$4,Component,0))/1000)),"-")</f>
        <v>535.6</v>
      </c>
      <c r="J56" s="362"/>
      <c r="K56" s="362"/>
      <c r="L56" s="362"/>
      <c r="M56" s="262">
        <f t="shared" si="47"/>
        <v>428.48</v>
      </c>
      <c r="N56" s="362"/>
      <c r="O56" s="362"/>
      <c r="P56" s="262">
        <f t="shared" si="50"/>
        <v>964.08</v>
      </c>
      <c r="Q56" s="362"/>
      <c r="R56" s="362"/>
      <c r="S56" s="362"/>
      <c r="T56" s="262">
        <f t="shared" si="48"/>
        <v>937.30000000000007</v>
      </c>
      <c r="U56" s="362"/>
      <c r="V56" s="362"/>
      <c r="W56" s="262">
        <f t="shared" si="51"/>
        <v>1901.38</v>
      </c>
      <c r="X56" s="362"/>
      <c r="Y56" s="362"/>
      <c r="Z56" s="362"/>
      <c r="AA56" s="262">
        <f t="shared" si="49"/>
        <v>1994.9540000000002</v>
      </c>
      <c r="AB56" s="362"/>
    </row>
    <row r="57" spans="1:30" ht="14.5">
      <c r="A57" s="295" t="str">
        <f t="shared" si="45"/>
        <v>TSX:SSRM_2024_CFO</v>
      </c>
      <c r="B57" s="295" t="str">
        <f t="shared" si="45"/>
        <v>TSX:SSRM</v>
      </c>
      <c r="C57" s="296" t="str">
        <f>_xll.ciqfunctions.udf.CIQ(B57,"IQ_COMPANY_NAME")</f>
        <v>SSR Mining Inc.</v>
      </c>
      <c r="G57" s="294" t="s">
        <v>661</v>
      </c>
      <c r="H57" s="262" t="str">
        <f t="shared" si="46"/>
        <v>-</v>
      </c>
      <c r="I57" s="262">
        <f>IFERROR(IF(G57="y",IF(H57&lt;&gt;"-",H57,INDEX(Raw_Data,MATCH($A57,Look_Up,0),MATCH(I$4,Component,0))/1000*(1+'Raw Data'!$G$13)),(INDEX(Raw_Data,MATCH($A57,Look_Up,0),MATCH(I$4,Component,0))/1000)),"-")</f>
        <v>846.76506000000006</v>
      </c>
      <c r="J57" s="362"/>
      <c r="K57" s="362"/>
      <c r="L57" s="362"/>
      <c r="M57" s="262">
        <f t="shared" si="47"/>
        <v>635.07379500000002</v>
      </c>
      <c r="N57" s="362"/>
      <c r="O57" s="362"/>
      <c r="P57" s="262">
        <f t="shared" si="50"/>
        <v>1481.838855</v>
      </c>
      <c r="Q57" s="362"/>
      <c r="R57" s="362"/>
      <c r="S57" s="362"/>
      <c r="T57" s="262">
        <f t="shared" si="48"/>
        <v>1481.8388550000002</v>
      </c>
      <c r="U57" s="362"/>
      <c r="V57" s="362"/>
      <c r="W57" s="262">
        <f t="shared" si="51"/>
        <v>2963.6777099999999</v>
      </c>
      <c r="X57" s="362"/>
      <c r="Y57" s="362"/>
      <c r="Z57" s="362"/>
      <c r="AA57" s="262">
        <f t="shared" si="49"/>
        <v>3001.4944019999998</v>
      </c>
      <c r="AB57" s="362"/>
    </row>
    <row r="58" spans="1:30" ht="14.5">
      <c r="A58" s="295" t="str">
        <f t="shared" si="45"/>
        <v>TSX:OGC
_2024_CFO</v>
      </c>
      <c r="B58" s="295" t="str">
        <f t="shared" si="45"/>
        <v xml:space="preserve">TSX:OGC
</v>
      </c>
      <c r="C58" s="296" t="str">
        <f>_xll.ciqfunctions.udf.CIQ(B58,"IQ_COMPANY_NAME")</f>
        <v>OceanaGold Corporation</v>
      </c>
      <c r="G58" s="294" t="s">
        <v>661</v>
      </c>
      <c r="H58" s="262" t="str">
        <f t="shared" si="46"/>
        <v>-</v>
      </c>
      <c r="I58" s="262">
        <f>IFERROR(IF(G58="y",IF(H58&lt;&gt;"-",H58,INDEX(Raw_Data,MATCH($A58,Look_Up,0),MATCH(I$4,Component,0))/1000*(1+'Raw Data'!$G$13)),(INDEX(Raw_Data,MATCH($A58,Look_Up,0),MATCH(I$4,Component,0))/1000)),"-")</f>
        <v>578.45767181330007</v>
      </c>
      <c r="J58" s="362"/>
      <c r="K58" s="362"/>
      <c r="L58" s="362"/>
      <c r="M58" s="262">
        <f t="shared" si="47"/>
        <v>347.07460308798005</v>
      </c>
      <c r="N58" s="362"/>
      <c r="O58" s="362"/>
      <c r="P58" s="262">
        <f t="shared" si="50"/>
        <v>925.53227490128006</v>
      </c>
      <c r="Q58" s="362"/>
      <c r="R58" s="362"/>
      <c r="S58" s="362"/>
      <c r="T58" s="262">
        <f t="shared" si="48"/>
        <v>1702.4260988279025</v>
      </c>
      <c r="U58" s="362"/>
      <c r="V58" s="362"/>
      <c r="W58" s="262">
        <f t="shared" si="51"/>
        <v>2627.9583737291823</v>
      </c>
      <c r="X58" s="362"/>
      <c r="Y58" s="362"/>
      <c r="Z58" s="362"/>
      <c r="AA58" s="262">
        <f t="shared" si="49"/>
        <v>2640.6488882691824</v>
      </c>
      <c r="AB58" s="362"/>
    </row>
    <row r="59" spans="1:30" ht="14.5">
      <c r="A59" s="295" t="str">
        <f t="shared" si="45"/>
        <v>TSX:ERO_2024_CFO</v>
      </c>
      <c r="B59" s="295" t="str">
        <f t="shared" si="45"/>
        <v>TSX:ERO</v>
      </c>
      <c r="C59" s="296" t="str">
        <f>_xll.ciqfunctions.udf.CIQ(B59,"IQ_COMPANY_NAME")</f>
        <v>Ero Copper Corp.</v>
      </c>
      <c r="G59" s="294" t="s">
        <v>661</v>
      </c>
      <c r="H59" s="262" t="str">
        <f t="shared" si="46"/>
        <v>-</v>
      </c>
      <c r="I59" s="262">
        <f>IFERROR(IF(G59="y",IF(H59&lt;&gt;"-",H59,INDEX(Raw_Data,MATCH($A59,Look_Up,0),MATCH(I$4,Component,0))/1000*(1+'Raw Data'!$G$13)),(INDEX(Raw_Data,MATCH($A59,Look_Up,0),MATCH(I$4,Component,0))/1000)),"-")</f>
        <v>561.47579853500008</v>
      </c>
      <c r="J59" s="362"/>
      <c r="K59" s="362"/>
      <c r="L59" s="362"/>
      <c r="M59" s="262">
        <f t="shared" si="47"/>
        <v>421.10684890125003</v>
      </c>
      <c r="N59" s="362"/>
      <c r="O59" s="362"/>
      <c r="P59" s="262">
        <f t="shared" si="50"/>
        <v>982.58264743625011</v>
      </c>
      <c r="Q59" s="362"/>
      <c r="R59" s="362"/>
      <c r="S59" s="362"/>
      <c r="T59" s="262">
        <f t="shared" si="48"/>
        <v>894.70405602896039</v>
      </c>
      <c r="U59" s="362"/>
      <c r="V59" s="362"/>
      <c r="W59" s="262">
        <f t="shared" si="51"/>
        <v>1877.2867034652104</v>
      </c>
      <c r="X59" s="362"/>
      <c r="Y59" s="362"/>
      <c r="Z59" s="362"/>
      <c r="AA59" s="262">
        <f t="shared" si="49"/>
        <v>1885.9256253152105</v>
      </c>
      <c r="AB59" s="362"/>
    </row>
    <row r="60" spans="1:30" ht="14.5">
      <c r="A60" s="295" t="str">
        <f t="shared" si="45"/>
        <v>TSX:CG_2024_CFO</v>
      </c>
      <c r="B60" s="295" t="str">
        <f t="shared" si="45"/>
        <v>TSX:CG</v>
      </c>
      <c r="C60" s="296" t="str">
        <f>_xll.ciqfunctions.udf.CIQ(B60,"IQ_COMPANY_NAME")</f>
        <v>Centerra Gold Inc.</v>
      </c>
      <c r="G60" s="294" t="s">
        <v>661</v>
      </c>
      <c r="H60" s="262" t="str">
        <f t="shared" si="46"/>
        <v>-</v>
      </c>
      <c r="I60" s="262">
        <f>IFERROR(IF(G60="y",IF(H60&lt;&gt;"-",H60,INDEX(Raw_Data,MATCH($A60,Look_Up,0),MATCH(I$4,Component,0))/1000*(1+'Raw Data'!$G$13)),(INDEX(Raw_Data,MATCH($A60,Look_Up,0),MATCH(I$4,Component,0))/1000)),"-")</f>
        <v>410.66408999999999</v>
      </c>
      <c r="J60" s="362"/>
      <c r="K60" s="362"/>
      <c r="L60" s="362"/>
      <c r="M60" s="262">
        <f t="shared" si="47"/>
        <v>328.531272</v>
      </c>
      <c r="N60" s="362"/>
      <c r="O60" s="362"/>
      <c r="P60" s="262">
        <f t="shared" si="50"/>
        <v>739.19536199999993</v>
      </c>
      <c r="Q60" s="362"/>
      <c r="R60" s="362"/>
      <c r="S60" s="362"/>
      <c r="T60" s="262">
        <f t="shared" si="48"/>
        <v>739.19536200000005</v>
      </c>
      <c r="U60" s="362"/>
      <c r="V60" s="362"/>
      <c r="W60" s="262">
        <f t="shared" si="51"/>
        <v>1478.3907239999999</v>
      </c>
      <c r="X60" s="362"/>
      <c r="Y60" s="362"/>
      <c r="Z60" s="362"/>
      <c r="AA60" s="262">
        <f t="shared" si="49"/>
        <v>1575.5817239999999</v>
      </c>
      <c r="AB60" s="362"/>
    </row>
    <row r="61" spans="1:30" ht="14.5">
      <c r="A61" s="295" t="str">
        <f t="shared" si="45"/>
        <v>0_2024_CFO</v>
      </c>
      <c r="B61" s="295">
        <f t="shared" si="45"/>
        <v>0</v>
      </c>
      <c r="C61" s="296" t="str">
        <f>_xll.ciqfunctions.udf.CIQ(B61,"IQ_COMPANY_NAME")</f>
        <v>(Invalid Identifier)</v>
      </c>
      <c r="G61" s="294" t="s">
        <v>661</v>
      </c>
      <c r="H61" s="262" t="str">
        <f t="shared" si="46"/>
        <v>-</v>
      </c>
      <c r="I61" s="262" t="str">
        <f>IFERROR(IF(G61="y",IF(H61&lt;&gt;"-",H61,INDEX(Raw_Data,MATCH($A61,Look_Up,0),MATCH(I$4,Component,0))/1000*(1+'Raw Data'!$G$13)),(INDEX(Raw_Data,MATCH($A61,Look_Up,0),MATCH(I$4,Component,0))/1000)),"-")</f>
        <v>-</v>
      </c>
      <c r="J61" s="362"/>
      <c r="K61" s="362"/>
      <c r="L61" s="362"/>
      <c r="M61" s="262" t="str">
        <f t="shared" si="47"/>
        <v>-</v>
      </c>
      <c r="N61" s="362"/>
      <c r="O61" s="362"/>
      <c r="P61" s="262" t="str">
        <f t="shared" si="50"/>
        <v>-</v>
      </c>
      <c r="Q61" s="362"/>
      <c r="R61" s="362"/>
      <c r="S61" s="362"/>
      <c r="T61" s="262" t="str">
        <f t="shared" si="48"/>
        <v>-</v>
      </c>
      <c r="U61" s="362"/>
      <c r="V61" s="362"/>
      <c r="W61" s="262" t="str">
        <f t="shared" si="51"/>
        <v>-</v>
      </c>
      <c r="X61" s="362"/>
      <c r="Y61" s="362"/>
      <c r="Z61" s="362"/>
      <c r="AA61" s="262" t="str">
        <f t="shared" si="49"/>
        <v>-</v>
      </c>
      <c r="AB61" s="362"/>
    </row>
    <row r="62" spans="1:30" ht="14.5">
      <c r="A62" s="295" t="str">
        <f t="shared" si="45"/>
        <v>0_2024_CFO</v>
      </c>
      <c r="B62" s="295">
        <f t="shared" si="45"/>
        <v>0</v>
      </c>
      <c r="C62" s="296" t="str">
        <f>_xll.ciqfunctions.udf.CIQ(B62,"IQ_COMPANY_NAME")</f>
        <v>(Invalid Identifier)</v>
      </c>
      <c r="G62" s="294" t="s">
        <v>661</v>
      </c>
      <c r="H62" s="262" t="str">
        <f t="shared" si="46"/>
        <v>-</v>
      </c>
      <c r="I62" s="262" t="str">
        <f>IFERROR(IF(G62="y",IF(H62&lt;&gt;"-",H62,INDEX(Raw_Data,MATCH($A62,Look_Up,0),MATCH(I$4,Component,0))/1000*(1+'Raw Data'!$G$13)),(INDEX(Raw_Data,MATCH($A62,Look_Up,0),MATCH(I$4,Component,0))/1000)),"-")</f>
        <v>-</v>
      </c>
      <c r="J62" s="362"/>
      <c r="K62" s="362"/>
      <c r="L62" s="362"/>
      <c r="M62" s="262" t="str">
        <f t="shared" si="47"/>
        <v>-</v>
      </c>
      <c r="N62" s="362"/>
      <c r="O62" s="362"/>
      <c r="P62" s="262" t="str">
        <f t="shared" si="50"/>
        <v>-</v>
      </c>
      <c r="Q62" s="362"/>
      <c r="R62" s="362"/>
      <c r="S62" s="362"/>
      <c r="T62" s="262" t="str">
        <f t="shared" si="48"/>
        <v>-</v>
      </c>
      <c r="U62" s="362"/>
      <c r="V62" s="362"/>
      <c r="W62" s="262" t="str">
        <f t="shared" si="51"/>
        <v>-</v>
      </c>
      <c r="X62" s="362"/>
      <c r="Y62" s="362"/>
      <c r="Z62" s="362"/>
      <c r="AA62" s="262" t="str">
        <f t="shared" si="49"/>
        <v>-</v>
      </c>
      <c r="AB62" s="362"/>
    </row>
    <row r="63" spans="1:30" ht="14.5">
      <c r="A63" s="295" t="str">
        <f t="shared" si="45"/>
        <v>0_2024_CFO</v>
      </c>
      <c r="B63" s="295">
        <f t="shared" si="45"/>
        <v>0</v>
      </c>
      <c r="C63" s="296" t="str">
        <f>_xll.ciqfunctions.udf.CIQ(B63,"IQ_COMPANY_NAME")</f>
        <v>(Invalid Identifier)</v>
      </c>
      <c r="G63" s="294" t="s">
        <v>661</v>
      </c>
      <c r="H63" s="262" t="str">
        <f t="shared" si="46"/>
        <v>-</v>
      </c>
      <c r="I63" s="262" t="str">
        <f>IFERROR(IF(G63="y",IF(H63&lt;&gt;"-",H63,INDEX(Raw_Data,MATCH($A63,Look_Up,0),MATCH(I$4,Component,0))/1000*(1+'Raw Data'!$G$13)),(INDEX(Raw_Data,MATCH($A63,Look_Up,0),MATCH(I$4,Component,0))/1000)),"-")</f>
        <v>-</v>
      </c>
      <c r="J63" s="362"/>
      <c r="K63" s="362"/>
      <c r="L63" s="362"/>
      <c r="M63" s="262" t="str">
        <f t="shared" si="47"/>
        <v>-</v>
      </c>
      <c r="N63" s="362"/>
      <c r="O63" s="362"/>
      <c r="P63" s="262" t="str">
        <f t="shared" si="50"/>
        <v>-</v>
      </c>
      <c r="Q63" s="362"/>
      <c r="R63" s="362"/>
      <c r="S63" s="362"/>
      <c r="T63" s="262" t="str">
        <f t="shared" si="48"/>
        <v>-</v>
      </c>
      <c r="U63" s="362"/>
      <c r="V63" s="362"/>
      <c r="W63" s="262" t="str">
        <f t="shared" si="51"/>
        <v>-</v>
      </c>
      <c r="X63" s="362"/>
      <c r="Y63" s="362"/>
      <c r="Z63" s="362"/>
      <c r="AA63" s="262" t="str">
        <f t="shared" si="49"/>
        <v>-</v>
      </c>
      <c r="AB63" s="362"/>
    </row>
    <row r="64" spans="1:30" ht="14.5">
      <c r="A64" s="295" t="str">
        <f t="shared" si="45"/>
        <v>0_2024_CFO</v>
      </c>
      <c r="B64" s="295">
        <f t="shared" si="45"/>
        <v>0</v>
      </c>
      <c r="C64" s="296" t="str">
        <f>_xll.ciqfunctions.udf.CIQ(B64,"IQ_COMPANY_NAME")</f>
        <v>(Invalid Identifier)</v>
      </c>
      <c r="G64" s="294" t="s">
        <v>661</v>
      </c>
      <c r="H64" s="262" t="str">
        <f t="shared" si="46"/>
        <v>-</v>
      </c>
      <c r="I64" s="262" t="str">
        <f>IFERROR(IF(G64="y",IF(H64&lt;&gt;"-",H64,INDEX(Raw_Data,MATCH($A64,Look_Up,0),MATCH(I$4,Component,0))/1000*(1+'Raw Data'!$G$13)),(INDEX(Raw_Data,MATCH($A64,Look_Up,0),MATCH(I$4,Component,0))/1000)),"-")</f>
        <v>-</v>
      </c>
      <c r="J64" s="362"/>
      <c r="K64" s="362"/>
      <c r="L64" s="362"/>
      <c r="M64" s="262" t="str">
        <f t="shared" si="47"/>
        <v>-</v>
      </c>
      <c r="N64" s="362"/>
      <c r="O64" s="362"/>
      <c r="P64" s="262" t="str">
        <f t="shared" si="50"/>
        <v>-</v>
      </c>
      <c r="Q64" s="362"/>
      <c r="R64" s="362"/>
      <c r="S64" s="362"/>
      <c r="T64" s="262" t="str">
        <f t="shared" si="48"/>
        <v>-</v>
      </c>
      <c r="U64" s="362"/>
      <c r="V64" s="362"/>
      <c r="W64" s="262" t="str">
        <f t="shared" si="51"/>
        <v>-</v>
      </c>
      <c r="X64" s="362"/>
      <c r="Y64" s="362"/>
      <c r="Z64" s="362"/>
      <c r="AA64" s="262" t="str">
        <f t="shared" si="49"/>
        <v>-</v>
      </c>
      <c r="AB64" s="362"/>
    </row>
    <row r="65" spans="1:28" ht="14.5">
      <c r="A65" s="295" t="str">
        <f t="shared" si="45"/>
        <v>0_2024_CFO</v>
      </c>
      <c r="B65" s="295">
        <f t="shared" si="45"/>
        <v>0</v>
      </c>
      <c r="C65" s="296" t="str">
        <f>_xll.ciqfunctions.udf.CIQ(B65,"IQ_COMPANY_NAME")</f>
        <v>(Invalid Identifier)</v>
      </c>
      <c r="G65" s="294" t="s">
        <v>661</v>
      </c>
      <c r="H65" s="262" t="str">
        <f t="shared" si="46"/>
        <v>-</v>
      </c>
      <c r="I65" s="262" t="str">
        <f>IFERROR(IF(G65="y",IF(H65&lt;&gt;"-",H65,INDEX(Raw_Data,MATCH($A65,Look_Up,0),MATCH(I$4,Component,0))/1000*(1+'Raw Data'!$G$13)),(INDEX(Raw_Data,MATCH($A65,Look_Up,0),MATCH(I$4,Component,0))/1000)),"-")</f>
        <v>-</v>
      </c>
      <c r="J65" s="362"/>
      <c r="K65" s="362"/>
      <c r="L65" s="362"/>
      <c r="M65" s="262" t="str">
        <f t="shared" si="47"/>
        <v>-</v>
      </c>
      <c r="N65" s="362"/>
      <c r="O65" s="362"/>
      <c r="P65" s="262" t="str">
        <f t="shared" si="50"/>
        <v>-</v>
      </c>
      <c r="Q65" s="362"/>
      <c r="R65" s="362"/>
      <c r="S65" s="362"/>
      <c r="T65" s="262" t="str">
        <f t="shared" si="48"/>
        <v>-</v>
      </c>
      <c r="U65" s="362"/>
      <c r="V65" s="362"/>
      <c r="W65" s="262" t="str">
        <f t="shared" si="51"/>
        <v>-</v>
      </c>
      <c r="X65" s="362"/>
      <c r="Y65" s="362"/>
      <c r="Z65" s="362"/>
      <c r="AA65" s="262" t="str">
        <f t="shared" si="49"/>
        <v>-</v>
      </c>
      <c r="AB65" s="362"/>
    </row>
    <row r="66" spans="1:28" ht="14.5">
      <c r="A66" s="295" t="str">
        <f t="shared" si="45"/>
        <v>0_2024_CFO</v>
      </c>
      <c r="B66" s="295">
        <f t="shared" si="45"/>
        <v>0</v>
      </c>
      <c r="C66" s="296" t="str">
        <f>_xll.ciqfunctions.udf.CIQ(B66,"IQ_COMPANY_NAME")</f>
        <v>(Invalid Identifier)</v>
      </c>
      <c r="G66" s="294" t="s">
        <v>661</v>
      </c>
      <c r="H66" s="304" t="str">
        <f t="shared" si="46"/>
        <v>-</v>
      </c>
      <c r="I66" s="262" t="str">
        <f>IFERROR(IF(G66="y",IF(H66&lt;&gt;"-",H66,INDEX(Raw_Data,MATCH($A66,Look_Up,0),MATCH(I$4,Component,0))/1000*(1+'Raw Data'!$G$13)),(INDEX(Raw_Data,MATCH($A66,Look_Up,0),MATCH(I$4,Component,0))/1000)),"-")</f>
        <v>-</v>
      </c>
      <c r="J66" s="362"/>
      <c r="K66" s="362"/>
      <c r="L66" s="362"/>
      <c r="M66" s="262" t="str">
        <f t="shared" si="47"/>
        <v>-</v>
      </c>
      <c r="N66" s="362"/>
      <c r="O66" s="362"/>
      <c r="P66" s="304" t="str">
        <f t="shared" si="50"/>
        <v>-</v>
      </c>
      <c r="Q66" s="362"/>
      <c r="R66" s="362"/>
      <c r="S66" s="362"/>
      <c r="T66" s="262" t="str">
        <f t="shared" si="48"/>
        <v>-</v>
      </c>
      <c r="U66" s="362"/>
      <c r="V66" s="362"/>
      <c r="W66" s="304" t="str">
        <f t="shared" si="51"/>
        <v>-</v>
      </c>
      <c r="X66" s="362"/>
      <c r="Y66" s="362"/>
      <c r="Z66" s="362"/>
      <c r="AA66" s="304" t="str">
        <f t="shared" si="49"/>
        <v>-</v>
      </c>
      <c r="AB66" s="362"/>
    </row>
    <row r="67" spans="1:28" ht="14.5">
      <c r="A67" s="15"/>
      <c r="B67" s="15"/>
      <c r="I67" s="288"/>
      <c r="M67" s="288"/>
      <c r="P67" s="288"/>
      <c r="T67" s="288"/>
      <c r="W67" s="288"/>
      <c r="AA67" s="288"/>
    </row>
    <row r="68" spans="1:28" ht="14.5">
      <c r="A68" s="15"/>
      <c r="B68" s="15"/>
      <c r="I68" s="262">
        <f>PERCENTILE(I$47:I$66,$B29)</f>
        <v>650.1875</v>
      </c>
      <c r="M68" s="262">
        <f>PERCENTILE(M$47:M$66,$B29)</f>
        <v>527.21542533749994</v>
      </c>
      <c r="P68" s="262">
        <f>PERCENTILE(P$47:P$66,$B29)</f>
        <v>1146.5082002250001</v>
      </c>
      <c r="T68" s="262">
        <f>PERCENTILE(T$47:T$66,$B29)</f>
        <v>1310.2898881547926</v>
      </c>
      <c r="W68" s="262">
        <f>PERCENTILE(W$47:W$66,$B29)</f>
        <v>2606.1398881547925</v>
      </c>
      <c r="AA68" s="262">
        <f>PERCENTILE(AA$47:AA$66,$B29)</f>
        <v>2687.8052300102231</v>
      </c>
    </row>
    <row r="69" spans="1:28" ht="14.5">
      <c r="A69" s="15"/>
      <c r="B69" s="15"/>
      <c r="I69" s="266">
        <f>PERCENTILE(I$47:I$66,$B30)</f>
        <v>555.20714926750009</v>
      </c>
      <c r="M69" s="266">
        <f>PERCENTILE(M$47:M$66,$B30)</f>
        <v>444.04536000000002</v>
      </c>
      <c r="P69" s="266">
        <f>PERCENTILE(P$47:P$66,$B30)</f>
        <v>986.72132371812506</v>
      </c>
      <c r="T69" s="266">
        <f>PERCENTILE(T$47:T$66,$B30)</f>
        <v>987.99923680000006</v>
      </c>
      <c r="W69" s="266">
        <f>PERCENTILE(W$47:W$66,$B30)</f>
        <v>2005.61813725</v>
      </c>
      <c r="AA69" s="266">
        <f>PERCENTILE(AA$47:AA$66,$B30)</f>
        <v>2116.8867076200004</v>
      </c>
    </row>
    <row r="70" spans="1:28" ht="14.5">
      <c r="A70" s="15"/>
      <c r="B70" s="15"/>
      <c r="I70" s="262">
        <f>PERCENTILE(I$47:I$66,$B31)</f>
        <v>535.6</v>
      </c>
      <c r="M70" s="262">
        <f>PERCENTILE(M$47:M$66,$B31)</f>
        <v>414.05461847531251</v>
      </c>
      <c r="P70" s="262">
        <f>PERCENTILE(P$47:P$66,$B31)</f>
        <v>961.50178125000014</v>
      </c>
      <c r="T70" s="262">
        <f>PERCENTILE(T$47:T$66,$B31)</f>
        <v>846.31101400724015</v>
      </c>
      <c r="W70" s="262">
        <f>PERCENTILE(W$47:W$66,$B31)</f>
        <v>1835.1016758663027</v>
      </c>
      <c r="AA70" s="262">
        <f>PERCENTILE(AA$47:AA$66,$B31)</f>
        <v>1908.7374252364079</v>
      </c>
    </row>
    <row r="71" spans="1:28" ht="14.5">
      <c r="A71" s="15"/>
      <c r="B71" s="15"/>
      <c r="I71" s="270">
        <f>AVERAGE(I47:I66)</f>
        <v>585.41917291416428</v>
      </c>
      <c r="M71" s="270">
        <f>AVERAGE(M47:M66)</f>
        <v>469.45464388851644</v>
      </c>
      <c r="P71" s="270">
        <f>AVERAGE(P47:P66)</f>
        <v>1054.8738168026807</v>
      </c>
      <c r="T71" s="270">
        <f>AVERAGE(T47:T66)</f>
        <v>1100.1450163897832</v>
      </c>
      <c r="W71" s="270">
        <f>AVERAGE(W47:W66)</f>
        <v>2155.0188331924646</v>
      </c>
      <c r="AA71" s="270">
        <f>AVERAGE(AA47:AA66)</f>
        <v>2247.7604954460353</v>
      </c>
    </row>
    <row r="72" spans="1:28">
      <c r="A72" s="15"/>
      <c r="B72" s="15"/>
    </row>
  </sheetData>
  <sortState xmlns:xlrd2="http://schemas.microsoft.com/office/spreadsheetml/2017/richdata2" ref="A8:AP21">
    <sortCondition descending="1" ref="E8:E21"/>
  </sortState>
  <mergeCells count="10">
    <mergeCell ref="C6:C7"/>
    <mergeCell ref="D6:D7"/>
    <mergeCell ref="E6:E7"/>
    <mergeCell ref="F6:F7"/>
    <mergeCell ref="G6:G7"/>
    <mergeCell ref="I6:I7"/>
    <mergeCell ref="X6:X7"/>
    <mergeCell ref="Y6:Y7"/>
    <mergeCell ref="Z6:AA6"/>
    <mergeCell ref="H6:H7"/>
  </mergeCells>
  <conditionalFormatting sqref="C8:AA27">
    <cfRule type="expression" dxfId="175" priority="2">
      <formula>MOD(ROW(),2)=0</formula>
    </cfRule>
  </conditionalFormatting>
  <conditionalFormatting sqref="C29:AA32">
    <cfRule type="expression" dxfId="174" priority="3">
      <formula>MOD(ROW(),2)=0</formula>
    </cfRule>
  </conditionalFormatting>
  <conditionalFormatting sqref="C34:AA37">
    <cfRule type="expression" dxfId="173" priority="1">
      <formula>MOD(ROW(),2)=0</formula>
    </cfRule>
  </conditionalFormatting>
  <conditionalFormatting sqref="H47:I66">
    <cfRule type="expression" dxfId="172" priority="91">
      <formula>MOD(ROW(),2)=0</formula>
    </cfRule>
  </conditionalFormatting>
  <conditionalFormatting sqref="I68:I71">
    <cfRule type="expression" dxfId="171" priority="96">
      <formula>MOD(ROW(),2)=0</formula>
    </cfRule>
  </conditionalFormatting>
  <conditionalFormatting sqref="M47:M66">
    <cfRule type="expression" dxfId="170" priority="99">
      <formula>MOD(ROW(),2)=0</formula>
    </cfRule>
  </conditionalFormatting>
  <conditionalFormatting sqref="M68:M71">
    <cfRule type="expression" dxfId="169" priority="95">
      <formula>MOD(ROW(),2)=0</formula>
    </cfRule>
  </conditionalFormatting>
  <conditionalFormatting sqref="P47:P66">
    <cfRule type="expression" dxfId="168" priority="98">
      <formula>MOD(ROW(),2)=0</formula>
    </cfRule>
  </conditionalFormatting>
  <conditionalFormatting sqref="P68:P71">
    <cfRule type="expression" dxfId="167" priority="94">
      <formula>MOD(ROW(),2)=0</formula>
    </cfRule>
  </conditionalFormatting>
  <conditionalFormatting sqref="T47:T66">
    <cfRule type="expression" dxfId="166" priority="97">
      <formula>MOD(ROW(),2)=0</formula>
    </cfRule>
  </conditionalFormatting>
  <conditionalFormatting sqref="T68:T71">
    <cfRule type="expression" dxfId="165" priority="93">
      <formula>MOD(ROW(),2)=0</formula>
    </cfRule>
  </conditionalFormatting>
  <conditionalFormatting sqref="W47:W66">
    <cfRule type="expression" dxfId="164" priority="89">
      <formula>MOD(ROW(),2)=0</formula>
    </cfRule>
  </conditionalFormatting>
  <conditionalFormatting sqref="W68:W71">
    <cfRule type="expression" dxfId="163" priority="92">
      <formula>MOD(ROW(),2)=0</formula>
    </cfRule>
  </conditionalFormatting>
  <conditionalFormatting sqref="AA47:AA66">
    <cfRule type="expression" dxfId="162" priority="86">
      <formula>MOD(ROW(),2)=0</formula>
    </cfRule>
  </conditionalFormatting>
  <conditionalFormatting sqref="AA68:AA71">
    <cfRule type="expression" dxfId="161" priority="87">
      <formula>MOD(ROW(),2)=0</formula>
    </cfRule>
  </conditionalFormatting>
  <conditionalFormatting sqref="AC8:AD27">
    <cfRule type="expression" dxfId="160" priority="23">
      <formula>MOD(ROW(),2)=0</formula>
    </cfRule>
  </conditionalFormatting>
  <conditionalFormatting sqref="AC29:AD33 AD34:AD35 AC36:AD37">
    <cfRule type="expression" dxfId="159" priority="22">
      <formula>MOD(ROW(),2)=0</formula>
    </cfRule>
  </conditionalFormatting>
  <conditionalFormatting sqref="AG8:AK21">
    <cfRule type="expression" dxfId="158" priority="15">
      <formula>MOD(ROW(),2)=0</formula>
    </cfRule>
  </conditionalFormatting>
  <conditionalFormatting sqref="AG22:AM27">
    <cfRule type="expression" dxfId="157" priority="17">
      <formula>MOD(ROW(),2)=0</formula>
    </cfRule>
  </conditionalFormatting>
  <conditionalFormatting sqref="AL8:AM8 AL9 AL10:AM14 AL15 AL16:AM21">
    <cfRule type="expression" dxfId="156" priority="14">
      <formula>MOD(ROW(),2)=0</formula>
    </cfRule>
  </conditionalFormatting>
  <conditionalFormatting sqref="AL8:AM21">
    <cfRule type="expression" dxfId="155" priority="13">
      <formula>$AJ8="Y"</formula>
    </cfRule>
  </conditionalFormatting>
  <conditionalFormatting sqref="AL29:AM33">
    <cfRule type="expression" dxfId="154" priority="18">
      <formula>MOD(ROW(),2)=0</formula>
    </cfRule>
  </conditionalFormatting>
  <conditionalFormatting sqref="AN8:AN27">
    <cfRule type="expression" dxfId="153" priority="51">
      <formula>MOD(ROW(),2)=0</formula>
    </cfRule>
  </conditionalFormatting>
  <conditionalFormatting sqref="AN29:AN32">
    <cfRule type="expression" dxfId="152" priority="83">
      <formula>MOD(ROW(),2)=0</formula>
    </cfRule>
  </conditionalFormatting>
  <dataValidations disablePrompts="1" count="1">
    <dataValidation type="list" allowBlank="1" showInputMessage="1" showErrorMessage="1" sqref="G47:G66" xr:uid="{E4ADE709-AEE1-4F09-BA41-DFE36BA45CBD}">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9355-4BDC-4ED7-8ED3-AF186A5D2D7D}">
  <sheetPr>
    <tabColor theme="3"/>
    <pageSetUpPr fitToPage="1"/>
  </sheetPr>
  <dimension ref="A1:AN72"/>
  <sheetViews>
    <sheetView topLeftCell="D8" zoomScale="70" zoomScaleNormal="70" workbookViewId="0">
      <selection activeCell="W48" sqref="W48:X48"/>
    </sheetView>
  </sheetViews>
  <sheetFormatPr defaultColWidth="9.1796875" defaultRowHeight="14" outlineLevelRow="1" outlineLevelCol="3"/>
  <cols>
    <col min="1" max="1" width="10.453125" style="12" bestFit="1" customWidth="1"/>
    <col min="2" max="2" width="8.1796875" style="12" customWidth="1"/>
    <col min="3" max="3" width="32.7265625" style="12" customWidth="1"/>
    <col min="4" max="5" width="14.453125" style="12" customWidth="1" outlineLevel="1"/>
    <col min="6" max="6" width="18.7265625" style="12" customWidth="1" outlineLevel="1"/>
    <col min="7" max="7" width="32.7265625" style="12" customWidth="1"/>
    <col min="8" max="8" width="5.7265625" style="12" hidden="1" customWidth="1" outlineLevel="1"/>
    <col min="9" max="9" width="13.26953125" style="12" customWidth="1" collapsed="1"/>
    <col min="10" max="12" width="13.26953125" style="12" hidden="1" customWidth="1" outlineLevel="1"/>
    <col min="13" max="13" width="13.26953125" style="12" customWidth="1" collapsed="1"/>
    <col min="14" max="16" width="13.26953125" style="12" customWidth="1"/>
    <col min="17" max="19" width="13.26953125" style="12" hidden="1" customWidth="1" outlineLevel="1"/>
    <col min="20" max="20" width="13.26953125" style="12" customWidth="1" collapsed="1"/>
    <col min="21" max="23" width="13.2695312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customWidth="1"/>
    <col min="35" max="35" width="15.7265625" style="12" customWidth="1" outlineLevel="1"/>
    <col min="36" max="36" width="15.7265625" style="12" customWidth="1" outlineLevel="2"/>
    <col min="37" max="37" width="28.54296875" style="12" bestFit="1" customWidth="1"/>
    <col min="38" max="39" width="15.7265625" style="12" customWidth="1"/>
    <col min="40" max="40" width="16" style="12" bestFit="1" customWidth="1"/>
    <col min="41" max="16384" width="9.1796875" style="12"/>
  </cols>
  <sheetData>
    <row r="1" spans="1:40" s="48" customFormat="1" ht="17.25" customHeight="1">
      <c r="A1" s="111">
        <v>45852</v>
      </c>
    </row>
    <row r="2" spans="1:40">
      <c r="A2" s="12" t="s">
        <v>2</v>
      </c>
      <c r="B2" s="49" t="s">
        <v>24</v>
      </c>
      <c r="C2" s="53" t="s">
        <v>107</v>
      </c>
    </row>
    <row r="3" spans="1:40">
      <c r="B3" s="49" t="s">
        <v>23</v>
      </c>
      <c r="C3" s="53">
        <f>'Raw Data'!$F$9</f>
        <v>2024</v>
      </c>
    </row>
    <row r="4" spans="1:40"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0" ht="21">
      <c r="B5" s="26"/>
      <c r="C5" s="256" t="str">
        <f>+C2&amp; " Benchmarking - "&amp;'Raw Data'!G5&amp;" $000s"</f>
        <v>NEO1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0" ht="35.15" customHeight="1">
      <c r="B6" s="45"/>
      <c r="C6" s="1107" t="s">
        <v>22</v>
      </c>
      <c r="D6" s="1109" t="s">
        <v>21</v>
      </c>
      <c r="E6" s="1109" t="s">
        <v>20</v>
      </c>
      <c r="F6" s="1109" t="s">
        <v>19</v>
      </c>
      <c r="G6" s="1109" t="s">
        <v>18</v>
      </c>
      <c r="H6" s="1100" t="s">
        <v>114</v>
      </c>
      <c r="I6" s="1100" t="s">
        <v>17</v>
      </c>
      <c r="J6" s="899" t="s">
        <v>16</v>
      </c>
      <c r="K6" s="899"/>
      <c r="L6" s="899"/>
      <c r="M6" s="899" t="s">
        <v>16</v>
      </c>
      <c r="N6" s="899"/>
      <c r="O6" s="899" t="s">
        <v>15</v>
      </c>
      <c r="P6" s="899"/>
      <c r="Q6" s="899" t="s">
        <v>14</v>
      </c>
      <c r="R6" s="899"/>
      <c r="S6" s="899"/>
      <c r="T6" s="899" t="s">
        <v>14</v>
      </c>
      <c r="U6" s="899"/>
      <c r="V6" s="899" t="s">
        <v>656</v>
      </c>
      <c r="W6" s="899"/>
      <c r="X6" s="1102" t="s">
        <v>31</v>
      </c>
      <c r="Y6" s="1104" t="s">
        <v>245</v>
      </c>
      <c r="Z6" s="1104" t="s">
        <v>244</v>
      </c>
      <c r="AA6" s="1106"/>
      <c r="AB6" s="698"/>
      <c r="AC6" s="685" t="s">
        <v>12</v>
      </c>
      <c r="AD6" s="610"/>
      <c r="AE6" s="698">
        <v>2023</v>
      </c>
      <c r="AF6" s="699"/>
      <c r="AG6" s="688" t="s">
        <v>657</v>
      </c>
      <c r="AH6" s="689"/>
      <c r="AI6" s="689"/>
      <c r="AJ6" s="689"/>
      <c r="AK6" s="689"/>
      <c r="AL6" s="688" t="s">
        <v>657</v>
      </c>
      <c r="AM6" s="690"/>
      <c r="AN6" s="497"/>
    </row>
    <row r="7" spans="1:40" ht="45" customHeight="1">
      <c r="A7" s="52" t="s">
        <v>54</v>
      </c>
      <c r="B7" s="52" t="s">
        <v>25</v>
      </c>
      <c r="C7" s="1108"/>
      <c r="D7" s="1110" t="s">
        <v>21</v>
      </c>
      <c r="E7" s="1110" t="s">
        <v>20</v>
      </c>
      <c r="F7" s="1110" t="s">
        <v>19</v>
      </c>
      <c r="G7" s="1110" t="s">
        <v>18</v>
      </c>
      <c r="H7" s="1101" t="s">
        <v>17</v>
      </c>
      <c r="I7" s="1101" t="s">
        <v>17</v>
      </c>
      <c r="J7" s="901" t="s">
        <v>40</v>
      </c>
      <c r="K7" s="902" t="s">
        <v>51</v>
      </c>
      <c r="L7" s="902" t="s">
        <v>104</v>
      </c>
      <c r="M7" s="902" t="s">
        <v>42</v>
      </c>
      <c r="N7" s="901" t="s">
        <v>41</v>
      </c>
      <c r="O7" s="901" t="s">
        <v>53</v>
      </c>
      <c r="P7" s="901" t="s">
        <v>42</v>
      </c>
      <c r="Q7" s="902" t="s">
        <v>40</v>
      </c>
      <c r="R7" s="903" t="s">
        <v>52</v>
      </c>
      <c r="S7" s="903" t="s">
        <v>105</v>
      </c>
      <c r="T7" s="902" t="s">
        <v>42</v>
      </c>
      <c r="U7" s="904" t="s">
        <v>41</v>
      </c>
      <c r="V7" s="901" t="s">
        <v>40</v>
      </c>
      <c r="W7" s="901" t="s">
        <v>42</v>
      </c>
      <c r="X7" s="1103"/>
      <c r="Y7" s="1105"/>
      <c r="Z7" s="611" t="s">
        <v>40</v>
      </c>
      <c r="AA7" s="612" t="s">
        <v>42</v>
      </c>
      <c r="AB7" s="698"/>
      <c r="AC7" s="686" t="s">
        <v>11</v>
      </c>
      <c r="AD7" s="687" t="s">
        <v>10</v>
      </c>
      <c r="AE7" s="699" t="str">
        <f>AE6&amp;" Lookup"</f>
        <v>2023 Lookup</v>
      </c>
      <c r="AF7" s="699"/>
      <c r="AG7" s="691" t="s">
        <v>22</v>
      </c>
      <c r="AH7" s="692" t="s">
        <v>19</v>
      </c>
      <c r="AI7" s="692" t="s">
        <v>660</v>
      </c>
      <c r="AJ7" s="693" t="s">
        <v>658</v>
      </c>
      <c r="AK7" s="692" t="s">
        <v>18</v>
      </c>
      <c r="AL7" s="694" t="s">
        <v>40</v>
      </c>
      <c r="AM7" s="695" t="s">
        <v>42</v>
      </c>
      <c r="AN7" s="502" t="s">
        <v>659</v>
      </c>
    </row>
    <row r="8" spans="1:40" ht="20.25" customHeight="1">
      <c r="A8" s="12" t="str">
        <f t="shared" ref="A8:A27" si="0">$B8&amp;"_"&amp;$C$3&amp;"_"&amp;$C$2</f>
        <v>TSX:K_2024_NEO1</v>
      </c>
      <c r="B8" s="12" t="str">
        <f>'Raw Data'!D5</f>
        <v>TSX:K</v>
      </c>
      <c r="C8" s="626" t="str">
        <f t="shared" ref="C8:C27" si="1">IFERROR(INDEX(Raw_Data,MATCH($A8,Look_Up,0),MATCH(C$4,Component,0)),"-")</f>
        <v>Kinross Gold Corporation</v>
      </c>
      <c r="D8" s="627">
        <f>_xll.ciqfunctions.udf.CIQ(B8, "IQ_MARKETCAP", $A$1,$A$2)</f>
        <v>26179.912</v>
      </c>
      <c r="E8" s="627">
        <f>_xll.ciqfunctions.udf.CIQ($B8, "IQ_TEV", $A$1,$A$2)</f>
        <v>27159.32229</v>
      </c>
      <c r="F8" s="628" t="str">
        <f t="shared" ref="F8:G27" si="2">IFERROR(INDEX(Raw_Data,MATCH($A8,Look_Up,0),MATCH(F$4,Component,0)),"-")</f>
        <v>Geoffrey P. Gold</v>
      </c>
      <c r="G8" s="628" t="str">
        <f t="shared" si="2"/>
        <v>President</v>
      </c>
      <c r="H8" s="627">
        <f t="shared" ref="H8:J27" si="3">IFERROR(INDEX(Raw_Data,MATCH($A8,Look_Up,0),MATCH(H$4,Component,0))/1000,"-")</f>
        <v>900</v>
      </c>
      <c r="I8" s="627">
        <f t="shared" si="3"/>
        <v>857.04133500000012</v>
      </c>
      <c r="J8" s="359">
        <f t="shared" si="3"/>
        <v>1339.3644678900002</v>
      </c>
      <c r="K8" s="629">
        <f t="shared" ref="K8:L27" si="4">IFERROR(INDEX(Raw_Data,MATCH($A8,Look_Up,0),MATCH(K$4,Component,0)),"-")</f>
        <v>1.5627769784172663</v>
      </c>
      <c r="L8" s="629">
        <f t="shared" si="4"/>
        <v>1.4304419462208926</v>
      </c>
      <c r="M8" s="630">
        <f t="shared" ref="M8:M27" si="5">IFERROR(INDEX(Raw_Data,MATCH($A8,Look_Up,0),MATCH(M$4,Component,0))/1000,"-")</f>
        <v>1199.8578689999999</v>
      </c>
      <c r="N8" s="631">
        <f t="shared" ref="N8:N27" si="6">IFERROR(IF(INDEX(Raw_Data,MATCH($A8,Look_Up,0),MATCH(N$4,Component,0))="-",L8,INDEX(Raw_Data,MATCH($A8,Look_Up,0),MATCH(N$4,Component,0))),"-")</f>
        <v>1.4</v>
      </c>
      <c r="O8" s="359">
        <f>IFERROR(INDEX(Raw_Data,MATCH($A8,Look_Up,0),MATCH(O$4,Component,0))/1000,"-")</f>
        <v>2196.4058028900004</v>
      </c>
      <c r="P8" s="632">
        <f>IFERROR(INDEX(Raw_Data,MATCH($A8,Look_Up,0),MATCH(P$4,Component,0))/1000,"-")</f>
        <v>2056.8992039999998</v>
      </c>
      <c r="Q8" s="359">
        <f>IFERROR(INDEX(Raw_Data,MATCH($A8,Look_Up,0),MATCH(Q$4,Component,0))/1000,"-")</f>
        <v>2195.9303538999998</v>
      </c>
      <c r="R8" s="629">
        <f t="shared" ref="R8:S27" si="7">IFERROR(INDEX(Raw_Data,MATCH($A8,Look_Up,0),MATCH(R$4,Component,0)),"-")</f>
        <v>2.5622222222222222</v>
      </c>
      <c r="S8" s="629">
        <f t="shared" si="7"/>
        <v>2.4377252506651943</v>
      </c>
      <c r="T8" s="630">
        <f t="shared" ref="T8:T27" si="8">IFERROR(INDEX(Raw_Data,MATCH($A8,Look_Up,0),MATCH(T$4,Component,0))/1000,"-")</f>
        <v>2089.2313031933081</v>
      </c>
      <c r="U8" s="631">
        <f t="shared" ref="U8:U27" si="9">IFERROR(IF(INDEX(Raw_Data,MATCH($A8,Look_Up,0),MATCH(U$4,Component,0))="-",S8,INDEX(Raw_Data,MATCH($A8,Look_Up,0),MATCH(U$4,Component,0))),"-")</f>
        <v>2.4377252506651943</v>
      </c>
      <c r="V8" s="359">
        <f t="shared" ref="V8:AA27" si="10">IFERROR(INDEX(Raw_Data,MATCH($A8,Look_Up,0),MATCH(V$4,Component,0))/1000,"-")</f>
        <v>4392.3361567900001</v>
      </c>
      <c r="W8" s="360">
        <f t="shared" si="10"/>
        <v>4146.1305071933075</v>
      </c>
      <c r="X8" s="359">
        <f t="shared" ref="X8:Y27" si="11">IFERROR((INDEX(Raw_Data,MATCH($A8,Look_Up,0),MATCH(X$4,Component,0))/1000),"-")</f>
        <v>385.66860075000005</v>
      </c>
      <c r="Y8" s="360">
        <f t="shared" si="11"/>
        <v>144.01582836</v>
      </c>
      <c r="Z8" s="285">
        <f t="shared" si="10"/>
        <v>4922.0205859000007</v>
      </c>
      <c r="AA8" s="287">
        <f t="shared" si="10"/>
        <v>4675.8149363033071</v>
      </c>
      <c r="AC8" s="265">
        <f t="shared" ref="AC8:AC21" si="12">IFERROR(P8/W8,0)</f>
        <v>0.49610093083934365</v>
      </c>
      <c r="AD8" s="264">
        <f t="shared" ref="AD8:AD21" si="13">IFERROR(T8/W8,0)</f>
        <v>0.50389906916065652</v>
      </c>
      <c r="AE8" s="316" t="str">
        <f t="shared" ref="AE8:AE27" si="14">B8&amp;"_"&amp;$AE$6&amp;"_"&amp;$C$2</f>
        <v>TSX:K_2023_NEO1</v>
      </c>
      <c r="AF8" s="316"/>
      <c r="AG8" s="493" t="str" cm="1">
        <f t="array" ref="AG8">IFERROR(INDEX('Import 2023 Data'!$E$4:$I$113,_xlfn.XMATCH('NEO3'!$AE8,'Import 2023 Data'!$C$4:$C$113),_xlfn.XMATCH('NEO3'!AG$5,'Import 2023 Data'!$E$3:$I$3)),"-")</f>
        <v>-</v>
      </c>
      <c r="AH8" s="512" t="str" cm="1">
        <f t="array" ref="AH8">IFERROR(INDEX('Import 2023 Data'!$E$4:$I$113,_xlfn.XMATCH('NEO3'!$AE8,'Import 2023 Data'!$C$4:$C$113),_xlfn.XMATCH('NEO3'!AH$5,'Import 2023 Data'!$E$3:$I$3)),"-")</f>
        <v>-</v>
      </c>
      <c r="AI8" s="513" t="str">
        <f>IF(ISNUMBER(_xlfn.XMATCH(C8,'Import 2023 Data'!$E$4:$E$113)),"N","Y")</f>
        <v>N</v>
      </c>
      <c r="AJ8" s="513" t="str">
        <f>IFERROR(IF(TRIM(LOWER(AH8))=TRIM(LOWER(F8)),"N","Y"),"-")</f>
        <v>Y</v>
      </c>
      <c r="AK8" s="512" t="str" cm="1">
        <f t="array" ref="AK8">IFERROR(INDEX('Import 2023 Data'!$E$4:$I$113,_xlfn.XMATCH('NEO3'!$AE8,'Import 2023 Data'!$C$4:$C$113),_xlfn.XMATCH('NEO3'!AK$5,'Import 2023 Data'!$E$3:$I$3)),"-")</f>
        <v>-</v>
      </c>
      <c r="AL8" s="514" t="str" cm="1">
        <f t="array" ref="AL8">IFERROR(INDEX('Import 2023 Data'!$E$4:$I$113,_xlfn.XMATCH('NEO3'!$AE8,'Import 2023 Data'!$C$4:$C$113),_xlfn.XMATCH('NEO3'!AL$5,'Import 2023 Data'!$E$3:$I$3)),"-")</f>
        <v>-</v>
      </c>
      <c r="AM8" s="514" t="str" cm="1">
        <f t="array" ref="AM8">IFERROR(INDEX('Import 2023 Data'!$E$4:$I$113,_xlfn.XMATCH('NEO3'!$AE8,'Import 2023 Data'!$C$4:$C$113),_xlfn.XMATCH('NEO3'!AM$5,'Import 2023 Data'!$E$3:$I$3)),"-")</f>
        <v>-</v>
      </c>
      <c r="AN8" s="515" t="str">
        <f>IFERROR(IF(AJ8="Y","New Incumbent",W8/AM8-1),"-")</f>
        <v>New Incumbent</v>
      </c>
    </row>
    <row r="9" spans="1:40" ht="20.25" customHeight="1">
      <c r="A9" s="12" t="str">
        <f t="shared" si="0"/>
        <v>TSX:LUN_2024_NEO1</v>
      </c>
      <c r="B9" s="12" t="str">
        <f>'Raw Data'!D6</f>
        <v>TSX:LUN</v>
      </c>
      <c r="C9" s="626" t="str">
        <f t="shared" si="1"/>
        <v>Lundin Mining Corporation</v>
      </c>
      <c r="D9" s="627">
        <f>_xll.ciqfunctions.udf.CIQ(B9, "IQ_MARKETCAP", $A$1,$A$2)</f>
        <v>11855.56763</v>
      </c>
      <c r="E9" s="627">
        <f>_xll.ciqfunctions.udf.CIQ($B9, "IQ_TEV", $A$1,$A$2)</f>
        <v>16005.2402</v>
      </c>
      <c r="F9" s="628" t="str">
        <f t="shared" si="2"/>
        <v>Juan Andres Morel</v>
      </c>
      <c r="G9" s="628" t="str">
        <f t="shared" si="2"/>
        <v>COO</v>
      </c>
      <c r="H9" s="627">
        <f t="shared" si="3"/>
        <v>815.88416854000013</v>
      </c>
      <c r="I9" s="627">
        <f t="shared" si="3"/>
        <v>770.42877879000002</v>
      </c>
      <c r="J9" s="359">
        <f t="shared" si="3"/>
        <v>1083.2235179199999</v>
      </c>
      <c r="K9" s="629">
        <f t="shared" si="4"/>
        <v>1.4060008500996821</v>
      </c>
      <c r="L9" s="629">
        <f t="shared" si="4"/>
        <v>0.95688569381526711</v>
      </c>
      <c r="M9" s="630">
        <f t="shared" si="5"/>
        <v>616.34302303200002</v>
      </c>
      <c r="N9" s="631">
        <f t="shared" si="6"/>
        <v>0.8</v>
      </c>
      <c r="O9" s="359">
        <f t="shared" ref="O9:Q27" si="15">IFERROR(INDEX(Raw_Data,MATCH($A9,Look_Up,0),MATCH(O$4,Component,0))/1000,"-")</f>
        <v>1853.65229671</v>
      </c>
      <c r="P9" s="632">
        <f t="shared" si="15"/>
        <v>1386.7718018220003</v>
      </c>
      <c r="Q9" s="359">
        <f t="shared" si="15"/>
        <v>1283.91231782</v>
      </c>
      <c r="R9" s="629">
        <f t="shared" si="7"/>
        <v>1.6664905999960873</v>
      </c>
      <c r="S9" s="629">
        <f t="shared" si="7"/>
        <v>1.5106870335458706</v>
      </c>
      <c r="T9" s="630">
        <f t="shared" si="8"/>
        <v>1163.8767663886329</v>
      </c>
      <c r="U9" s="631">
        <f t="shared" si="9"/>
        <v>1.5106870335458706</v>
      </c>
      <c r="V9" s="359">
        <f t="shared" si="10"/>
        <v>3137.5646145299997</v>
      </c>
      <c r="W9" s="360">
        <f t="shared" si="10"/>
        <v>2550.6485682106331</v>
      </c>
      <c r="X9" s="359" t="str">
        <f t="shared" si="11"/>
        <v>-</v>
      </c>
      <c r="Y9" s="360">
        <f t="shared" si="11"/>
        <v>2.0086692200000003</v>
      </c>
      <c r="Z9" s="285">
        <f t="shared" si="10"/>
        <v>3139.57328375</v>
      </c>
      <c r="AA9" s="287">
        <f t="shared" si="10"/>
        <v>2552.6572374306329</v>
      </c>
      <c r="AC9" s="265">
        <f t="shared" si="12"/>
        <v>0.54369379580773369</v>
      </c>
      <c r="AD9" s="264">
        <f t="shared" si="13"/>
        <v>0.45630620419226631</v>
      </c>
      <c r="AE9" s="316" t="str">
        <f t="shared" si="14"/>
        <v>TSX:LUN_2023_NEO1</v>
      </c>
      <c r="AF9" s="316"/>
      <c r="AG9" s="503" t="str" cm="1">
        <f t="array" ref="AG9">IFERROR(INDEX('Import 2023 Data'!$E$4:$I$113,_xlfn.XMATCH('NEO3'!$AE9,'Import 2023 Data'!$C$4:$C$113),_xlfn.XMATCH('NEO3'!AG$5,'Import 2023 Data'!$E$3:$I$3)),"-")</f>
        <v>-</v>
      </c>
      <c r="AH9" s="316" t="str" cm="1">
        <f t="array" ref="AH9">IFERROR(INDEX('Import 2023 Data'!$E$4:$I$113,_xlfn.XMATCH('NEO3'!$AE9,'Import 2023 Data'!$C$4:$C$113),_xlfn.XMATCH('NEO3'!AH$5,'Import 2023 Data'!$E$3:$I$3)),"-")</f>
        <v>-</v>
      </c>
      <c r="AI9" s="504" t="str">
        <f>IF(ISNUMBER(_xlfn.XMATCH(C9,'Import 2023 Data'!$E$4:$E$113)),"N","Y")</f>
        <v>N</v>
      </c>
      <c r="AJ9" s="504" t="str">
        <f t="shared" ref="AJ9:AJ27" si="16">IFERROR(IF(TRIM(LOWER(AH9))=TRIM(LOWER(F9)),"N","Y"),"-")</f>
        <v>Y</v>
      </c>
      <c r="AK9" s="316" t="str" cm="1">
        <f t="array" ref="AK9">IFERROR(INDEX('Import 2023 Data'!$E$4:$I$113,_xlfn.XMATCH('NEO3'!$AE9,'Import 2023 Data'!$C$4:$C$113),_xlfn.XMATCH('NEO3'!AK$5,'Import 2023 Data'!$E$3:$I$3)),"-")</f>
        <v>-</v>
      </c>
      <c r="AL9" s="12" t="str" cm="1">
        <f t="array" ref="AL9">IFERROR(INDEX('Import 2023 Data'!$E$4:$I$113,_xlfn.XMATCH('NEO3'!$AE9,'Import 2023 Data'!$C$4:$C$113),_xlfn.XMATCH('NEO3'!AL$5,'Import 2023 Data'!$E$3:$I$3)),"-")</f>
        <v>-</v>
      </c>
      <c r="AM9" s="12" t="str" cm="1">
        <f t="array" ref="AM9">IFERROR(INDEX('Import 2023 Data'!$E$4:$I$113,_xlfn.XMATCH('NEO3'!$AE9,'Import 2023 Data'!$C$4:$C$113),_xlfn.XMATCH('NEO3'!AM$5,'Import 2023 Data'!$E$3:$I$3)),"-")</f>
        <v>-</v>
      </c>
      <c r="AN9" s="505" t="str">
        <f t="shared" ref="AN9:AN27" si="17">IFERROR(IF(AJ9="Y","New Incumbent",W9/AM9-1),"-")</f>
        <v>New Incumbent</v>
      </c>
    </row>
    <row r="10" spans="1:40" ht="20.25" customHeight="1">
      <c r="A10" s="12" t="str">
        <f t="shared" si="0"/>
        <v>TSX:AGI_2024_NEO1</v>
      </c>
      <c r="B10" s="12" t="str">
        <f>'Raw Data'!D7</f>
        <v>TSX:AGI</v>
      </c>
      <c r="C10" s="626" t="str">
        <f t="shared" si="1"/>
        <v>Alamos Gold Inc.</v>
      </c>
      <c r="D10" s="627">
        <f>_xll.ciqfunctions.udf.CIQ(B10, "IQ_MARKETCAP", $A$1,$A$2)</f>
        <v>15291.758599999999</v>
      </c>
      <c r="E10" s="627">
        <f>_xll.ciqfunctions.udf.CIQ($B10, "IQ_TEV", $A$1,$A$2)</f>
        <v>15239.87026</v>
      </c>
      <c r="F10" s="628" t="str">
        <f t="shared" si="2"/>
        <v>Luc Guimond</v>
      </c>
      <c r="G10" s="628" t="str">
        <f t="shared" si="2"/>
        <v>COO</v>
      </c>
      <c r="H10" s="627" t="str">
        <f t="shared" si="3"/>
        <v>-</v>
      </c>
      <c r="I10" s="627">
        <f t="shared" si="3"/>
        <v>650</v>
      </c>
      <c r="J10" s="359">
        <f t="shared" si="3"/>
        <v>659.25181482000005</v>
      </c>
      <c r="K10" s="629">
        <f t="shared" si="4"/>
        <v>1.0142335612615385</v>
      </c>
      <c r="L10" s="629">
        <f t="shared" si="4"/>
        <v>0.92825290963693519</v>
      </c>
      <c r="M10" s="630">
        <f t="shared" si="5"/>
        <v>552.5</v>
      </c>
      <c r="N10" s="631">
        <f t="shared" si="6"/>
        <v>0.85</v>
      </c>
      <c r="O10" s="359">
        <f t="shared" si="15"/>
        <v>1309.2518148199999</v>
      </c>
      <c r="P10" s="632">
        <f t="shared" si="15"/>
        <v>1202.5</v>
      </c>
      <c r="Q10" s="359">
        <f t="shared" si="15"/>
        <v>1073.0349338000001</v>
      </c>
      <c r="R10" s="629">
        <f t="shared" si="7"/>
        <v>1.650822975076923</v>
      </c>
      <c r="S10" s="629">
        <f t="shared" si="7"/>
        <v>1.6363901002202117</v>
      </c>
      <c r="T10" s="630">
        <f t="shared" si="8"/>
        <v>1105</v>
      </c>
      <c r="U10" s="631">
        <f t="shared" si="9"/>
        <v>1.7</v>
      </c>
      <c r="V10" s="359">
        <f t="shared" si="10"/>
        <v>2382.2867486199998</v>
      </c>
      <c r="W10" s="360">
        <f t="shared" si="10"/>
        <v>2307.5</v>
      </c>
      <c r="X10" s="359">
        <f t="shared" si="11"/>
        <v>157.14890781</v>
      </c>
      <c r="Y10" s="360">
        <f t="shared" si="11"/>
        <v>39.064916869999998</v>
      </c>
      <c r="Z10" s="285">
        <f t="shared" si="10"/>
        <v>2578.5005732999994</v>
      </c>
      <c r="AA10" s="287">
        <f t="shared" si="10"/>
        <v>2503.7138246799996</v>
      </c>
      <c r="AC10" s="265">
        <f t="shared" si="12"/>
        <v>0.52112676056338025</v>
      </c>
      <c r="AD10" s="264">
        <f t="shared" si="13"/>
        <v>0.47887323943661969</v>
      </c>
      <c r="AE10" s="316" t="str">
        <f t="shared" si="14"/>
        <v>TSX:AGI_2023_NEO1</v>
      </c>
      <c r="AF10" s="316"/>
      <c r="AG10" s="503" t="str" cm="1">
        <f t="array" ref="AG10">IFERROR(INDEX('Import 2023 Data'!$E$4:$I$113,_xlfn.XMATCH('NEO3'!$AE10,'Import 2023 Data'!$C$4:$C$113),_xlfn.XMATCH('NEO3'!AG$5,'Import 2023 Data'!$E$3:$I$3)),"-")</f>
        <v>-</v>
      </c>
      <c r="AH10" s="316" t="str" cm="1">
        <f t="array" ref="AH10">IFERROR(INDEX('Import 2023 Data'!$E$4:$I$113,_xlfn.XMATCH('NEO3'!$AE10,'Import 2023 Data'!$C$4:$C$113),_xlfn.XMATCH('NEO3'!AH$5,'Import 2023 Data'!$E$3:$I$3)),"-")</f>
        <v>-</v>
      </c>
      <c r="AI10" s="504" t="str">
        <f>IF(ISNUMBER(_xlfn.XMATCH(C10,'Import 2023 Data'!$E$4:$E$113)),"N","Y")</f>
        <v>N</v>
      </c>
      <c r="AJ10" s="504" t="str">
        <f t="shared" si="16"/>
        <v>Y</v>
      </c>
      <c r="AK10" s="316" t="str" cm="1">
        <f t="array" ref="AK10">IFERROR(INDEX('Import 2023 Data'!$E$4:$I$113,_xlfn.XMATCH('NEO3'!$AE10,'Import 2023 Data'!$C$4:$C$113),_xlfn.XMATCH('NEO3'!AK$5,'Import 2023 Data'!$E$3:$I$3)),"-")</f>
        <v>-</v>
      </c>
      <c r="AL10" s="12" t="str" cm="1">
        <f t="array" ref="AL10">IFERROR(INDEX('Import 2023 Data'!$E$4:$I$113,_xlfn.XMATCH('NEO3'!$AE10,'Import 2023 Data'!$C$4:$C$113),_xlfn.XMATCH('NEO3'!AL$5,'Import 2023 Data'!$E$3:$I$3)),"-")</f>
        <v>-</v>
      </c>
      <c r="AM10" s="12" t="str" cm="1">
        <f t="array" ref="AM10">IFERROR(INDEX('Import 2023 Data'!$E$4:$I$113,_xlfn.XMATCH('NEO3'!$AE10,'Import 2023 Data'!$C$4:$C$113),_xlfn.XMATCH('NEO3'!AM$5,'Import 2023 Data'!$E$3:$I$3)),"-")</f>
        <v>-</v>
      </c>
      <c r="AN10" s="505" t="str">
        <f t="shared" si="17"/>
        <v>New Incumbent</v>
      </c>
    </row>
    <row r="11" spans="1:40" ht="20.25" customHeight="1">
      <c r="A11" s="12" t="str">
        <f t="shared" si="0"/>
        <v>TSX:PAAS_2024_NEO1</v>
      </c>
      <c r="B11" s="12" t="str">
        <f>'Raw Data'!D8</f>
        <v>TSX:PAAS</v>
      </c>
      <c r="C11" s="626" t="str">
        <f t="shared" si="1"/>
        <v>Pan American Silver Corp.</v>
      </c>
      <c r="D11" s="627">
        <f>_xll.ciqfunctions.udf.CIQ(B11, "IQ_MARKETCAP", $A$1,$A$2)</f>
        <v>14762.84492</v>
      </c>
      <c r="E11" s="627">
        <f>_xll.ciqfunctions.udf.CIQ($B11, "IQ_TEV", $A$1,$A$2)</f>
        <v>14643.113660000001</v>
      </c>
      <c r="F11" s="628" t="str">
        <f t="shared" si="2"/>
        <v>Steven Busby</v>
      </c>
      <c r="G11" s="628" t="str">
        <f t="shared" si="2"/>
        <v>COO</v>
      </c>
      <c r="H11" s="627" t="str">
        <f t="shared" si="3"/>
        <v>-</v>
      </c>
      <c r="I11" s="627">
        <f t="shared" si="3"/>
        <v>780</v>
      </c>
      <c r="J11" s="359">
        <f t="shared" si="3"/>
        <v>639</v>
      </c>
      <c r="K11" s="629">
        <f t="shared" si="4"/>
        <v>0.81923076923076921</v>
      </c>
      <c r="L11" s="629">
        <f t="shared" si="4"/>
        <v>0.72375770976376119</v>
      </c>
      <c r="M11" s="630">
        <f t="shared" si="5"/>
        <v>624</v>
      </c>
      <c r="N11" s="631">
        <f t="shared" si="6"/>
        <v>0.8</v>
      </c>
      <c r="O11" s="359">
        <f t="shared" si="15"/>
        <v>1419</v>
      </c>
      <c r="P11" s="632">
        <f t="shared" si="15"/>
        <v>1404</v>
      </c>
      <c r="Q11" s="359">
        <f t="shared" si="15"/>
        <v>1716</v>
      </c>
      <c r="R11" s="629">
        <f t="shared" si="7"/>
        <v>2.2000000000000002</v>
      </c>
      <c r="S11" s="629">
        <f t="shared" si="7"/>
        <v>1.9396201042191965</v>
      </c>
      <c r="T11" s="630">
        <f t="shared" si="8"/>
        <v>1716.0000000000002</v>
      </c>
      <c r="U11" s="631">
        <f t="shared" si="9"/>
        <v>2.2000000000000002</v>
      </c>
      <c r="V11" s="359">
        <f t="shared" si="10"/>
        <v>3135</v>
      </c>
      <c r="W11" s="360">
        <f t="shared" si="10"/>
        <v>3120</v>
      </c>
      <c r="X11" s="359">
        <f t="shared" si="11"/>
        <v>351</v>
      </c>
      <c r="Y11" s="360" t="str">
        <f t="shared" si="11"/>
        <v>-</v>
      </c>
      <c r="Z11" s="285">
        <f t="shared" si="10"/>
        <v>3486</v>
      </c>
      <c r="AA11" s="287">
        <f t="shared" si="10"/>
        <v>3471</v>
      </c>
      <c r="AC11" s="265">
        <f t="shared" si="12"/>
        <v>0.45</v>
      </c>
      <c r="AD11" s="264">
        <f t="shared" si="13"/>
        <v>0.55000000000000004</v>
      </c>
      <c r="AE11" s="316" t="str">
        <f t="shared" si="14"/>
        <v>TSX:PAAS_2023_NEO1</v>
      </c>
      <c r="AF11" s="316"/>
      <c r="AG11" s="503" t="str" cm="1">
        <f t="array" ref="AG11">IFERROR(INDEX('Import 2023 Data'!$E$4:$I$113,_xlfn.XMATCH('NEO3'!$AE11,'Import 2023 Data'!$C$4:$C$113),_xlfn.XMATCH('NEO3'!AG$5,'Import 2023 Data'!$E$3:$I$3)),"-")</f>
        <v>-</v>
      </c>
      <c r="AH11" s="316" t="str" cm="1">
        <f t="array" ref="AH11">IFERROR(INDEX('Import 2023 Data'!$E$4:$I$113,_xlfn.XMATCH('NEO3'!$AE11,'Import 2023 Data'!$C$4:$C$113),_xlfn.XMATCH('NEO3'!AH$5,'Import 2023 Data'!$E$3:$I$3)),"-")</f>
        <v>-</v>
      </c>
      <c r="AI11" s="504" t="str">
        <f>IF(ISNUMBER(_xlfn.XMATCH(C11,'Import 2023 Data'!$E$4:$E$113)),"N","Y")</f>
        <v>N</v>
      </c>
      <c r="AJ11" s="504" t="str">
        <f t="shared" si="16"/>
        <v>Y</v>
      </c>
      <c r="AK11" s="316" t="str" cm="1">
        <f t="array" ref="AK11">IFERROR(INDEX('Import 2023 Data'!$E$4:$I$113,_xlfn.XMATCH('NEO3'!$AE11,'Import 2023 Data'!$C$4:$C$113),_xlfn.XMATCH('NEO3'!AK$5,'Import 2023 Data'!$E$3:$I$3)),"-")</f>
        <v>-</v>
      </c>
      <c r="AL11" s="12" t="str" cm="1">
        <f t="array" ref="AL11">IFERROR(INDEX('Import 2023 Data'!$E$4:$I$113,_xlfn.XMATCH('NEO3'!$AE11,'Import 2023 Data'!$C$4:$C$113),_xlfn.XMATCH('NEO3'!AL$5,'Import 2023 Data'!$E$3:$I$3)),"-")</f>
        <v>-</v>
      </c>
      <c r="AM11" s="12" t="str" cm="1">
        <f t="array" ref="AM11">IFERROR(INDEX('Import 2023 Data'!$E$4:$I$113,_xlfn.XMATCH('NEO3'!$AE11,'Import 2023 Data'!$C$4:$C$113),_xlfn.XMATCH('NEO3'!AM$5,'Import 2023 Data'!$E$3:$I$3)),"-")</f>
        <v>-</v>
      </c>
      <c r="AN11" s="505" t="str">
        <f t="shared" si="17"/>
        <v>New Incumbent</v>
      </c>
    </row>
    <row r="12" spans="1:40" ht="20.25" customHeight="1">
      <c r="A12" s="12" t="str">
        <f t="shared" si="0"/>
        <v>TSX:CS_2024_NEO1</v>
      </c>
      <c r="B12" s="12" t="str">
        <f>'Raw Data'!D9</f>
        <v>TSX:CS</v>
      </c>
      <c r="C12" s="626" t="str">
        <f t="shared" si="1"/>
        <v>Capstone Copper Corp.</v>
      </c>
      <c r="D12" s="627">
        <f>_xll.ciqfunctions.udf.CIQ(B12, "IQ_MARKETCAP", $A$1,$A$2)</f>
        <v>5953.1492900000003</v>
      </c>
      <c r="E12" s="627">
        <f>_xll.ciqfunctions.udf.CIQ($B12, "IQ_TEV", $A$1,$A$2)</f>
        <v>8486.01584</v>
      </c>
      <c r="F12" s="628" t="str">
        <f t="shared" si="2"/>
        <v>Cashel Meagher</v>
      </c>
      <c r="G12" s="628" t="str">
        <f t="shared" si="2"/>
        <v>President &amp; COO</v>
      </c>
      <c r="H12" s="627" t="str">
        <f t="shared" si="3"/>
        <v>-</v>
      </c>
      <c r="I12" s="627">
        <f t="shared" si="3"/>
        <v>676</v>
      </c>
      <c r="J12" s="359">
        <f t="shared" si="3"/>
        <v>550.60199999999998</v>
      </c>
      <c r="K12" s="629">
        <f t="shared" si="4"/>
        <v>0.8145</v>
      </c>
      <c r="L12" s="629">
        <f t="shared" si="4"/>
        <v>0.80354355267573629</v>
      </c>
      <c r="M12" s="630">
        <f t="shared" si="5"/>
        <v>608.4</v>
      </c>
      <c r="N12" s="631">
        <f t="shared" si="6"/>
        <v>0.9</v>
      </c>
      <c r="O12" s="359">
        <f t="shared" si="15"/>
        <v>1226.6020000000001</v>
      </c>
      <c r="P12" s="632">
        <f t="shared" si="15"/>
        <v>1284.4000000000001</v>
      </c>
      <c r="Q12" s="359">
        <f t="shared" si="15"/>
        <v>1149.2</v>
      </c>
      <c r="R12" s="629">
        <f t="shared" si="7"/>
        <v>1.7</v>
      </c>
      <c r="S12" s="629">
        <f t="shared" si="7"/>
        <v>1.6984821659654505</v>
      </c>
      <c r="T12" s="630">
        <f t="shared" si="8"/>
        <v>1149.2</v>
      </c>
      <c r="U12" s="631">
        <f t="shared" si="9"/>
        <v>1.7</v>
      </c>
      <c r="V12" s="359">
        <f t="shared" si="10"/>
        <v>2375.8020000000001</v>
      </c>
      <c r="W12" s="360">
        <f t="shared" si="10"/>
        <v>2433.6</v>
      </c>
      <c r="X12" s="359" t="str">
        <f t="shared" si="11"/>
        <v>-</v>
      </c>
      <c r="Y12" s="360">
        <f t="shared" si="11"/>
        <v>84.171999999999997</v>
      </c>
      <c r="Z12" s="285">
        <f t="shared" si="10"/>
        <v>2459.9740000000002</v>
      </c>
      <c r="AA12" s="287">
        <f t="shared" si="10"/>
        <v>2517.7719999999999</v>
      </c>
      <c r="AC12" s="265">
        <f t="shared" si="12"/>
        <v>0.52777777777777779</v>
      </c>
      <c r="AD12" s="264">
        <f t="shared" si="13"/>
        <v>0.47222222222222227</v>
      </c>
      <c r="AE12" s="316" t="str">
        <f t="shared" si="14"/>
        <v>TSX:CS_2023_NEO1</v>
      </c>
      <c r="AF12" s="316"/>
      <c r="AG12" s="503" t="str" cm="1">
        <f t="array" ref="AG12">IFERROR(INDEX('Import 2023 Data'!$E$4:$I$113,_xlfn.XMATCH('NEO3'!$AE12,'Import 2023 Data'!$C$4:$C$113),_xlfn.XMATCH('NEO3'!AG$5,'Import 2023 Data'!$E$3:$I$3)),"-")</f>
        <v>-</v>
      </c>
      <c r="AH12" s="316" t="str" cm="1">
        <f t="array" ref="AH12">IFERROR(INDEX('Import 2023 Data'!$E$4:$I$113,_xlfn.XMATCH('NEO3'!$AE12,'Import 2023 Data'!$C$4:$C$113),_xlfn.XMATCH('NEO3'!AH$5,'Import 2023 Data'!$E$3:$I$3)),"-")</f>
        <v>-</v>
      </c>
      <c r="AI12" s="504" t="str">
        <f>IF(ISNUMBER(_xlfn.XMATCH(C12,'Import 2023 Data'!$E$4:$E$113)),"N","Y")</f>
        <v>N</v>
      </c>
      <c r="AJ12" s="504" t="str">
        <f t="shared" si="16"/>
        <v>Y</v>
      </c>
      <c r="AK12" s="316" t="str" cm="1">
        <f t="array" ref="AK12">IFERROR(INDEX('Import 2023 Data'!$E$4:$I$113,_xlfn.XMATCH('NEO3'!$AE12,'Import 2023 Data'!$C$4:$C$113),_xlfn.XMATCH('NEO3'!AK$5,'Import 2023 Data'!$E$3:$I$3)),"-")</f>
        <v>-</v>
      </c>
      <c r="AL12" s="12" t="str" cm="1">
        <f t="array" ref="AL12">IFERROR(INDEX('Import 2023 Data'!$E$4:$I$113,_xlfn.XMATCH('NEO3'!$AE12,'Import 2023 Data'!$C$4:$C$113),_xlfn.XMATCH('NEO3'!AL$5,'Import 2023 Data'!$E$3:$I$3)),"-")</f>
        <v>-</v>
      </c>
      <c r="AM12" s="12" t="str" cm="1">
        <f t="array" ref="AM12">IFERROR(INDEX('Import 2023 Data'!$E$4:$I$113,_xlfn.XMATCH('NEO3'!$AE12,'Import 2023 Data'!$C$4:$C$113),_xlfn.XMATCH('NEO3'!AM$5,'Import 2023 Data'!$E$3:$I$3)),"-")</f>
        <v>-</v>
      </c>
      <c r="AN12" s="505" t="str">
        <f t="shared" si="17"/>
        <v>New Incumbent</v>
      </c>
    </row>
    <row r="13" spans="1:40" ht="20.25" customHeight="1">
      <c r="A13" s="12" t="str">
        <f t="shared" si="0"/>
        <v>TSX:IMG_2024_NEO1</v>
      </c>
      <c r="B13" s="12" t="str">
        <f>'Raw Data'!D10</f>
        <v>TSX:IMG</v>
      </c>
      <c r="C13" s="626" t="str">
        <f t="shared" si="1"/>
        <v>IAMGOLD Corporation</v>
      </c>
      <c r="D13" s="627">
        <f>_xll.ciqfunctions.udf.CIQ(B13, "IQ_MARKETCAP", $A$1,$A$2)</f>
        <v>5554.9869099999996</v>
      </c>
      <c r="E13" s="627">
        <f>_xll.ciqfunctions.udf.CIQ($B13, "IQ_TEV", $A$1,$A$2)</f>
        <v>6834.0846799999999</v>
      </c>
      <c r="F13" s="628" t="str">
        <f t="shared" si="2"/>
        <v>Bruno Lemelin</v>
      </c>
      <c r="G13" s="628" t="str">
        <f t="shared" si="2"/>
        <v>COO</v>
      </c>
      <c r="H13" s="627" t="str">
        <f t="shared" si="3"/>
        <v>-</v>
      </c>
      <c r="I13" s="627">
        <f t="shared" si="3"/>
        <v>600.32000000000005</v>
      </c>
      <c r="J13" s="359">
        <f t="shared" si="3"/>
        <v>577.79600000000005</v>
      </c>
      <c r="K13" s="629">
        <f t="shared" si="4"/>
        <v>0.96248001066098077</v>
      </c>
      <c r="L13" s="629">
        <f t="shared" si="4"/>
        <v>0.96248001066098077</v>
      </c>
      <c r="M13" s="630">
        <f t="shared" si="5"/>
        <v>480.25599999999997</v>
      </c>
      <c r="N13" s="631">
        <f t="shared" si="6"/>
        <v>0.8</v>
      </c>
      <c r="O13" s="359">
        <f t="shared" si="15"/>
        <v>1178.116</v>
      </c>
      <c r="P13" s="632">
        <f t="shared" si="15"/>
        <v>1080.576</v>
      </c>
      <c r="Q13" s="359">
        <f t="shared" si="15"/>
        <v>946.33600000000001</v>
      </c>
      <c r="R13" s="629">
        <f t="shared" si="7"/>
        <v>1.5763859275053305</v>
      </c>
      <c r="S13" s="629">
        <f t="shared" si="7"/>
        <v>1.5763859275053305</v>
      </c>
      <c r="T13" s="630">
        <f t="shared" si="8"/>
        <v>960.51199999999994</v>
      </c>
      <c r="U13" s="631">
        <f t="shared" si="9"/>
        <v>1.6</v>
      </c>
      <c r="V13" s="359">
        <f t="shared" si="10"/>
        <v>2124.4520000000002</v>
      </c>
      <c r="W13" s="360">
        <f t="shared" si="10"/>
        <v>2041.088</v>
      </c>
      <c r="X13" s="359">
        <f t="shared" si="11"/>
        <v>29.257999999999999</v>
      </c>
      <c r="Y13" s="360">
        <f t="shared" si="11"/>
        <v>63.462000000000003</v>
      </c>
      <c r="Z13" s="285">
        <f t="shared" si="10"/>
        <v>2217.172</v>
      </c>
      <c r="AA13" s="287">
        <f t="shared" si="10"/>
        <v>2133.808</v>
      </c>
      <c r="AC13" s="265">
        <f t="shared" si="12"/>
        <v>0.52941176470588236</v>
      </c>
      <c r="AD13" s="264">
        <f t="shared" si="13"/>
        <v>0.47058823529411764</v>
      </c>
      <c r="AE13" s="316" t="str">
        <f t="shared" si="14"/>
        <v>TSX:IMG_2023_NEO1</v>
      </c>
      <c r="AF13" s="316"/>
      <c r="AG13" s="503" t="str" cm="1">
        <f t="array" ref="AG13">IFERROR(INDEX('Import 2023 Data'!$E$4:$I$113,_xlfn.XMATCH('NEO3'!$AE13,'Import 2023 Data'!$C$4:$C$113),_xlfn.XMATCH('NEO3'!AG$5,'Import 2023 Data'!$E$3:$I$3)),"-")</f>
        <v>-</v>
      </c>
      <c r="AH13" s="316" t="str" cm="1">
        <f t="array" ref="AH13">IFERROR(INDEX('Import 2023 Data'!$E$4:$I$113,_xlfn.XMATCH('NEO3'!$AE13,'Import 2023 Data'!$C$4:$C$113),_xlfn.XMATCH('NEO3'!AH$5,'Import 2023 Data'!$E$3:$I$3)),"-")</f>
        <v>-</v>
      </c>
      <c r="AI13" s="504" t="str">
        <f>IF(ISNUMBER(_xlfn.XMATCH(C13,'Import 2023 Data'!$E$4:$E$113)),"N","Y")</f>
        <v>N</v>
      </c>
      <c r="AJ13" s="504" t="str">
        <f t="shared" si="16"/>
        <v>Y</v>
      </c>
      <c r="AK13" s="316" t="str" cm="1">
        <f t="array" ref="AK13">IFERROR(INDEX('Import 2023 Data'!$E$4:$I$113,_xlfn.XMATCH('NEO3'!$AE13,'Import 2023 Data'!$C$4:$C$113),_xlfn.XMATCH('NEO3'!AK$5,'Import 2023 Data'!$E$3:$I$3)),"-")</f>
        <v>-</v>
      </c>
      <c r="AL13" s="12" t="str" cm="1">
        <f t="array" ref="AL13">IFERROR(INDEX('Import 2023 Data'!$E$4:$I$113,_xlfn.XMATCH('NEO3'!$AE13,'Import 2023 Data'!$C$4:$C$113),_xlfn.XMATCH('NEO3'!AL$5,'Import 2023 Data'!$E$3:$I$3)),"-")</f>
        <v>-</v>
      </c>
      <c r="AM13" s="12" t="str" cm="1">
        <f t="array" ref="AM13">IFERROR(INDEX('Import 2023 Data'!$E$4:$I$113,_xlfn.XMATCH('NEO3'!$AE13,'Import 2023 Data'!$C$4:$C$113),_xlfn.XMATCH('NEO3'!AM$5,'Import 2023 Data'!$E$3:$I$3)),"-")</f>
        <v>-</v>
      </c>
      <c r="AN13" s="505" t="str">
        <f t="shared" si="17"/>
        <v>New Incumbent</v>
      </c>
    </row>
    <row r="14" spans="1:40" ht="20.25" customHeight="1">
      <c r="A14" s="12" t="str">
        <f t="shared" si="0"/>
        <v>TSX:BTO_2024_NEO1</v>
      </c>
      <c r="B14" s="12" t="str">
        <f>'Raw Data'!D11</f>
        <v>TSX:BTO</v>
      </c>
      <c r="C14" s="626" t="str">
        <f t="shared" si="1"/>
        <v>B2Gold Corp.</v>
      </c>
      <c r="D14" s="627">
        <f>_xll.ciqfunctions.udf.CIQ(B14, "IQ_MARKETCAP", $A$1,$A$2)</f>
        <v>6289.7347200000004</v>
      </c>
      <c r="E14" s="627">
        <f>_xll.ciqfunctions.udf.CIQ($B14, "IQ_TEV", $A$1,$A$2)</f>
        <v>6472.2609199999997</v>
      </c>
      <c r="F14" s="628" t="str">
        <f t="shared" si="2"/>
        <v>William Lytle</v>
      </c>
      <c r="G14" s="628" t="str">
        <f t="shared" si="2"/>
        <v>SVP, Operations &amp; COO</v>
      </c>
      <c r="H14" s="627" t="str">
        <f t="shared" si="3"/>
        <v>-</v>
      </c>
      <c r="I14" s="627">
        <f t="shared" si="3"/>
        <v>650</v>
      </c>
      <c r="J14" s="359">
        <f t="shared" si="3"/>
        <v>321.75</v>
      </c>
      <c r="K14" s="629">
        <f t="shared" si="4"/>
        <v>0.495</v>
      </c>
      <c r="L14" s="629">
        <f t="shared" si="4"/>
        <v>0.66500000000000004</v>
      </c>
      <c r="M14" s="630">
        <f t="shared" si="5"/>
        <v>487.5</v>
      </c>
      <c r="N14" s="631">
        <f t="shared" si="6"/>
        <v>0.75</v>
      </c>
      <c r="O14" s="359">
        <f t="shared" si="15"/>
        <v>971.75</v>
      </c>
      <c r="P14" s="632">
        <f t="shared" si="15"/>
        <v>1137.5</v>
      </c>
      <c r="Q14" s="359">
        <f t="shared" si="15"/>
        <v>1750</v>
      </c>
      <c r="R14" s="629">
        <f t="shared" si="7"/>
        <v>2.6923076923076925</v>
      </c>
      <c r="S14" s="629">
        <f t="shared" si="7"/>
        <v>2.6923076923076921</v>
      </c>
      <c r="T14" s="630">
        <f t="shared" si="8"/>
        <v>1749.9999999999998</v>
      </c>
      <c r="U14" s="631">
        <f t="shared" si="9"/>
        <v>2.6923076923076921</v>
      </c>
      <c r="V14" s="359">
        <f t="shared" si="10"/>
        <v>2721.75</v>
      </c>
      <c r="W14" s="360">
        <f t="shared" si="10"/>
        <v>2887.5</v>
      </c>
      <c r="X14" s="359" t="str">
        <f t="shared" si="11"/>
        <v>-</v>
      </c>
      <c r="Y14" s="360">
        <f t="shared" si="11"/>
        <v>1</v>
      </c>
      <c r="Z14" s="285">
        <f t="shared" si="10"/>
        <v>2722.75</v>
      </c>
      <c r="AA14" s="287">
        <f t="shared" si="10"/>
        <v>2888.5</v>
      </c>
      <c r="AC14" s="265">
        <f t="shared" si="12"/>
        <v>0.39393939393939392</v>
      </c>
      <c r="AD14" s="264">
        <f t="shared" si="13"/>
        <v>0.60606060606060597</v>
      </c>
      <c r="AE14" s="316" t="str">
        <f t="shared" si="14"/>
        <v>TSX:BTO_2023_NEO1</v>
      </c>
      <c r="AF14" s="316"/>
      <c r="AG14" s="503" t="str" cm="1">
        <f t="array" ref="AG14">IFERROR(INDEX('Import 2023 Data'!$E$4:$I$113,_xlfn.XMATCH('NEO3'!$AE14,'Import 2023 Data'!$C$4:$C$113),_xlfn.XMATCH('NEO3'!AG$5,'Import 2023 Data'!$E$3:$I$3)),"-")</f>
        <v>-</v>
      </c>
      <c r="AH14" s="316" t="str" cm="1">
        <f t="array" ref="AH14">IFERROR(INDEX('Import 2023 Data'!$E$4:$I$113,_xlfn.XMATCH('NEO3'!$AE14,'Import 2023 Data'!$C$4:$C$113),_xlfn.XMATCH('NEO3'!AH$5,'Import 2023 Data'!$E$3:$I$3)),"-")</f>
        <v>-</v>
      </c>
      <c r="AI14" s="504" t="str">
        <f>IF(ISNUMBER(_xlfn.XMATCH(C14,'Import 2023 Data'!$E$4:$E$113)),"N","Y")</f>
        <v>N</v>
      </c>
      <c r="AJ14" s="504" t="str">
        <f t="shared" si="16"/>
        <v>Y</v>
      </c>
      <c r="AK14" s="316" t="str" cm="1">
        <f t="array" ref="AK14">IFERROR(INDEX('Import 2023 Data'!$E$4:$I$113,_xlfn.XMATCH('NEO3'!$AE14,'Import 2023 Data'!$C$4:$C$113),_xlfn.XMATCH('NEO3'!AK$5,'Import 2023 Data'!$E$3:$I$3)),"-")</f>
        <v>-</v>
      </c>
      <c r="AL14" s="12" t="str" cm="1">
        <f t="array" ref="AL14">IFERROR(INDEX('Import 2023 Data'!$E$4:$I$113,_xlfn.XMATCH('NEO3'!$AE14,'Import 2023 Data'!$C$4:$C$113),_xlfn.XMATCH('NEO3'!AL$5,'Import 2023 Data'!$E$3:$I$3)),"-")</f>
        <v>-</v>
      </c>
      <c r="AM14" s="12" t="str" cm="1">
        <f t="array" ref="AM14">IFERROR(INDEX('Import 2023 Data'!$E$4:$I$113,_xlfn.XMATCH('NEO3'!$AE14,'Import 2023 Data'!$C$4:$C$113),_xlfn.XMATCH('NEO3'!AM$5,'Import 2023 Data'!$E$3:$I$3)),"-")</f>
        <v>-</v>
      </c>
      <c r="AN14" s="505" t="str">
        <f t="shared" si="17"/>
        <v>New Incumbent</v>
      </c>
    </row>
    <row r="15" spans="1:40" ht="20.25" customHeight="1">
      <c r="A15" s="12" t="str">
        <f t="shared" si="0"/>
        <v>NYSE:HL_2024_NEO1</v>
      </c>
      <c r="B15" s="12" t="str">
        <f>'Raw Data'!D12</f>
        <v>NYSE:HL</v>
      </c>
      <c r="C15" s="626" t="str">
        <f t="shared" si="1"/>
        <v>Hecla Mining Company</v>
      </c>
      <c r="D15" s="627">
        <f>_xll.ciqfunctions.udf.CIQ(B15, "IQ_MARKETCAP", $A$1,$A$2)</f>
        <v>5232.0834199999999</v>
      </c>
      <c r="E15" s="627">
        <f>_xll.ciqfunctions.udf.CIQ($B15, "IQ_TEV", $A$1,$A$2)</f>
        <v>5991.3399399999998</v>
      </c>
      <c r="F15" s="628" t="str">
        <f t="shared" si="2"/>
        <v>Michael L. Clary</v>
      </c>
      <c r="G15" s="628" t="str">
        <f t="shared" si="2"/>
        <v>SVP &amp; Chief Administrative Officer</v>
      </c>
      <c r="H15" s="627" t="str">
        <f t="shared" si="3"/>
        <v>-</v>
      </c>
      <c r="I15" s="627">
        <f t="shared" si="3"/>
        <v>472.70865000000003</v>
      </c>
      <c r="J15" s="359">
        <f t="shared" si="3"/>
        <v>720.40387209000005</v>
      </c>
      <c r="K15" s="629">
        <f t="shared" si="4"/>
        <v>1.5239913043478261</v>
      </c>
      <c r="L15" s="629">
        <f t="shared" si="4"/>
        <v>1.911881506953143</v>
      </c>
      <c r="M15" s="630">
        <f t="shared" si="5"/>
        <v>472.70865000000003</v>
      </c>
      <c r="N15" s="631">
        <f t="shared" si="6"/>
        <v>1</v>
      </c>
      <c r="O15" s="359">
        <f t="shared" si="15"/>
        <v>1193.1125220900001</v>
      </c>
      <c r="P15" s="632">
        <f t="shared" si="15"/>
        <v>945.41730000000007</v>
      </c>
      <c r="Q15" s="359">
        <f t="shared" si="15"/>
        <v>761.32947981999996</v>
      </c>
      <c r="R15" s="629">
        <f t="shared" si="7"/>
        <v>1.6105681159420289</v>
      </c>
      <c r="S15" s="629">
        <f t="shared" si="7"/>
        <v>1.1877063234902721</v>
      </c>
      <c r="T15" s="630">
        <f t="shared" si="8"/>
        <v>940.69021350000003</v>
      </c>
      <c r="U15" s="631">
        <f t="shared" si="9"/>
        <v>1.99</v>
      </c>
      <c r="V15" s="359">
        <f t="shared" si="10"/>
        <v>1954.44200191</v>
      </c>
      <c r="W15" s="360">
        <f t="shared" si="10"/>
        <v>1886.1075135000001</v>
      </c>
      <c r="X15" s="359">
        <f t="shared" si="11"/>
        <v>653.00520979000009</v>
      </c>
      <c r="Y15" s="360">
        <f t="shared" si="11"/>
        <v>32.156519730000007</v>
      </c>
      <c r="Z15" s="285">
        <f t="shared" si="10"/>
        <v>2639.6037314300002</v>
      </c>
      <c r="AA15" s="287">
        <f t="shared" si="10"/>
        <v>2571.26924302</v>
      </c>
      <c r="AC15" s="265">
        <f t="shared" si="12"/>
        <v>0.50125313283208017</v>
      </c>
      <c r="AD15" s="264">
        <f t="shared" si="13"/>
        <v>0.49874686716791977</v>
      </c>
      <c r="AE15" s="316" t="str">
        <f t="shared" si="14"/>
        <v>NYSE:HL_2023_NEO1</v>
      </c>
      <c r="AF15" s="316"/>
      <c r="AG15" s="503" t="str" cm="1">
        <f t="array" ref="AG15">IFERROR(INDEX('Import 2023 Data'!$E$4:$I$113,_xlfn.XMATCH('NEO3'!$AE15,'Import 2023 Data'!$C$4:$C$113),_xlfn.XMATCH('NEO3'!AG$5,'Import 2023 Data'!$E$3:$I$3)),"-")</f>
        <v>-</v>
      </c>
      <c r="AH15" s="316" t="str" cm="1">
        <f t="array" ref="AH15">IFERROR(INDEX('Import 2023 Data'!$E$4:$I$113,_xlfn.XMATCH('NEO3'!$AE15,'Import 2023 Data'!$C$4:$C$113),_xlfn.XMATCH('NEO3'!AH$5,'Import 2023 Data'!$E$3:$I$3)),"-")</f>
        <v>-</v>
      </c>
      <c r="AI15" s="504" t="str">
        <f>IF(ISNUMBER(_xlfn.XMATCH(C15,'Import 2023 Data'!$E$4:$E$113)),"N","Y")</f>
        <v>N</v>
      </c>
      <c r="AJ15" s="504" t="str">
        <f t="shared" si="16"/>
        <v>Y</v>
      </c>
      <c r="AK15" s="316" t="str" cm="1">
        <f t="array" ref="AK15">IFERROR(INDEX('Import 2023 Data'!$E$4:$I$113,_xlfn.XMATCH('NEO3'!$AE15,'Import 2023 Data'!$C$4:$C$113),_xlfn.XMATCH('NEO3'!AK$5,'Import 2023 Data'!$E$3:$I$3)),"-")</f>
        <v>-</v>
      </c>
      <c r="AL15" s="12" t="str" cm="1">
        <f t="array" ref="AL15">IFERROR(INDEX('Import 2023 Data'!$E$4:$I$113,_xlfn.XMATCH('NEO3'!$AE15,'Import 2023 Data'!$C$4:$C$113),_xlfn.XMATCH('NEO3'!AL$5,'Import 2023 Data'!$E$3:$I$3)),"-")</f>
        <v>-</v>
      </c>
      <c r="AM15" s="12" t="str" cm="1">
        <f t="array" ref="AM15">IFERROR(INDEX('Import 2023 Data'!$E$4:$I$113,_xlfn.XMATCH('NEO3'!$AE15,'Import 2023 Data'!$C$4:$C$113),_xlfn.XMATCH('NEO3'!AM$5,'Import 2023 Data'!$E$3:$I$3)),"-")</f>
        <v>-</v>
      </c>
      <c r="AN15" s="505" t="str">
        <f t="shared" si="17"/>
        <v>New Incumbent</v>
      </c>
    </row>
    <row r="16" spans="1:40" ht="20.25" customHeight="1">
      <c r="A16" s="12" t="str">
        <f t="shared" si="0"/>
        <v>TSX:NGD_2024_NEO1</v>
      </c>
      <c r="B16" s="12" t="str">
        <f>'Raw Data'!D13</f>
        <v>TSX:NGD</v>
      </c>
      <c r="C16" s="626" t="str">
        <f t="shared" si="1"/>
        <v>New Gold Inc.</v>
      </c>
      <c r="D16" s="627">
        <f>_xll.ciqfunctions.udf.CIQ(B16, "IQ_MARKETCAP", $A$1,$A$2)</f>
        <v>5001.45208</v>
      </c>
      <c r="E16" s="627">
        <f>_xll.ciqfunctions.udf.CIQ($B16, "IQ_TEV", $A$1,$A$2)</f>
        <v>5417.8523800000003</v>
      </c>
      <c r="F16" s="628" t="str">
        <f t="shared" si="2"/>
        <v>Yohann Bouchard</v>
      </c>
      <c r="G16" s="628" t="str">
        <f t="shared" si="2"/>
        <v>Former EVP &amp; COO</v>
      </c>
      <c r="H16" s="627" t="str">
        <f t="shared" si="3"/>
        <v>-</v>
      </c>
      <c r="I16" s="627">
        <f t="shared" si="3"/>
        <v>575</v>
      </c>
      <c r="J16" s="359">
        <f t="shared" si="3"/>
        <v>781.35699999999997</v>
      </c>
      <c r="K16" s="629">
        <f t="shared" si="4"/>
        <v>1.3588817391304349</v>
      </c>
      <c r="L16" s="629">
        <f t="shared" si="4"/>
        <v>1.3385118988872211</v>
      </c>
      <c r="M16" s="630">
        <f t="shared" si="5"/>
        <v>575</v>
      </c>
      <c r="N16" s="631">
        <f t="shared" si="6"/>
        <v>1</v>
      </c>
      <c r="O16" s="359">
        <f t="shared" si="15"/>
        <v>1356.357</v>
      </c>
      <c r="P16" s="632">
        <f t="shared" si="15"/>
        <v>1150</v>
      </c>
      <c r="Q16" s="359">
        <f t="shared" si="15"/>
        <v>1058.75</v>
      </c>
      <c r="R16" s="629">
        <f t="shared" si="7"/>
        <v>1.8413043478260869</v>
      </c>
      <c r="S16" s="629">
        <f t="shared" si="7"/>
        <v>1.5572923385583408</v>
      </c>
      <c r="T16" s="630">
        <f t="shared" si="8"/>
        <v>1006.25</v>
      </c>
      <c r="U16" s="631">
        <f t="shared" si="9"/>
        <v>1.75</v>
      </c>
      <c r="V16" s="359">
        <f t="shared" si="10"/>
        <v>2415.107</v>
      </c>
      <c r="W16" s="360">
        <f t="shared" si="10"/>
        <v>2156.25</v>
      </c>
      <c r="X16" s="359" t="str">
        <f t="shared" si="11"/>
        <v>-</v>
      </c>
      <c r="Y16" s="360">
        <f t="shared" si="11"/>
        <v>15.78</v>
      </c>
      <c r="Z16" s="285">
        <f t="shared" si="10"/>
        <v>2430.8870000000002</v>
      </c>
      <c r="AA16" s="287">
        <f t="shared" si="10"/>
        <v>2172.0300000000002</v>
      </c>
      <c r="AC16" s="265">
        <f t="shared" si="12"/>
        <v>0.53333333333333333</v>
      </c>
      <c r="AD16" s="264">
        <f t="shared" si="13"/>
        <v>0.46666666666666667</v>
      </c>
      <c r="AE16" s="316" t="str">
        <f t="shared" si="14"/>
        <v>TSX:NGD_2023_NEO1</v>
      </c>
      <c r="AF16" s="316"/>
      <c r="AG16" s="503" t="str" cm="1">
        <f t="array" ref="AG16">IFERROR(INDEX('Import 2023 Data'!$E$4:$I$113,_xlfn.XMATCH('NEO3'!$AE16,'Import 2023 Data'!$C$4:$C$113),_xlfn.XMATCH('NEO3'!AG$5,'Import 2023 Data'!$E$3:$I$3)),"-")</f>
        <v>-</v>
      </c>
      <c r="AH16" s="316" t="str" cm="1">
        <f t="array" ref="AH16">IFERROR(INDEX('Import 2023 Data'!$E$4:$I$113,_xlfn.XMATCH('NEO3'!$AE16,'Import 2023 Data'!$C$4:$C$113),_xlfn.XMATCH('NEO3'!AH$5,'Import 2023 Data'!$E$3:$I$3)),"-")</f>
        <v>-</v>
      </c>
      <c r="AI16" s="504" t="str">
        <f>IF(ISNUMBER(_xlfn.XMATCH(C16,'Import 2023 Data'!$E$4:$E$113)),"N","Y")</f>
        <v>N</v>
      </c>
      <c r="AJ16" s="504" t="str">
        <f t="shared" si="16"/>
        <v>Y</v>
      </c>
      <c r="AK16" s="316" t="str" cm="1">
        <f t="array" ref="AK16">IFERROR(INDEX('Import 2023 Data'!$E$4:$I$113,_xlfn.XMATCH('NEO3'!$AE16,'Import 2023 Data'!$C$4:$C$113),_xlfn.XMATCH('NEO3'!AK$5,'Import 2023 Data'!$E$3:$I$3)),"-")</f>
        <v>-</v>
      </c>
      <c r="AL16" s="12" t="str" cm="1">
        <f t="array" ref="AL16">IFERROR(INDEX('Import 2023 Data'!$E$4:$I$113,_xlfn.XMATCH('NEO3'!$AE16,'Import 2023 Data'!$C$4:$C$113),_xlfn.XMATCH('NEO3'!AL$5,'Import 2023 Data'!$E$3:$I$3)),"-")</f>
        <v>-</v>
      </c>
      <c r="AM16" s="12" t="str" cm="1">
        <f t="array" ref="AM16">IFERROR(INDEX('Import 2023 Data'!$E$4:$I$113,_xlfn.XMATCH('NEO3'!$AE16,'Import 2023 Data'!$C$4:$C$113),_xlfn.XMATCH('NEO3'!AM$5,'Import 2023 Data'!$E$3:$I$3)),"-")</f>
        <v>-</v>
      </c>
      <c r="AN16" s="505" t="str">
        <f t="shared" si="17"/>
        <v>New Incumbent</v>
      </c>
    </row>
    <row r="17" spans="1:40" ht="20.25" customHeight="1">
      <c r="A17" s="12" t="str">
        <f t="shared" si="0"/>
        <v>TSX:ELD_2024_NEO1</v>
      </c>
      <c r="B17" s="12" t="str">
        <f>'Raw Data'!D14</f>
        <v>TSX:ELD</v>
      </c>
      <c r="C17" s="626" t="str">
        <f t="shared" si="1"/>
        <v>Eldorado Gold Corporation</v>
      </c>
      <c r="D17" s="627">
        <f>_xll.ciqfunctions.udf.CIQ(B17, "IQ_MARKETCAP", $A$1,$A$2)</f>
        <v>5759.9111199999998</v>
      </c>
      <c r="E17" s="627">
        <f>_xll.ciqfunctions.udf.CIQ($B17, "IQ_TEV", $A$1,$A$2)</f>
        <v>5657.0414199999996</v>
      </c>
      <c r="F17" s="628" t="str">
        <f t="shared" si="2"/>
        <v>Louw Smith</v>
      </c>
      <c r="G17" s="628" t="str">
        <f t="shared" si="2"/>
        <v>EVP, Development, Greece</v>
      </c>
      <c r="H17" s="627" t="str">
        <f t="shared" si="3"/>
        <v>-</v>
      </c>
      <c r="I17" s="627">
        <f t="shared" si="3"/>
        <v>776.39499999999998</v>
      </c>
      <c r="J17" s="359">
        <f t="shared" si="3"/>
        <v>646.26499999999999</v>
      </c>
      <c r="K17" s="629">
        <f t="shared" si="4"/>
        <v>0.83239201695013487</v>
      </c>
      <c r="L17" s="629">
        <f t="shared" si="4"/>
        <v>0.83239201695013487</v>
      </c>
      <c r="M17" s="630">
        <f t="shared" si="5"/>
        <v>621.11599999999999</v>
      </c>
      <c r="N17" s="631">
        <f t="shared" si="6"/>
        <v>0.8</v>
      </c>
      <c r="O17" s="359">
        <f t="shared" si="15"/>
        <v>1422.66</v>
      </c>
      <c r="P17" s="632">
        <f t="shared" si="15"/>
        <v>1397.511</v>
      </c>
      <c r="Q17" s="359">
        <f t="shared" si="15"/>
        <v>810.87800000000027</v>
      </c>
      <c r="R17" s="629">
        <f t="shared" si="7"/>
        <v>1.0444142479021634</v>
      </c>
      <c r="S17" s="629">
        <f t="shared" si="7"/>
        <v>1.0444142479021634</v>
      </c>
      <c r="T17" s="630">
        <f t="shared" si="8"/>
        <v>1164.5925</v>
      </c>
      <c r="U17" s="631">
        <f t="shared" si="9"/>
        <v>1.5</v>
      </c>
      <c r="V17" s="359">
        <f t="shared" si="10"/>
        <v>2233.538</v>
      </c>
      <c r="W17" s="360">
        <f t="shared" si="10"/>
        <v>2562.1035000000002</v>
      </c>
      <c r="X17" s="359" t="str">
        <f t="shared" si="11"/>
        <v>-</v>
      </c>
      <c r="Y17" s="360">
        <f t="shared" si="11"/>
        <v>91.335999999999999</v>
      </c>
      <c r="Z17" s="285">
        <f t="shared" si="10"/>
        <v>2324.8739999999998</v>
      </c>
      <c r="AA17" s="287">
        <f t="shared" si="10"/>
        <v>2653.4395</v>
      </c>
      <c r="AC17" s="265">
        <f t="shared" si="12"/>
        <v>0.54545454545454541</v>
      </c>
      <c r="AD17" s="264">
        <f t="shared" si="13"/>
        <v>0.45454545454545453</v>
      </c>
      <c r="AE17" s="316" t="str">
        <f t="shared" si="14"/>
        <v>TSX:ELD_2023_NEO1</v>
      </c>
      <c r="AF17" s="316"/>
      <c r="AG17" s="503" t="str" cm="1">
        <f t="array" ref="AG17">IFERROR(INDEX('Import 2023 Data'!$E$4:$I$113,_xlfn.XMATCH('NEO3'!$AE17,'Import 2023 Data'!$C$4:$C$113),_xlfn.XMATCH('NEO3'!AG$5,'Import 2023 Data'!$E$3:$I$3)),"-")</f>
        <v>-</v>
      </c>
      <c r="AH17" s="316" t="str" cm="1">
        <f t="array" ref="AH17">IFERROR(INDEX('Import 2023 Data'!$E$4:$I$113,_xlfn.XMATCH('NEO3'!$AE17,'Import 2023 Data'!$C$4:$C$113),_xlfn.XMATCH('NEO3'!AH$5,'Import 2023 Data'!$E$3:$I$3)),"-")</f>
        <v>-</v>
      </c>
      <c r="AI17" s="504" t="str">
        <f>IF(ISNUMBER(_xlfn.XMATCH(C17,'Import 2023 Data'!$E$4:$E$113)),"N","Y")</f>
        <v>N</v>
      </c>
      <c r="AJ17" s="504" t="str">
        <f t="shared" si="16"/>
        <v>Y</v>
      </c>
      <c r="AK17" s="316" t="str" cm="1">
        <f t="array" ref="AK17">IFERROR(INDEX('Import 2023 Data'!$E$4:$I$113,_xlfn.XMATCH('NEO3'!$AE17,'Import 2023 Data'!$C$4:$C$113),_xlfn.XMATCH('NEO3'!AK$5,'Import 2023 Data'!$E$3:$I$3)),"-")</f>
        <v>-</v>
      </c>
      <c r="AL17" s="12" t="str" cm="1">
        <f t="array" ref="AL17">IFERROR(INDEX('Import 2023 Data'!$E$4:$I$113,_xlfn.XMATCH('NEO3'!$AE17,'Import 2023 Data'!$C$4:$C$113),_xlfn.XMATCH('NEO3'!AL$5,'Import 2023 Data'!$E$3:$I$3)),"-")</f>
        <v>-</v>
      </c>
      <c r="AM17" s="12" t="str" cm="1">
        <f t="array" ref="AM17">IFERROR(INDEX('Import 2023 Data'!$E$4:$I$113,_xlfn.XMATCH('NEO3'!$AE17,'Import 2023 Data'!$C$4:$C$113),_xlfn.XMATCH('NEO3'!AM$5,'Import 2023 Data'!$E$3:$I$3)),"-")</f>
        <v>-</v>
      </c>
      <c r="AN17" s="505" t="str">
        <f t="shared" si="17"/>
        <v>New Incumbent</v>
      </c>
    </row>
    <row r="18" spans="1:40" ht="20.25" customHeight="1">
      <c r="A18" s="12" t="str">
        <f t="shared" si="0"/>
        <v>TSX:SSRM_2024_NEO1</v>
      </c>
      <c r="B18" s="12" t="str">
        <f>'Raw Data'!D15</f>
        <v>TSX:SSRM</v>
      </c>
      <c r="C18" s="626" t="str">
        <f t="shared" si="1"/>
        <v>SSR Mining Inc.</v>
      </c>
      <c r="D18" s="627">
        <f>_xll.ciqfunctions.udf.CIQ(B18, "IQ_MARKETCAP", $A$1,$A$2)</f>
        <v>3530.3646100000001</v>
      </c>
      <c r="E18" s="627">
        <f>_xll.ciqfunctions.udf.CIQ($B18, "IQ_TEV", $A$1,$A$2)</f>
        <v>4740.9122799999996</v>
      </c>
      <c r="F18" s="628" t="str">
        <f t="shared" si="2"/>
        <v>Bill MacNevin</v>
      </c>
      <c r="G18" s="628" t="str">
        <f t="shared" si="2"/>
        <v>EVP, Operations and Sustainability</v>
      </c>
      <c r="H18" s="627" t="str">
        <f t="shared" si="3"/>
        <v>-</v>
      </c>
      <c r="I18" s="627">
        <f t="shared" si="3"/>
        <v>822.10200000000009</v>
      </c>
      <c r="J18" s="359">
        <f t="shared" si="3"/>
        <v>561.08461499999999</v>
      </c>
      <c r="K18" s="629">
        <f t="shared" si="4"/>
        <v>0.68249999999999988</v>
      </c>
      <c r="L18" s="629">
        <f t="shared" si="4"/>
        <v>0.66026999999999991</v>
      </c>
      <c r="M18" s="630">
        <f t="shared" si="5"/>
        <v>616.57650000000012</v>
      </c>
      <c r="N18" s="631">
        <f t="shared" si="6"/>
        <v>0.75</v>
      </c>
      <c r="O18" s="359">
        <f t="shared" si="15"/>
        <v>1383.1866150000003</v>
      </c>
      <c r="P18" s="632">
        <f t="shared" si="15"/>
        <v>1438.6785000000002</v>
      </c>
      <c r="Q18" s="359">
        <f t="shared" si="15"/>
        <v>1438.6785</v>
      </c>
      <c r="R18" s="629">
        <f t="shared" si="7"/>
        <v>1.7499999999999998</v>
      </c>
      <c r="S18" s="629">
        <f t="shared" si="7"/>
        <v>1.625</v>
      </c>
      <c r="T18" s="630">
        <f t="shared" si="8"/>
        <v>1438.6785000000002</v>
      </c>
      <c r="U18" s="631">
        <f t="shared" si="9"/>
        <v>1.75</v>
      </c>
      <c r="V18" s="359">
        <f t="shared" si="10"/>
        <v>2821.8651150000001</v>
      </c>
      <c r="W18" s="360">
        <f t="shared" si="10"/>
        <v>2877.3570000000004</v>
      </c>
      <c r="X18" s="359">
        <f t="shared" si="11"/>
        <v>37.816692000000003</v>
      </c>
      <c r="Y18" s="360" t="str">
        <f t="shared" si="11"/>
        <v>-</v>
      </c>
      <c r="Z18" s="285">
        <f t="shared" si="10"/>
        <v>2859.6818069999999</v>
      </c>
      <c r="AA18" s="287">
        <f t="shared" si="10"/>
        <v>2915.1736920000003</v>
      </c>
      <c r="AC18" s="265">
        <f t="shared" si="12"/>
        <v>0.5</v>
      </c>
      <c r="AD18" s="264">
        <f t="shared" si="13"/>
        <v>0.5</v>
      </c>
      <c r="AE18" s="316" t="str">
        <f t="shared" si="14"/>
        <v>TSX:SSRM_2023_NEO1</v>
      </c>
      <c r="AF18" s="316"/>
      <c r="AG18" s="503" t="str" cm="1">
        <f t="array" ref="AG18">IFERROR(INDEX('Import 2023 Data'!$E$4:$I$113,_xlfn.XMATCH('NEO3'!$AE18,'Import 2023 Data'!$C$4:$C$113),_xlfn.XMATCH('NEO3'!AG$5,'Import 2023 Data'!$E$3:$I$3)),"-")</f>
        <v>-</v>
      </c>
      <c r="AH18" s="316" t="str" cm="1">
        <f t="array" ref="AH18">IFERROR(INDEX('Import 2023 Data'!$E$4:$I$113,_xlfn.XMATCH('NEO3'!$AE18,'Import 2023 Data'!$C$4:$C$113),_xlfn.XMATCH('NEO3'!AH$5,'Import 2023 Data'!$E$3:$I$3)),"-")</f>
        <v>-</v>
      </c>
      <c r="AI18" s="504" t="str">
        <f>IF(ISNUMBER(_xlfn.XMATCH(C18,'Import 2023 Data'!$E$4:$E$113)),"N","Y")</f>
        <v>N</v>
      </c>
      <c r="AJ18" s="504" t="str">
        <f t="shared" si="16"/>
        <v>Y</v>
      </c>
      <c r="AK18" s="316" t="str" cm="1">
        <f t="array" ref="AK18">IFERROR(INDEX('Import 2023 Data'!$E$4:$I$113,_xlfn.XMATCH('NEO3'!$AE18,'Import 2023 Data'!$C$4:$C$113),_xlfn.XMATCH('NEO3'!AK$5,'Import 2023 Data'!$E$3:$I$3)),"-")</f>
        <v>-</v>
      </c>
      <c r="AL18" s="12" t="str" cm="1">
        <f t="array" ref="AL18">IFERROR(INDEX('Import 2023 Data'!$E$4:$I$113,_xlfn.XMATCH('NEO3'!$AE18,'Import 2023 Data'!$C$4:$C$113),_xlfn.XMATCH('NEO3'!AL$5,'Import 2023 Data'!$E$3:$I$3)),"-")</f>
        <v>-</v>
      </c>
      <c r="AM18" s="12" t="str" cm="1">
        <f t="array" ref="AM18">IFERROR(INDEX('Import 2023 Data'!$E$4:$I$113,_xlfn.XMATCH('NEO3'!$AE18,'Import 2023 Data'!$C$4:$C$113),_xlfn.XMATCH('NEO3'!AM$5,'Import 2023 Data'!$E$3:$I$3)),"-")</f>
        <v>-</v>
      </c>
      <c r="AN18" s="505" t="str">
        <f t="shared" si="17"/>
        <v>New Incumbent</v>
      </c>
    </row>
    <row r="19" spans="1:40" ht="20.25" customHeight="1">
      <c r="A19" s="12" t="str">
        <f t="shared" si="0"/>
        <v>TSX:OGC
_2024_NEO1</v>
      </c>
      <c r="B19" s="12" t="str">
        <f>'Raw Data'!D16</f>
        <v xml:space="preserve">TSX:OGC
</v>
      </c>
      <c r="C19" s="626" t="str">
        <f t="shared" si="1"/>
        <v>OceanaGold Corporation</v>
      </c>
      <c r="D19" s="627">
        <f>_xll.ciqfunctions.udf.CIQ(B19, "IQ_MARKETCAP", $A$1,$A$2)</f>
        <v>4453.8089300000001</v>
      </c>
      <c r="E19" s="627">
        <f>_xll.ciqfunctions.udf.CIQ($B19, "IQ_TEV", $A$1,$A$2)</f>
        <v>4363.2558799999997</v>
      </c>
      <c r="F19" s="628" t="str">
        <f t="shared" si="2"/>
        <v>Peter Sharpe</v>
      </c>
      <c r="G19" s="628" t="str">
        <f t="shared" si="2"/>
        <v>EVP &amp; COO, Asia Pacific</v>
      </c>
      <c r="H19" s="627" t="str">
        <f t="shared" si="3"/>
        <v>-</v>
      </c>
      <c r="I19" s="627">
        <f t="shared" si="3"/>
        <v>544.63161363999996</v>
      </c>
      <c r="J19" s="359">
        <f t="shared" si="3"/>
        <v>332.62932005000005</v>
      </c>
      <c r="K19" s="629">
        <f t="shared" si="4"/>
        <v>0.61074185140833026</v>
      </c>
      <c r="L19" s="629">
        <f t="shared" si="4"/>
        <v>0.46649255054155864</v>
      </c>
      <c r="M19" s="630">
        <f t="shared" si="5"/>
        <v>326.77896818400001</v>
      </c>
      <c r="N19" s="631">
        <f t="shared" si="6"/>
        <v>0.6</v>
      </c>
      <c r="O19" s="359">
        <f t="shared" si="15"/>
        <v>877.26093369000012</v>
      </c>
      <c r="P19" s="632">
        <f t="shared" si="15"/>
        <v>871.41058182400002</v>
      </c>
      <c r="Q19" s="359">
        <f t="shared" si="15"/>
        <v>1535.89891235</v>
      </c>
      <c r="R19" s="629">
        <f t="shared" si="7"/>
        <v>2.8200693347287493</v>
      </c>
      <c r="S19" s="629">
        <f t="shared" si="7"/>
        <v>1.8347939734073915</v>
      </c>
      <c r="T19" s="630">
        <f t="shared" si="8"/>
        <v>999.28680243381484</v>
      </c>
      <c r="U19" s="631">
        <f t="shared" si="9"/>
        <v>1.8347939734073915</v>
      </c>
      <c r="V19" s="359">
        <f t="shared" si="10"/>
        <v>2413.15984604</v>
      </c>
      <c r="W19" s="360">
        <f t="shared" si="10"/>
        <v>1870.6973842578147</v>
      </c>
      <c r="X19" s="359">
        <f t="shared" si="11"/>
        <v>25.896213000000003</v>
      </c>
      <c r="Y19" s="360" t="str">
        <f t="shared" si="11"/>
        <v>-</v>
      </c>
      <c r="Z19" s="285">
        <f t="shared" si="10"/>
        <v>2439.05605904</v>
      </c>
      <c r="AA19" s="287">
        <f t="shared" si="10"/>
        <v>1896.5935972578147</v>
      </c>
      <c r="AC19" s="265">
        <f t="shared" si="12"/>
        <v>0.46582124354106885</v>
      </c>
      <c r="AD19" s="264">
        <f t="shared" si="13"/>
        <v>0.5341787564589312</v>
      </c>
      <c r="AE19" s="316" t="str">
        <f t="shared" si="14"/>
        <v>TSX:OGC
_2023_NEO1</v>
      </c>
      <c r="AF19" s="316"/>
      <c r="AG19" s="503" t="str" cm="1">
        <f t="array" ref="AG19">IFERROR(INDEX('Import 2023 Data'!$E$4:$I$113,_xlfn.XMATCH('NEO3'!$AE19,'Import 2023 Data'!$C$4:$C$113),_xlfn.XMATCH('NEO3'!AG$5,'Import 2023 Data'!$E$3:$I$3)),"-")</f>
        <v>-</v>
      </c>
      <c r="AH19" s="316" t="str" cm="1">
        <f t="array" ref="AH19">IFERROR(INDEX('Import 2023 Data'!$E$4:$I$113,_xlfn.XMATCH('NEO3'!$AE19,'Import 2023 Data'!$C$4:$C$113),_xlfn.XMATCH('NEO3'!AH$5,'Import 2023 Data'!$E$3:$I$3)),"-")</f>
        <v>-</v>
      </c>
      <c r="AI19" s="504" t="str">
        <f>IF(ISNUMBER(_xlfn.XMATCH(C19,'Import 2023 Data'!$E$4:$E$113)),"N","Y")</f>
        <v>N</v>
      </c>
      <c r="AJ19" s="504" t="str">
        <f t="shared" si="16"/>
        <v>Y</v>
      </c>
      <c r="AK19" s="316" t="str" cm="1">
        <f t="array" ref="AK19">IFERROR(INDEX('Import 2023 Data'!$E$4:$I$113,_xlfn.XMATCH('NEO3'!$AE19,'Import 2023 Data'!$C$4:$C$113),_xlfn.XMATCH('NEO3'!AK$5,'Import 2023 Data'!$E$3:$I$3)),"-")</f>
        <v>-</v>
      </c>
      <c r="AL19" s="12" t="str" cm="1">
        <f t="array" ref="AL19">IFERROR(INDEX('Import 2023 Data'!$E$4:$I$113,_xlfn.XMATCH('NEO3'!$AE19,'Import 2023 Data'!$C$4:$C$113),_xlfn.XMATCH('NEO3'!AL$5,'Import 2023 Data'!$E$3:$I$3)),"-")</f>
        <v>-</v>
      </c>
      <c r="AM19" s="12" t="str" cm="1">
        <f t="array" ref="AM19">IFERROR(INDEX('Import 2023 Data'!$E$4:$I$113,_xlfn.XMATCH('NEO3'!$AE19,'Import 2023 Data'!$C$4:$C$113),_xlfn.XMATCH('NEO3'!AM$5,'Import 2023 Data'!$E$3:$I$3)),"-")</f>
        <v>-</v>
      </c>
      <c r="AN19" s="505" t="str">
        <f t="shared" si="17"/>
        <v>New Incumbent</v>
      </c>
    </row>
    <row r="20" spans="1:40" ht="20.25" customHeight="1">
      <c r="A20" s="12" t="str">
        <f t="shared" si="0"/>
        <v>TSX:ERO_2024_NEO1</v>
      </c>
      <c r="B20" s="12" t="str">
        <f>'Raw Data'!D17</f>
        <v>TSX:ERO</v>
      </c>
      <c r="C20" s="626" t="str">
        <f t="shared" si="1"/>
        <v>Ero Copper Corp.</v>
      </c>
      <c r="D20" s="627">
        <f>_xll.ciqfunctions.udf.CIQ(B20, "IQ_MARKETCAP", $A$1,$A$2)</f>
        <v>2080.7628100000002</v>
      </c>
      <c r="E20" s="627">
        <f>_xll.ciqfunctions.udf.CIQ($B20, "IQ_TEV", $A$1,$A$2)</f>
        <v>2927.2829099999999</v>
      </c>
      <c r="F20" s="628" t="str">
        <f t="shared" si="2"/>
        <v>Makko DeFilippo</v>
      </c>
      <c r="G20" s="628" t="str">
        <f t="shared" si="2"/>
        <v>President &amp; COO</v>
      </c>
      <c r="H20" s="627" t="str">
        <f t="shared" si="3"/>
        <v>-</v>
      </c>
      <c r="I20" s="627">
        <f t="shared" si="3"/>
        <v>650.83074999999997</v>
      </c>
      <c r="J20" s="359">
        <f t="shared" si="3"/>
        <v>317.28067571000003</v>
      </c>
      <c r="K20" s="629">
        <f t="shared" si="4"/>
        <v>0.487501052631579</v>
      </c>
      <c r="L20" s="629">
        <f t="shared" si="4"/>
        <v>0.81969989340439708</v>
      </c>
      <c r="M20" s="630">
        <f t="shared" si="5"/>
        <v>488.1230625</v>
      </c>
      <c r="N20" s="631">
        <f t="shared" si="6"/>
        <v>0.75</v>
      </c>
      <c r="O20" s="359">
        <f t="shared" si="15"/>
        <v>968.11142571000005</v>
      </c>
      <c r="P20" s="632">
        <f t="shared" si="15"/>
        <v>1138.9538124999999</v>
      </c>
      <c r="Q20" s="359">
        <f t="shared" si="15"/>
        <v>1976.1646770900002</v>
      </c>
      <c r="R20" s="629">
        <f t="shared" si="7"/>
        <v>3.0363726315789474</v>
      </c>
      <c r="S20" s="629">
        <f t="shared" si="7"/>
        <v>2.307103157894737</v>
      </c>
      <c r="T20" s="630">
        <f t="shared" si="8"/>
        <v>1501.53367858</v>
      </c>
      <c r="U20" s="631">
        <f t="shared" si="9"/>
        <v>2.307103157894737</v>
      </c>
      <c r="V20" s="359">
        <f t="shared" si="10"/>
        <v>2944.2761028000004</v>
      </c>
      <c r="W20" s="360">
        <f t="shared" si="10"/>
        <v>2640.4874910799999</v>
      </c>
      <c r="X20" s="359" t="str">
        <f t="shared" si="11"/>
        <v>-</v>
      </c>
      <c r="Y20" s="360">
        <f t="shared" si="11"/>
        <v>0.41927202000000008</v>
      </c>
      <c r="Z20" s="285">
        <f t="shared" si="10"/>
        <v>2944.6953748200003</v>
      </c>
      <c r="AA20" s="287">
        <f t="shared" si="10"/>
        <v>2640.9067631000003</v>
      </c>
      <c r="AC20" s="265">
        <f t="shared" si="12"/>
        <v>0.43134224886411043</v>
      </c>
      <c r="AD20" s="264">
        <f t="shared" si="13"/>
        <v>0.56865775113588957</v>
      </c>
      <c r="AE20" s="316" t="str">
        <f t="shared" si="14"/>
        <v>TSX:ERO_2023_NEO1</v>
      </c>
      <c r="AF20" s="316"/>
      <c r="AG20" s="503" t="str" cm="1">
        <f t="array" ref="AG20">IFERROR(INDEX('Import 2023 Data'!$E$4:$I$113,_xlfn.XMATCH('NEO3'!$AE20,'Import 2023 Data'!$C$4:$C$113),_xlfn.XMATCH('NEO3'!AG$5,'Import 2023 Data'!$E$3:$I$3)),"-")</f>
        <v>-</v>
      </c>
      <c r="AH20" s="316" t="str" cm="1">
        <f t="array" ref="AH20">IFERROR(INDEX('Import 2023 Data'!$E$4:$I$113,_xlfn.XMATCH('NEO3'!$AE20,'Import 2023 Data'!$C$4:$C$113),_xlfn.XMATCH('NEO3'!AH$5,'Import 2023 Data'!$E$3:$I$3)),"-")</f>
        <v>-</v>
      </c>
      <c r="AI20" s="504" t="str">
        <f>IF(ISNUMBER(_xlfn.XMATCH(C20,'Import 2023 Data'!$E$4:$E$113)),"N","Y")</f>
        <v>N</v>
      </c>
      <c r="AJ20" s="504" t="str">
        <f t="shared" si="16"/>
        <v>Y</v>
      </c>
      <c r="AK20" s="316" t="str" cm="1">
        <f t="array" ref="AK20">IFERROR(INDEX('Import 2023 Data'!$E$4:$I$113,_xlfn.XMATCH('NEO3'!$AE20,'Import 2023 Data'!$C$4:$C$113),_xlfn.XMATCH('NEO3'!AK$5,'Import 2023 Data'!$E$3:$I$3)),"-")</f>
        <v>-</v>
      </c>
      <c r="AL20" s="12" t="str" cm="1">
        <f t="array" ref="AL20">IFERROR(INDEX('Import 2023 Data'!$E$4:$I$113,_xlfn.XMATCH('NEO3'!$AE20,'Import 2023 Data'!$C$4:$C$113),_xlfn.XMATCH('NEO3'!AL$5,'Import 2023 Data'!$E$3:$I$3)),"-")</f>
        <v>-</v>
      </c>
      <c r="AM20" s="12" t="str" cm="1">
        <f t="array" ref="AM20">IFERROR(INDEX('Import 2023 Data'!$E$4:$I$113,_xlfn.XMATCH('NEO3'!$AE20,'Import 2023 Data'!$C$4:$C$113),_xlfn.XMATCH('NEO3'!AM$5,'Import 2023 Data'!$E$3:$I$3)),"-")</f>
        <v>-</v>
      </c>
      <c r="AN20" s="505" t="str">
        <f t="shared" si="17"/>
        <v>New Incumbent</v>
      </c>
    </row>
    <row r="21" spans="1:40" ht="20.25" customHeight="1">
      <c r="A21" s="12" t="str">
        <f t="shared" si="0"/>
        <v>TSX:CG_2024_NEO1</v>
      </c>
      <c r="B21" s="12" t="str">
        <f>'Raw Data'!D18</f>
        <v>TSX:CG</v>
      </c>
      <c r="C21" s="626" t="str">
        <f t="shared" si="1"/>
        <v>Centerra Gold Inc.</v>
      </c>
      <c r="D21" s="627">
        <f>_xll.ciqfunctions.udf.CIQ(B21, "IQ_MARKETCAP", $A$1,$A$2)</f>
        <v>2054.8528000000001</v>
      </c>
      <c r="E21" s="627">
        <f>_xll.ciqfunctions.udf.CIQ($B21, "IQ_TEV", $A$1,$A$2)</f>
        <v>1190.4233200000001</v>
      </c>
      <c r="F21" s="628" t="str">
        <f t="shared" si="2"/>
        <v>Paul Chawrun</v>
      </c>
      <c r="G21" s="628" t="str">
        <f t="shared" si="2"/>
        <v>EVP, COO</v>
      </c>
      <c r="H21" s="627" t="str">
        <f t="shared" si="3"/>
        <v>-</v>
      </c>
      <c r="I21" s="627">
        <f t="shared" si="3"/>
        <v>550</v>
      </c>
      <c r="J21" s="359">
        <f t="shared" si="3"/>
        <v>404.8</v>
      </c>
      <c r="K21" s="629">
        <f t="shared" si="4"/>
        <v>0.73599999999999999</v>
      </c>
      <c r="L21" s="629">
        <f t="shared" si="4"/>
        <v>0.76714895973330421</v>
      </c>
      <c r="M21" s="630">
        <f t="shared" si="5"/>
        <v>440</v>
      </c>
      <c r="N21" s="631">
        <f t="shared" si="6"/>
        <v>0.8</v>
      </c>
      <c r="O21" s="359">
        <f t="shared" si="15"/>
        <v>954.8</v>
      </c>
      <c r="P21" s="632">
        <f t="shared" si="15"/>
        <v>990</v>
      </c>
      <c r="Q21" s="359">
        <f t="shared" si="15"/>
        <v>990.00000000000023</v>
      </c>
      <c r="R21" s="629">
        <f t="shared" si="7"/>
        <v>1.8000000000000005</v>
      </c>
      <c r="S21" s="629">
        <f t="shared" si="7"/>
        <v>1.3910932920122787</v>
      </c>
      <c r="T21" s="630">
        <f t="shared" si="8"/>
        <v>990</v>
      </c>
      <c r="U21" s="631">
        <f t="shared" si="9"/>
        <v>1.8</v>
      </c>
      <c r="V21" s="359">
        <f t="shared" si="10"/>
        <v>1944.8000000000002</v>
      </c>
      <c r="W21" s="360">
        <f t="shared" si="10"/>
        <v>1980</v>
      </c>
      <c r="X21" s="359">
        <f t="shared" si="11"/>
        <v>114.57599999999999</v>
      </c>
      <c r="Y21" s="360">
        <f t="shared" si="11"/>
        <v>62.218000000000004</v>
      </c>
      <c r="Z21" s="285">
        <f t="shared" si="10"/>
        <v>2121.5940000000001</v>
      </c>
      <c r="AA21" s="287">
        <f t="shared" si="10"/>
        <v>2156.7939999999999</v>
      </c>
      <c r="AC21" s="265">
        <f t="shared" si="12"/>
        <v>0.5</v>
      </c>
      <c r="AD21" s="264">
        <f t="shared" si="13"/>
        <v>0.5</v>
      </c>
      <c r="AE21" s="316" t="str">
        <f t="shared" si="14"/>
        <v>TSX:CG_2023_NEO1</v>
      </c>
      <c r="AF21" s="316"/>
      <c r="AG21" s="494" t="str" cm="1">
        <f t="array" ref="AG21">IFERROR(INDEX('Import 2023 Data'!$E$4:$I$113,_xlfn.XMATCH('NEO3'!$AE21,'Import 2023 Data'!$C$4:$C$113),_xlfn.XMATCH('NEO3'!AG$5,'Import 2023 Data'!$E$3:$I$3)),"-")</f>
        <v>-</v>
      </c>
      <c r="AH21" s="506" t="str" cm="1">
        <f t="array" ref="AH21">IFERROR(INDEX('Import 2023 Data'!$E$4:$I$113,_xlfn.XMATCH('NEO3'!$AE21,'Import 2023 Data'!$C$4:$C$113),_xlfn.XMATCH('NEO3'!AH$5,'Import 2023 Data'!$E$3:$I$3)),"-")</f>
        <v>-</v>
      </c>
      <c r="AI21" s="507" t="str">
        <f>IF(ISNUMBER(_xlfn.XMATCH(C21,'Import 2023 Data'!$E$4:$E$113)),"N","Y")</f>
        <v>N</v>
      </c>
      <c r="AJ21" s="507" t="str">
        <f t="shared" si="16"/>
        <v>Y</v>
      </c>
      <c r="AK21" s="506" t="str" cm="1">
        <f t="array" ref="AK21">IFERROR(INDEX('Import 2023 Data'!$E$4:$I$113,_xlfn.XMATCH('NEO3'!$AE21,'Import 2023 Data'!$C$4:$C$113),_xlfn.XMATCH('NEO3'!AK$5,'Import 2023 Data'!$E$3:$I$3)),"-")</f>
        <v>-</v>
      </c>
      <c r="AL21" s="508" t="str" cm="1">
        <f t="array" ref="AL21">IFERROR(INDEX('Import 2023 Data'!$E$4:$I$113,_xlfn.XMATCH('NEO3'!$AE21,'Import 2023 Data'!$C$4:$C$113),_xlfn.XMATCH('NEO3'!AL$5,'Import 2023 Data'!$E$3:$I$3)),"-")</f>
        <v>-</v>
      </c>
      <c r="AM21" s="508" t="str" cm="1">
        <f t="array" ref="AM21">IFERROR(INDEX('Import 2023 Data'!$E$4:$I$113,_xlfn.XMATCH('NEO3'!$AE21,'Import 2023 Data'!$C$4:$C$113),_xlfn.XMATCH('NEO3'!AM$5,'Import 2023 Data'!$E$3:$I$3)),"-")</f>
        <v>-</v>
      </c>
      <c r="AN21" s="509" t="str">
        <f t="shared" si="17"/>
        <v>New Incumbent</v>
      </c>
    </row>
    <row r="22" spans="1:40" ht="20.25" hidden="1" customHeight="1" outlineLevel="1">
      <c r="A22" s="12" t="str">
        <f t="shared" si="0"/>
        <v>0_2024_NEO1</v>
      </c>
      <c r="B22" s="12">
        <f>'Raw Data'!D19</f>
        <v>0</v>
      </c>
      <c r="C22" s="626" t="str">
        <f t="shared" si="1"/>
        <v>(Invalid Identifier)</v>
      </c>
      <c r="D22" s="627" t="str">
        <f>_xll.ciqfunctions.udf.CIQ(B22, "IQ_MARKETCAP", $A$1,$A$2)</f>
        <v>(Invalid Identifier)</v>
      </c>
      <c r="E22" s="627" t="str">
        <f>_xll.ciqfunctions.udf.CIQ($B22, "IQ_TEV", $A$1,$A$2)</f>
        <v>(Invalid Identifier)</v>
      </c>
      <c r="F22" s="628" t="str">
        <f t="shared" si="2"/>
        <v>-</v>
      </c>
      <c r="G22" s="628" t="str">
        <f t="shared" si="2"/>
        <v>-</v>
      </c>
      <c r="H22" s="627" t="str">
        <f t="shared" si="3"/>
        <v>-</v>
      </c>
      <c r="I22" s="627" t="str">
        <f t="shared" si="3"/>
        <v>-</v>
      </c>
      <c r="J22" s="359" t="str">
        <f t="shared" si="3"/>
        <v>-</v>
      </c>
      <c r="K22" s="629" t="str">
        <f t="shared" si="4"/>
        <v>-</v>
      </c>
      <c r="L22" s="629" t="str">
        <f t="shared" si="4"/>
        <v>N/A</v>
      </c>
      <c r="M22" s="630" t="str">
        <f t="shared" si="5"/>
        <v>-</v>
      </c>
      <c r="N22" s="631" t="str">
        <f t="shared" si="6"/>
        <v>N/A</v>
      </c>
      <c r="O22" s="359" t="str">
        <f t="shared" si="15"/>
        <v>-</v>
      </c>
      <c r="P22" s="632" t="str">
        <f t="shared" si="15"/>
        <v>-</v>
      </c>
      <c r="Q22" s="359" t="str">
        <f t="shared" si="15"/>
        <v>-</v>
      </c>
      <c r="R22" s="629" t="str">
        <f t="shared" si="7"/>
        <v>-</v>
      </c>
      <c r="S22" s="629" t="str">
        <f t="shared" si="7"/>
        <v>N/A</v>
      </c>
      <c r="T22" s="630" t="str">
        <f t="shared" si="8"/>
        <v>-</v>
      </c>
      <c r="U22" s="631" t="str">
        <f t="shared" si="9"/>
        <v>N/A</v>
      </c>
      <c r="V22" s="359" t="str">
        <f t="shared" si="10"/>
        <v>-</v>
      </c>
      <c r="W22" s="360" t="str">
        <f t="shared" si="10"/>
        <v>-</v>
      </c>
      <c r="X22" s="359" t="str">
        <f t="shared" si="11"/>
        <v>-</v>
      </c>
      <c r="Y22" s="360" t="str">
        <f t="shared" si="11"/>
        <v>-</v>
      </c>
      <c r="Z22" s="285" t="str">
        <f t="shared" si="10"/>
        <v>-</v>
      </c>
      <c r="AA22" s="287" t="str">
        <f t="shared" si="10"/>
        <v>-</v>
      </c>
      <c r="AC22" s="265"/>
      <c r="AD22" s="264"/>
      <c r="AE22" s="316" t="str">
        <f t="shared" si="14"/>
        <v>0_2023_NEO1</v>
      </c>
      <c r="AF22" s="316"/>
      <c r="AG22" s="503" t="str" cm="1">
        <f t="array" ref="AG22">IFERROR(INDEX('Import 2023 Data'!$E$4:$I$113,_xlfn.XMATCH('NEO3'!$AE22,'Import 2023 Data'!$C$4:$C$113),_xlfn.XMATCH('NEO3'!AG$5,'Import 2023 Data'!$E$3:$I$3)),"-")</f>
        <v>-</v>
      </c>
      <c r="AH22" s="316" t="str" cm="1">
        <f t="array" ref="AH22">IFERROR(INDEX('Import 2023 Data'!$E$4:$I$113,_xlfn.XMATCH('NEO3'!$AE22,'Import 2023 Data'!$C$4:$C$113),_xlfn.XMATCH('NEO3'!AH$5,'Import 2023 Data'!$E$3:$I$3)),"-")</f>
        <v>-</v>
      </c>
      <c r="AI22" s="316"/>
      <c r="AJ22" s="504" t="str">
        <f t="shared" si="16"/>
        <v>N</v>
      </c>
      <c r="AK22" s="316" t="str" cm="1">
        <f t="array" ref="AK22">IFERROR(INDEX('Import 2023 Data'!$E$4:$I$113,_xlfn.XMATCH('NEO3'!$AE22,'Import 2023 Data'!$C$4:$C$113),_xlfn.XMATCH('NEO3'!AK$5,'Import 2023 Data'!$E$3:$I$3)),"-")</f>
        <v>-</v>
      </c>
      <c r="AL22" s="12" t="str" cm="1">
        <f t="array" ref="AL22">IFERROR(INDEX('Import 2023 Data'!$E$4:$I$113,_xlfn.XMATCH('NEO3'!$AE22,'Import 2023 Data'!$C$4:$C$113),_xlfn.XMATCH('NEO3'!AL$5,'Import 2023 Data'!$E$3:$I$3)),"-")</f>
        <v>-</v>
      </c>
      <c r="AM22" s="12" t="str" cm="1">
        <f t="array" ref="AM22">IFERROR(INDEX('Import 2023 Data'!$E$4:$I$113,_xlfn.XMATCH('NEO3'!$AE22,'Import 2023 Data'!$C$4:$C$113),_xlfn.XMATCH('NEO3'!AM$5,'Import 2023 Data'!$E$3:$I$3)),"-")</f>
        <v>-</v>
      </c>
      <c r="AN22" s="505" t="str">
        <f t="shared" si="17"/>
        <v>-</v>
      </c>
    </row>
    <row r="23" spans="1:40" ht="20.25" hidden="1" customHeight="1" outlineLevel="1">
      <c r="A23" s="12" t="str">
        <f t="shared" si="0"/>
        <v>0_2024_NEO1</v>
      </c>
      <c r="B23" s="12">
        <f>'Raw Data'!D20</f>
        <v>0</v>
      </c>
      <c r="C23" s="626" t="str">
        <f t="shared" si="1"/>
        <v>(Invalid Identifier)</v>
      </c>
      <c r="D23" s="627" t="str">
        <f>_xll.ciqfunctions.udf.CIQ(B23, "IQ_MARKETCAP", $A$1,$A$2)</f>
        <v>(Invalid Identifier)</v>
      </c>
      <c r="E23" s="627" t="str">
        <f>_xll.ciqfunctions.udf.CIQ($B23, "IQ_TEV", $A$1,$A$2)</f>
        <v>(Invalid Identifier)</v>
      </c>
      <c r="F23" s="628" t="str">
        <f t="shared" si="2"/>
        <v>-</v>
      </c>
      <c r="G23" s="628" t="str">
        <f t="shared" si="2"/>
        <v>-</v>
      </c>
      <c r="H23" s="627" t="str">
        <f t="shared" si="3"/>
        <v>-</v>
      </c>
      <c r="I23" s="627" t="str">
        <f t="shared" si="3"/>
        <v>-</v>
      </c>
      <c r="J23" s="359" t="str">
        <f t="shared" si="3"/>
        <v>-</v>
      </c>
      <c r="K23" s="629" t="str">
        <f t="shared" si="4"/>
        <v>-</v>
      </c>
      <c r="L23" s="629" t="str">
        <f t="shared" si="4"/>
        <v>N/A</v>
      </c>
      <c r="M23" s="630" t="str">
        <f t="shared" si="5"/>
        <v>-</v>
      </c>
      <c r="N23" s="631" t="str">
        <f t="shared" si="6"/>
        <v>N/A</v>
      </c>
      <c r="O23" s="359" t="str">
        <f t="shared" si="15"/>
        <v>-</v>
      </c>
      <c r="P23" s="632" t="str">
        <f t="shared" si="15"/>
        <v>-</v>
      </c>
      <c r="Q23" s="359" t="str">
        <f t="shared" si="15"/>
        <v>-</v>
      </c>
      <c r="R23" s="629" t="str">
        <f t="shared" si="7"/>
        <v>-</v>
      </c>
      <c r="S23" s="629" t="str">
        <f t="shared" si="7"/>
        <v>N/A</v>
      </c>
      <c r="T23" s="630" t="str">
        <f t="shared" si="8"/>
        <v>-</v>
      </c>
      <c r="U23" s="631" t="str">
        <f t="shared" si="9"/>
        <v>N/A</v>
      </c>
      <c r="V23" s="359" t="str">
        <f t="shared" si="10"/>
        <v>-</v>
      </c>
      <c r="W23" s="360" t="str">
        <f t="shared" si="10"/>
        <v>-</v>
      </c>
      <c r="X23" s="359" t="str">
        <f t="shared" si="11"/>
        <v>-</v>
      </c>
      <c r="Y23" s="360" t="str">
        <f t="shared" si="11"/>
        <v>-</v>
      </c>
      <c r="Z23" s="285" t="str">
        <f t="shared" si="10"/>
        <v>-</v>
      </c>
      <c r="AA23" s="287" t="str">
        <f t="shared" si="10"/>
        <v>-</v>
      </c>
      <c r="AC23" s="265"/>
      <c r="AD23" s="264"/>
      <c r="AE23" s="316" t="str">
        <f t="shared" si="14"/>
        <v>0_2023_NEO1</v>
      </c>
      <c r="AF23" s="316"/>
      <c r="AG23" s="503" t="str" cm="1">
        <f t="array" ref="AG23">IFERROR(INDEX('Import 2023 Data'!$E$4:$I$113,_xlfn.XMATCH('NEO3'!$AE23,'Import 2023 Data'!$C$4:$C$113),_xlfn.XMATCH('NEO3'!AG$5,'Import 2023 Data'!$E$3:$I$3)),"-")</f>
        <v>-</v>
      </c>
      <c r="AH23" s="316" t="str" cm="1">
        <f t="array" ref="AH23">IFERROR(INDEX('Import 2023 Data'!$E$4:$I$113,_xlfn.XMATCH('NEO3'!$AE23,'Import 2023 Data'!$C$4:$C$113),_xlfn.XMATCH('NEO3'!AH$5,'Import 2023 Data'!$E$3:$I$3)),"-")</f>
        <v>-</v>
      </c>
      <c r="AI23" s="316"/>
      <c r="AJ23" s="504" t="str">
        <f t="shared" si="16"/>
        <v>N</v>
      </c>
      <c r="AK23" s="316" t="str" cm="1">
        <f t="array" ref="AK23">IFERROR(INDEX('Import 2023 Data'!$E$4:$I$113,_xlfn.XMATCH('NEO3'!$AE23,'Import 2023 Data'!$C$4:$C$113),_xlfn.XMATCH('NEO3'!AK$5,'Import 2023 Data'!$E$3:$I$3)),"-")</f>
        <v>-</v>
      </c>
      <c r="AL23" s="12" t="str" cm="1">
        <f t="array" ref="AL23">IFERROR(INDEX('Import 2023 Data'!$E$4:$I$113,_xlfn.XMATCH('NEO3'!$AE23,'Import 2023 Data'!$C$4:$C$113),_xlfn.XMATCH('NEO3'!AL$5,'Import 2023 Data'!$E$3:$I$3)),"-")</f>
        <v>-</v>
      </c>
      <c r="AM23" s="12" t="str" cm="1">
        <f t="array" ref="AM23">IFERROR(INDEX('Import 2023 Data'!$E$4:$I$113,_xlfn.XMATCH('NEO3'!$AE23,'Import 2023 Data'!$C$4:$C$113),_xlfn.XMATCH('NEO3'!AM$5,'Import 2023 Data'!$E$3:$I$3)),"-")</f>
        <v>-</v>
      </c>
      <c r="AN23" s="505" t="str">
        <f t="shared" si="17"/>
        <v>-</v>
      </c>
    </row>
    <row r="24" spans="1:40" ht="20.25" hidden="1" customHeight="1" outlineLevel="1">
      <c r="A24" s="12" t="str">
        <f t="shared" si="0"/>
        <v>0_2024_NEO1</v>
      </c>
      <c r="B24" s="12">
        <f>'Raw Data'!D21</f>
        <v>0</v>
      </c>
      <c r="C24" s="626" t="str">
        <f t="shared" si="1"/>
        <v>(Invalid Identifier)</v>
      </c>
      <c r="D24" s="627" t="str">
        <f>_xll.ciqfunctions.udf.CIQ(B24, "IQ_MARKETCAP", $A$1,$A$2)</f>
        <v>(Invalid Identifier)</v>
      </c>
      <c r="E24" s="627" t="str">
        <f>_xll.ciqfunctions.udf.CIQ($B24, "IQ_TEV", $A$1,$A$2)</f>
        <v>(Invalid Identifier)</v>
      </c>
      <c r="F24" s="628" t="str">
        <f t="shared" si="2"/>
        <v>-</v>
      </c>
      <c r="G24" s="628" t="str">
        <f t="shared" si="2"/>
        <v>-</v>
      </c>
      <c r="H24" s="627" t="str">
        <f t="shared" si="3"/>
        <v>-</v>
      </c>
      <c r="I24" s="627" t="str">
        <f t="shared" si="3"/>
        <v>-</v>
      </c>
      <c r="J24" s="359" t="str">
        <f t="shared" si="3"/>
        <v>-</v>
      </c>
      <c r="K24" s="629" t="str">
        <f t="shared" si="4"/>
        <v>-</v>
      </c>
      <c r="L24" s="629" t="str">
        <f t="shared" si="4"/>
        <v>N/A</v>
      </c>
      <c r="M24" s="630" t="str">
        <f t="shared" si="5"/>
        <v>-</v>
      </c>
      <c r="N24" s="631" t="str">
        <f t="shared" si="6"/>
        <v>N/A</v>
      </c>
      <c r="O24" s="359" t="str">
        <f t="shared" si="15"/>
        <v>-</v>
      </c>
      <c r="P24" s="632" t="str">
        <f t="shared" si="15"/>
        <v>-</v>
      </c>
      <c r="Q24" s="359" t="str">
        <f t="shared" si="15"/>
        <v>-</v>
      </c>
      <c r="R24" s="629" t="str">
        <f t="shared" si="7"/>
        <v>-</v>
      </c>
      <c r="S24" s="629" t="str">
        <f t="shared" si="7"/>
        <v>N/A</v>
      </c>
      <c r="T24" s="630" t="str">
        <f t="shared" si="8"/>
        <v>-</v>
      </c>
      <c r="U24" s="631" t="str">
        <f t="shared" si="9"/>
        <v>N/A</v>
      </c>
      <c r="V24" s="359" t="str">
        <f t="shared" si="10"/>
        <v>-</v>
      </c>
      <c r="W24" s="360" t="str">
        <f t="shared" si="10"/>
        <v>-</v>
      </c>
      <c r="X24" s="359" t="str">
        <f t="shared" si="11"/>
        <v>-</v>
      </c>
      <c r="Y24" s="360" t="str">
        <f t="shared" si="11"/>
        <v>-</v>
      </c>
      <c r="Z24" s="285" t="str">
        <f t="shared" si="10"/>
        <v>-</v>
      </c>
      <c r="AA24" s="287" t="str">
        <f t="shared" si="10"/>
        <v>-</v>
      </c>
      <c r="AC24" s="265"/>
      <c r="AD24" s="264"/>
      <c r="AE24" s="316" t="str">
        <f t="shared" si="14"/>
        <v>0_2023_NEO1</v>
      </c>
      <c r="AF24" s="316"/>
      <c r="AG24" s="503" t="str" cm="1">
        <f t="array" ref="AG24">IFERROR(INDEX('Import 2023 Data'!$E$4:$I$113,_xlfn.XMATCH('NEO3'!$AE24,'Import 2023 Data'!$C$4:$C$113),_xlfn.XMATCH('NEO3'!AG$5,'Import 2023 Data'!$E$3:$I$3)),"-")</f>
        <v>-</v>
      </c>
      <c r="AH24" s="316" t="str" cm="1">
        <f t="array" ref="AH24">IFERROR(INDEX('Import 2023 Data'!$E$4:$I$113,_xlfn.XMATCH('NEO3'!$AE24,'Import 2023 Data'!$C$4:$C$113),_xlfn.XMATCH('NEO3'!AH$5,'Import 2023 Data'!$E$3:$I$3)),"-")</f>
        <v>-</v>
      </c>
      <c r="AI24" s="316"/>
      <c r="AJ24" s="504" t="str">
        <f t="shared" si="16"/>
        <v>N</v>
      </c>
      <c r="AK24" s="316" t="str" cm="1">
        <f t="array" ref="AK24">IFERROR(INDEX('Import 2023 Data'!$E$4:$I$113,_xlfn.XMATCH('NEO3'!$AE24,'Import 2023 Data'!$C$4:$C$113),_xlfn.XMATCH('NEO3'!AK$5,'Import 2023 Data'!$E$3:$I$3)),"-")</f>
        <v>-</v>
      </c>
      <c r="AL24" s="12" t="str" cm="1">
        <f t="array" ref="AL24">IFERROR(INDEX('Import 2023 Data'!$E$4:$I$113,_xlfn.XMATCH('NEO3'!$AE24,'Import 2023 Data'!$C$4:$C$113),_xlfn.XMATCH('NEO3'!AL$5,'Import 2023 Data'!$E$3:$I$3)),"-")</f>
        <v>-</v>
      </c>
      <c r="AM24" s="12" t="str" cm="1">
        <f t="array" ref="AM24">IFERROR(INDEX('Import 2023 Data'!$E$4:$I$113,_xlfn.XMATCH('NEO3'!$AE24,'Import 2023 Data'!$C$4:$C$113),_xlfn.XMATCH('NEO3'!AM$5,'Import 2023 Data'!$E$3:$I$3)),"-")</f>
        <v>-</v>
      </c>
      <c r="AN24" s="505" t="str">
        <f t="shared" si="17"/>
        <v>-</v>
      </c>
    </row>
    <row r="25" spans="1:40" ht="20.25" hidden="1" customHeight="1" outlineLevel="1">
      <c r="A25" s="12" t="str">
        <f t="shared" si="0"/>
        <v>0_2024_NEO1</v>
      </c>
      <c r="B25" s="12">
        <f>'Raw Data'!D22</f>
        <v>0</v>
      </c>
      <c r="C25" s="626" t="str">
        <f t="shared" si="1"/>
        <v>(Invalid Identifier)</v>
      </c>
      <c r="D25" s="627" t="str">
        <f>_xll.ciqfunctions.udf.CIQ(B25, "IQ_MARKETCAP", $A$1,$A$2)</f>
        <v>(Invalid Identifier)</v>
      </c>
      <c r="E25" s="627" t="str">
        <f>_xll.ciqfunctions.udf.CIQ($B25, "IQ_TEV", $A$1,$A$2)</f>
        <v>(Invalid Identifier)</v>
      </c>
      <c r="F25" s="628" t="str">
        <f t="shared" si="2"/>
        <v>-</v>
      </c>
      <c r="G25" s="628" t="str">
        <f t="shared" si="2"/>
        <v>-</v>
      </c>
      <c r="H25" s="627" t="str">
        <f t="shared" si="3"/>
        <v>-</v>
      </c>
      <c r="I25" s="627" t="str">
        <f t="shared" si="3"/>
        <v>-</v>
      </c>
      <c r="J25" s="359" t="str">
        <f t="shared" si="3"/>
        <v>-</v>
      </c>
      <c r="K25" s="629" t="str">
        <f t="shared" si="4"/>
        <v>-</v>
      </c>
      <c r="L25" s="629" t="str">
        <f t="shared" si="4"/>
        <v>N/A</v>
      </c>
      <c r="M25" s="630" t="str">
        <f t="shared" si="5"/>
        <v>-</v>
      </c>
      <c r="N25" s="631" t="str">
        <f t="shared" si="6"/>
        <v>N/A</v>
      </c>
      <c r="O25" s="359" t="str">
        <f t="shared" si="15"/>
        <v>-</v>
      </c>
      <c r="P25" s="632" t="str">
        <f t="shared" si="15"/>
        <v>-</v>
      </c>
      <c r="Q25" s="359" t="str">
        <f t="shared" si="15"/>
        <v>-</v>
      </c>
      <c r="R25" s="629" t="str">
        <f t="shared" si="7"/>
        <v>-</v>
      </c>
      <c r="S25" s="629" t="str">
        <f t="shared" si="7"/>
        <v>N/A</v>
      </c>
      <c r="T25" s="630" t="str">
        <f t="shared" si="8"/>
        <v>-</v>
      </c>
      <c r="U25" s="631" t="str">
        <f t="shared" si="9"/>
        <v>N/A</v>
      </c>
      <c r="V25" s="359" t="str">
        <f t="shared" si="10"/>
        <v>-</v>
      </c>
      <c r="W25" s="360" t="str">
        <f t="shared" si="10"/>
        <v>-</v>
      </c>
      <c r="X25" s="359" t="str">
        <f t="shared" si="11"/>
        <v>-</v>
      </c>
      <c r="Y25" s="360" t="str">
        <f t="shared" si="11"/>
        <v>-</v>
      </c>
      <c r="Z25" s="285" t="str">
        <f t="shared" si="10"/>
        <v>-</v>
      </c>
      <c r="AA25" s="287" t="str">
        <f t="shared" si="10"/>
        <v>-</v>
      </c>
      <c r="AC25" s="265"/>
      <c r="AD25" s="264"/>
      <c r="AE25" s="316" t="str">
        <f t="shared" si="14"/>
        <v>0_2023_NEO1</v>
      </c>
      <c r="AF25" s="316"/>
      <c r="AG25" s="503" t="str" cm="1">
        <f t="array" ref="AG25">IFERROR(INDEX('Import 2023 Data'!$E$4:$I$113,_xlfn.XMATCH('NEO3'!$AE25,'Import 2023 Data'!$C$4:$C$113),_xlfn.XMATCH('NEO3'!AG$5,'Import 2023 Data'!$E$3:$I$3)),"-")</f>
        <v>-</v>
      </c>
      <c r="AH25" s="316" t="str" cm="1">
        <f t="array" ref="AH25">IFERROR(INDEX('Import 2023 Data'!$E$4:$I$113,_xlfn.XMATCH('NEO3'!$AE25,'Import 2023 Data'!$C$4:$C$113),_xlfn.XMATCH('NEO3'!AH$5,'Import 2023 Data'!$E$3:$I$3)),"-")</f>
        <v>-</v>
      </c>
      <c r="AI25" s="316"/>
      <c r="AJ25" s="504" t="str">
        <f t="shared" si="16"/>
        <v>N</v>
      </c>
      <c r="AK25" s="316" t="str" cm="1">
        <f t="array" ref="AK25">IFERROR(INDEX('Import 2023 Data'!$E$4:$I$113,_xlfn.XMATCH('NEO3'!$AE25,'Import 2023 Data'!$C$4:$C$113),_xlfn.XMATCH('NEO3'!AK$5,'Import 2023 Data'!$E$3:$I$3)),"-")</f>
        <v>-</v>
      </c>
      <c r="AL25" s="12" t="str" cm="1">
        <f t="array" ref="AL25">IFERROR(INDEX('Import 2023 Data'!$E$4:$I$113,_xlfn.XMATCH('NEO3'!$AE25,'Import 2023 Data'!$C$4:$C$113),_xlfn.XMATCH('NEO3'!AL$5,'Import 2023 Data'!$E$3:$I$3)),"-")</f>
        <v>-</v>
      </c>
      <c r="AM25" s="12" t="str" cm="1">
        <f t="array" ref="AM25">IFERROR(INDEX('Import 2023 Data'!$E$4:$I$113,_xlfn.XMATCH('NEO3'!$AE25,'Import 2023 Data'!$C$4:$C$113),_xlfn.XMATCH('NEO3'!AM$5,'Import 2023 Data'!$E$3:$I$3)),"-")</f>
        <v>-</v>
      </c>
      <c r="AN25" s="505" t="str">
        <f t="shared" si="17"/>
        <v>-</v>
      </c>
    </row>
    <row r="26" spans="1:40" ht="20.25" hidden="1" customHeight="1" outlineLevel="1">
      <c r="A26" s="12" t="str">
        <f t="shared" si="0"/>
        <v>0_2024_NEO1</v>
      </c>
      <c r="B26" s="12">
        <f>'Raw Data'!D23</f>
        <v>0</v>
      </c>
      <c r="C26" s="626" t="str">
        <f t="shared" si="1"/>
        <v>(Invalid Identifier)</v>
      </c>
      <c r="D26" s="627" t="str">
        <f>_xll.ciqfunctions.udf.CIQ(B26, "IQ_MARKETCAP", $A$1,$A$2)</f>
        <v>(Invalid Identifier)</v>
      </c>
      <c r="E26" s="627" t="str">
        <f>_xll.ciqfunctions.udf.CIQ($B26, "IQ_TEV", $A$1,$A$2)</f>
        <v>(Invalid Identifier)</v>
      </c>
      <c r="F26" s="628" t="str">
        <f t="shared" si="2"/>
        <v>-</v>
      </c>
      <c r="G26" s="628" t="str">
        <f t="shared" si="2"/>
        <v>-</v>
      </c>
      <c r="H26" s="627" t="str">
        <f t="shared" si="3"/>
        <v>-</v>
      </c>
      <c r="I26" s="627" t="str">
        <f t="shared" si="3"/>
        <v>-</v>
      </c>
      <c r="J26" s="359" t="str">
        <f t="shared" si="3"/>
        <v>-</v>
      </c>
      <c r="K26" s="629" t="str">
        <f t="shared" si="4"/>
        <v>-</v>
      </c>
      <c r="L26" s="629" t="str">
        <f t="shared" si="4"/>
        <v>N/A</v>
      </c>
      <c r="M26" s="630" t="str">
        <f t="shared" si="5"/>
        <v>-</v>
      </c>
      <c r="N26" s="631" t="str">
        <f t="shared" si="6"/>
        <v>N/A</v>
      </c>
      <c r="O26" s="359" t="str">
        <f t="shared" si="15"/>
        <v>-</v>
      </c>
      <c r="P26" s="632" t="str">
        <f t="shared" si="15"/>
        <v>-</v>
      </c>
      <c r="Q26" s="359" t="str">
        <f t="shared" si="15"/>
        <v>-</v>
      </c>
      <c r="R26" s="629" t="str">
        <f t="shared" si="7"/>
        <v>-</v>
      </c>
      <c r="S26" s="629" t="str">
        <f t="shared" si="7"/>
        <v>N/A</v>
      </c>
      <c r="T26" s="630" t="str">
        <f t="shared" si="8"/>
        <v>-</v>
      </c>
      <c r="U26" s="631" t="str">
        <f t="shared" si="9"/>
        <v>N/A</v>
      </c>
      <c r="V26" s="359" t="str">
        <f t="shared" si="10"/>
        <v>-</v>
      </c>
      <c r="W26" s="360" t="str">
        <f t="shared" si="10"/>
        <v>-</v>
      </c>
      <c r="X26" s="359" t="str">
        <f t="shared" si="11"/>
        <v>-</v>
      </c>
      <c r="Y26" s="360" t="str">
        <f t="shared" si="11"/>
        <v>-</v>
      </c>
      <c r="Z26" s="285" t="str">
        <f t="shared" si="10"/>
        <v>-</v>
      </c>
      <c r="AA26" s="287" t="str">
        <f t="shared" si="10"/>
        <v>-</v>
      </c>
      <c r="AC26" s="265"/>
      <c r="AD26" s="264"/>
      <c r="AE26" s="316" t="str">
        <f t="shared" si="14"/>
        <v>0_2023_NEO1</v>
      </c>
      <c r="AF26" s="316"/>
      <c r="AG26" s="503" t="str" cm="1">
        <f t="array" ref="AG26">IFERROR(INDEX('Import 2023 Data'!$E$4:$I$113,_xlfn.XMATCH('NEO3'!$AE26,'Import 2023 Data'!$C$4:$C$113),_xlfn.XMATCH('NEO3'!AG$5,'Import 2023 Data'!$E$3:$I$3)),"-")</f>
        <v>-</v>
      </c>
      <c r="AH26" s="316" t="str" cm="1">
        <f t="array" ref="AH26">IFERROR(INDEX('Import 2023 Data'!$E$4:$I$113,_xlfn.XMATCH('NEO3'!$AE26,'Import 2023 Data'!$C$4:$C$113),_xlfn.XMATCH('NEO3'!AH$5,'Import 2023 Data'!$E$3:$I$3)),"-")</f>
        <v>-</v>
      </c>
      <c r="AI26" s="316"/>
      <c r="AJ26" s="504" t="str">
        <f t="shared" si="16"/>
        <v>N</v>
      </c>
      <c r="AK26" s="316" t="str" cm="1">
        <f t="array" ref="AK26">IFERROR(INDEX('Import 2023 Data'!$E$4:$I$113,_xlfn.XMATCH('NEO3'!$AE26,'Import 2023 Data'!$C$4:$C$113),_xlfn.XMATCH('NEO3'!AK$5,'Import 2023 Data'!$E$3:$I$3)),"-")</f>
        <v>-</v>
      </c>
      <c r="AL26" s="12" t="str" cm="1">
        <f t="array" ref="AL26">IFERROR(INDEX('Import 2023 Data'!$E$4:$I$113,_xlfn.XMATCH('NEO3'!$AE26,'Import 2023 Data'!$C$4:$C$113),_xlfn.XMATCH('NEO3'!AL$5,'Import 2023 Data'!$E$3:$I$3)),"-")</f>
        <v>-</v>
      </c>
      <c r="AM26" s="12" t="str" cm="1">
        <f t="array" ref="AM26">IFERROR(INDEX('Import 2023 Data'!$E$4:$I$113,_xlfn.XMATCH('NEO3'!$AE26,'Import 2023 Data'!$C$4:$C$113),_xlfn.XMATCH('NEO3'!AM$5,'Import 2023 Data'!$E$3:$I$3)),"-")</f>
        <v>-</v>
      </c>
      <c r="AN26" s="505" t="str">
        <f t="shared" si="17"/>
        <v>-</v>
      </c>
    </row>
    <row r="27" spans="1:40" ht="20.25" hidden="1" customHeight="1" outlineLevel="1">
      <c r="A27" s="12" t="str">
        <f t="shared" si="0"/>
        <v>0_2024_NEO1</v>
      </c>
      <c r="B27" s="12">
        <f>'Raw Data'!D24</f>
        <v>0</v>
      </c>
      <c r="C27" s="626" t="str">
        <f t="shared" si="1"/>
        <v>(Invalid Identifier)</v>
      </c>
      <c r="D27" s="627" t="str">
        <f>_xll.ciqfunctions.udf.CIQ(B27, "IQ_MARKETCAP", $A$1,$A$2)</f>
        <v>(Invalid Identifier)</v>
      </c>
      <c r="E27" s="627" t="str">
        <f>_xll.ciqfunctions.udf.CIQ($B27, "IQ_TEV", $A$1,$A$2)</f>
        <v>(Invalid Identifier)</v>
      </c>
      <c r="F27" s="628" t="str">
        <f t="shared" si="2"/>
        <v>-</v>
      </c>
      <c r="G27" s="628" t="str">
        <f t="shared" si="2"/>
        <v>-</v>
      </c>
      <c r="H27" s="627" t="str">
        <f t="shared" si="3"/>
        <v>-</v>
      </c>
      <c r="I27" s="627" t="str">
        <f t="shared" si="3"/>
        <v>-</v>
      </c>
      <c r="J27" s="359" t="str">
        <f t="shared" si="3"/>
        <v>-</v>
      </c>
      <c r="K27" s="629" t="str">
        <f t="shared" si="4"/>
        <v>-</v>
      </c>
      <c r="L27" s="629" t="str">
        <f t="shared" si="4"/>
        <v>N/A</v>
      </c>
      <c r="M27" s="630" t="str">
        <f t="shared" si="5"/>
        <v>-</v>
      </c>
      <c r="N27" s="631" t="str">
        <f t="shared" si="6"/>
        <v>N/A</v>
      </c>
      <c r="O27" s="359" t="str">
        <f t="shared" si="15"/>
        <v>-</v>
      </c>
      <c r="P27" s="632" t="str">
        <f t="shared" si="15"/>
        <v>-</v>
      </c>
      <c r="Q27" s="359" t="str">
        <f t="shared" si="15"/>
        <v>-</v>
      </c>
      <c r="R27" s="629" t="str">
        <f t="shared" si="7"/>
        <v>-</v>
      </c>
      <c r="S27" s="629" t="str">
        <f t="shared" si="7"/>
        <v>N/A</v>
      </c>
      <c r="T27" s="630" t="str">
        <f t="shared" si="8"/>
        <v>-</v>
      </c>
      <c r="U27" s="631" t="str">
        <f t="shared" si="9"/>
        <v>N/A</v>
      </c>
      <c r="V27" s="359" t="str">
        <f t="shared" si="10"/>
        <v>-</v>
      </c>
      <c r="W27" s="360" t="str">
        <f t="shared" si="10"/>
        <v>-</v>
      </c>
      <c r="X27" s="359" t="str">
        <f t="shared" si="11"/>
        <v>-</v>
      </c>
      <c r="Y27" s="360" t="str">
        <f t="shared" si="11"/>
        <v>-</v>
      </c>
      <c r="Z27" s="285" t="str">
        <f t="shared" si="10"/>
        <v>-</v>
      </c>
      <c r="AA27" s="287" t="str">
        <f t="shared" si="10"/>
        <v>-</v>
      </c>
      <c r="AC27" s="265"/>
      <c r="AD27" s="264"/>
      <c r="AE27" s="316" t="str">
        <f t="shared" si="14"/>
        <v>0_2023_NEO1</v>
      </c>
      <c r="AF27" s="316"/>
      <c r="AG27" s="494" t="str" cm="1">
        <f t="array" ref="AG27">IFERROR(INDEX('Import 2023 Data'!$E$4:$I$113,_xlfn.XMATCH('NEO3'!$AE27,'Import 2023 Data'!$C$4:$C$113),_xlfn.XMATCH('NEO3'!AG$5,'Import 2023 Data'!$E$3:$I$3)),"-")</f>
        <v>-</v>
      </c>
      <c r="AH27" s="506" t="str" cm="1">
        <f t="array" ref="AH27">IFERROR(INDEX('Import 2023 Data'!$E$4:$I$113,_xlfn.XMATCH('NEO3'!$AE27,'Import 2023 Data'!$C$4:$C$113),_xlfn.XMATCH('NEO3'!AH$5,'Import 2023 Data'!$E$3:$I$3)),"-")</f>
        <v>-</v>
      </c>
      <c r="AI27" s="506"/>
      <c r="AJ27" s="507" t="str">
        <f t="shared" si="16"/>
        <v>N</v>
      </c>
      <c r="AK27" s="506" t="str" cm="1">
        <f t="array" ref="AK27">IFERROR(INDEX('Import 2023 Data'!$E$4:$I$113,_xlfn.XMATCH('NEO3'!$AE27,'Import 2023 Data'!$C$4:$C$113),_xlfn.XMATCH('NEO3'!AK$5,'Import 2023 Data'!$E$3:$I$3)),"-")</f>
        <v>-</v>
      </c>
      <c r="AL27" s="508" t="str" cm="1">
        <f t="array" ref="AL27">IFERROR(INDEX('Import 2023 Data'!$E$4:$I$113,_xlfn.XMATCH('NEO3'!$AE27,'Import 2023 Data'!$C$4:$C$113),_xlfn.XMATCH('NEO3'!AL$5,'Import 2023 Data'!$E$3:$I$3)),"-")</f>
        <v>-</v>
      </c>
      <c r="AM27" s="508" t="str" cm="1">
        <f t="array" ref="AM27">IFERROR(INDEX('Import 2023 Data'!$E$4:$I$113,_xlfn.XMATCH('NEO3'!$AE27,'Import 2023 Data'!$C$4:$C$113),_xlfn.XMATCH('NEO3'!AM$5,'Import 2023 Data'!$E$3:$I$3)),"-")</f>
        <v>-</v>
      </c>
      <c r="AN27" s="509" t="str">
        <f t="shared" si="17"/>
        <v>-</v>
      </c>
    </row>
    <row r="28" spans="1:40" ht="20.25" customHeight="1" collapsed="1">
      <c r="C28" s="613" t="str">
        <f>$C$3&amp;" Summary Statistics"</f>
        <v>2024 Summary Statistics</v>
      </c>
      <c r="D28" s="614"/>
      <c r="E28" s="614"/>
      <c r="F28" s="614"/>
      <c r="G28" s="614"/>
      <c r="H28" s="614"/>
      <c r="I28" s="614"/>
      <c r="J28" s="614"/>
      <c r="K28" s="615"/>
      <c r="L28" s="615"/>
      <c r="M28" s="614"/>
      <c r="N28" s="615"/>
      <c r="O28" s="614"/>
      <c r="P28" s="614"/>
      <c r="Q28" s="614"/>
      <c r="R28" s="615"/>
      <c r="S28" s="615"/>
      <c r="T28" s="614"/>
      <c r="U28" s="615"/>
      <c r="V28" s="614"/>
      <c r="W28" s="616"/>
      <c r="X28" s="288"/>
      <c r="Y28" s="289"/>
      <c r="Z28" s="288"/>
      <c r="AA28" s="289"/>
      <c r="AC28" s="260"/>
      <c r="AD28" s="261"/>
      <c r="AE28" s="316"/>
      <c r="AF28" s="316"/>
      <c r="AG28" s="316"/>
      <c r="AH28" s="316"/>
      <c r="AI28" s="316"/>
      <c r="AJ28" s="316"/>
      <c r="AK28" s="316"/>
    </row>
    <row r="29" spans="1:40" s="17" customFormat="1" ht="20.25" customHeight="1">
      <c r="B29" s="17">
        <v>0.75</v>
      </c>
      <c r="C29" s="633" t="s">
        <v>9</v>
      </c>
      <c r="D29" s="634">
        <f t="shared" ref="D29:E31" si="18">PERCENTILE(D$8:D$27,$B29)</f>
        <v>10464.1094025</v>
      </c>
      <c r="E29" s="634">
        <f t="shared" si="18"/>
        <v>13103.839205</v>
      </c>
      <c r="F29" s="635"/>
      <c r="G29" s="635"/>
      <c r="H29" s="635"/>
      <c r="I29" s="634">
        <f t="shared" ref="I29:X31" si="19">PERCENTILE(I$8:I$27,$B29)</f>
        <v>774.90344469749994</v>
      </c>
      <c r="J29" s="636">
        <f t="shared" si="19"/>
        <v>705.11585777250002</v>
      </c>
      <c r="K29" s="637">
        <f t="shared" si="19"/>
        <v>1.2727196946632109</v>
      </c>
      <c r="L29" s="637">
        <f t="shared" si="19"/>
        <v>0.96108143144955238</v>
      </c>
      <c r="M29" s="638">
        <f t="shared" si="19"/>
        <v>616.5181307580001</v>
      </c>
      <c r="N29" s="568">
        <f t="shared" si="19"/>
        <v>0.88749999999999996</v>
      </c>
      <c r="O29" s="636">
        <f t="shared" si="19"/>
        <v>1410.0466537500001</v>
      </c>
      <c r="P29" s="639">
        <f t="shared" si="19"/>
        <v>1394.8262004554999</v>
      </c>
      <c r="Q29" s="636">
        <f t="shared" si="19"/>
        <v>1670.9747280874999</v>
      </c>
      <c r="R29" s="637">
        <f t="shared" si="19"/>
        <v>2.4716666666666667</v>
      </c>
      <c r="S29" s="637">
        <f t="shared" si="19"/>
        <v>1.9134135715162452</v>
      </c>
      <c r="T29" s="638">
        <f t="shared" si="19"/>
        <v>1485.819883935</v>
      </c>
      <c r="U29" s="568">
        <f t="shared" si="19"/>
        <v>2.1475</v>
      </c>
      <c r="V29" s="636">
        <f t="shared" si="19"/>
        <v>2913.6733558500005</v>
      </c>
      <c r="W29" s="639">
        <f t="shared" si="19"/>
        <v>2818.1396227700002</v>
      </c>
      <c r="X29" s="263">
        <f t="shared" si="19"/>
        <v>359.6671501875</v>
      </c>
      <c r="Y29" s="290">
        <f t="shared" ref="X29:Z31" si="20">PERCENTILE(Y$8:Y$27,$B29)</f>
        <v>73.817000000000007</v>
      </c>
      <c r="Z29" s="263">
        <f t="shared" si="20"/>
        <v>2923.4419828650002</v>
      </c>
      <c r="AA29" s="290">
        <f>AA68</f>
        <v>2913.9194012500002</v>
      </c>
      <c r="AB29" s="364"/>
      <c r="AC29" s="265">
        <f t="shared" ref="AC29:AD31" si="21">PERCENTILE(AC$8:AC$27,$B29)</f>
        <v>0.52900326797385622</v>
      </c>
      <c r="AD29" s="264">
        <f t="shared" si="21"/>
        <v>0.52660883463436248</v>
      </c>
      <c r="AE29" s="316"/>
      <c r="AF29" s="316"/>
      <c r="AG29" s="316"/>
      <c r="AH29" s="316"/>
      <c r="AI29" s="316"/>
      <c r="AJ29" s="316"/>
      <c r="AK29" s="316"/>
      <c r="AL29" s="510" t="e">
        <f t="shared" ref="AL29:AM32" si="22">PERCENTILE(AL$8:AL$27,$B29)</f>
        <v>#NUM!</v>
      </c>
      <c r="AM29" s="511" t="e">
        <f t="shared" si="22"/>
        <v>#NUM!</v>
      </c>
    </row>
    <row r="30" spans="1:40" s="17" customFormat="1" ht="20.25" customHeight="1">
      <c r="B30" s="17">
        <v>0.5</v>
      </c>
      <c r="C30" s="640" t="s">
        <v>8</v>
      </c>
      <c r="D30" s="641">
        <f t="shared" si="18"/>
        <v>5657.4490150000001</v>
      </c>
      <c r="E30" s="641">
        <f t="shared" si="18"/>
        <v>6231.8004299999993</v>
      </c>
      <c r="F30" s="642"/>
      <c r="G30" s="642"/>
      <c r="H30" s="642"/>
      <c r="I30" s="641">
        <f t="shared" si="19"/>
        <v>650.41537500000004</v>
      </c>
      <c r="J30" s="643">
        <f t="shared" si="19"/>
        <v>608.39800000000002</v>
      </c>
      <c r="K30" s="644">
        <f t="shared" si="19"/>
        <v>0.82581139309045204</v>
      </c>
      <c r="L30" s="644">
        <f t="shared" si="19"/>
        <v>0.82604595517726598</v>
      </c>
      <c r="M30" s="645">
        <f t="shared" si="19"/>
        <v>563.75</v>
      </c>
      <c r="N30" s="646">
        <f t="shared" si="19"/>
        <v>0.8</v>
      </c>
      <c r="O30" s="643">
        <f t="shared" si="19"/>
        <v>1267.92690741</v>
      </c>
      <c r="P30" s="647">
        <f t="shared" si="19"/>
        <v>1176.25</v>
      </c>
      <c r="Q30" s="643">
        <f t="shared" si="19"/>
        <v>1216.55615891</v>
      </c>
      <c r="R30" s="644">
        <f t="shared" si="19"/>
        <v>1.7750000000000001</v>
      </c>
      <c r="S30" s="644">
        <f t="shared" si="19"/>
        <v>1.6306950501101058</v>
      </c>
      <c r="T30" s="645">
        <f t="shared" si="19"/>
        <v>1156.5383831943163</v>
      </c>
      <c r="U30" s="646">
        <f t="shared" si="19"/>
        <v>1.7749999999999999</v>
      </c>
      <c r="V30" s="643">
        <f t="shared" si="19"/>
        <v>2414.13342302</v>
      </c>
      <c r="W30" s="647">
        <f t="shared" si="19"/>
        <v>2492.1242841053163</v>
      </c>
      <c r="X30" s="267">
        <f t="shared" si="20"/>
        <v>135.862453905</v>
      </c>
      <c r="Y30" s="291">
        <f t="shared" si="20"/>
        <v>39.064916869999998</v>
      </c>
      <c r="Z30" s="267">
        <f t="shared" si="20"/>
        <v>2609.0521523649995</v>
      </c>
      <c r="AA30" s="291">
        <f>AA69</f>
        <v>2665.499137652866</v>
      </c>
      <c r="AB30" s="364"/>
      <c r="AC30" s="269">
        <f t="shared" si="21"/>
        <v>0.50062656641604009</v>
      </c>
      <c r="AD30" s="268">
        <f t="shared" si="21"/>
        <v>0.49937343358395991</v>
      </c>
      <c r="AE30" s="316"/>
      <c r="AF30" s="316"/>
      <c r="AG30" s="316"/>
      <c r="AH30" s="316"/>
      <c r="AI30" s="316"/>
      <c r="AJ30" s="316"/>
      <c r="AK30" s="316"/>
      <c r="AL30" s="267" t="e">
        <f t="shared" si="22"/>
        <v>#NUM!</v>
      </c>
      <c r="AM30" s="291" t="e">
        <f t="shared" si="22"/>
        <v>#NUM!</v>
      </c>
    </row>
    <row r="31" spans="1:40" s="17" customFormat="1" ht="20.25" customHeight="1">
      <c r="B31" s="17">
        <v>0.25</v>
      </c>
      <c r="C31" s="633" t="s">
        <v>7</v>
      </c>
      <c r="D31" s="634">
        <f t="shared" si="18"/>
        <v>4590.7197175000001</v>
      </c>
      <c r="E31" s="634">
        <f t="shared" si="18"/>
        <v>4910.1473049999995</v>
      </c>
      <c r="F31" s="635"/>
      <c r="G31" s="635"/>
      <c r="H31" s="635"/>
      <c r="I31" s="634">
        <f t="shared" si="19"/>
        <v>581.33000000000004</v>
      </c>
      <c r="J31" s="636">
        <f t="shared" si="19"/>
        <v>441.25049999999999</v>
      </c>
      <c r="K31" s="637">
        <f t="shared" si="19"/>
        <v>0.69587499999999991</v>
      </c>
      <c r="L31" s="637">
        <f t="shared" si="19"/>
        <v>0.73460552225614695</v>
      </c>
      <c r="M31" s="638">
        <f t="shared" si="19"/>
        <v>482.06700000000001</v>
      </c>
      <c r="N31" s="568">
        <f t="shared" si="19"/>
        <v>0.76249999999999996</v>
      </c>
      <c r="O31" s="636">
        <f t="shared" si="19"/>
        <v>1023.3415</v>
      </c>
      <c r="P31" s="639">
        <f t="shared" si="19"/>
        <v>1094.807</v>
      </c>
      <c r="Q31" s="636">
        <f t="shared" si="19"/>
        <v>1007.1875000000002</v>
      </c>
      <c r="R31" s="637">
        <f t="shared" si="19"/>
        <v>1.654739881306714</v>
      </c>
      <c r="S31" s="637">
        <f t="shared" si="19"/>
        <v>1.5223383597989881</v>
      </c>
      <c r="T31" s="638">
        <f t="shared" si="19"/>
        <v>1001.0276018253611</v>
      </c>
      <c r="U31" s="568">
        <f t="shared" si="19"/>
        <v>1.7</v>
      </c>
      <c r="V31" s="636">
        <f t="shared" si="19"/>
        <v>2269.1040000000003</v>
      </c>
      <c r="W31" s="639">
        <f t="shared" si="19"/>
        <v>2069.8784999999998</v>
      </c>
      <c r="X31" s="263">
        <f t="shared" si="20"/>
        <v>35.677019000000001</v>
      </c>
      <c r="Y31" s="290">
        <f t="shared" si="20"/>
        <v>8.8943346099999996</v>
      </c>
      <c r="Z31" s="263">
        <f t="shared" si="20"/>
        <v>2432.92926476</v>
      </c>
      <c r="AA31" s="290">
        <f>AA70</f>
        <v>2320.7728311700002</v>
      </c>
      <c r="AC31" s="265">
        <f t="shared" si="21"/>
        <v>0.47339116536563752</v>
      </c>
      <c r="AD31" s="264">
        <f t="shared" si="21"/>
        <v>0.47099673202614378</v>
      </c>
      <c r="AE31" s="316"/>
      <c r="AF31" s="316"/>
      <c r="AG31" s="316"/>
      <c r="AH31" s="316"/>
      <c r="AI31" s="316"/>
      <c r="AJ31" s="316"/>
      <c r="AK31" s="316"/>
      <c r="AL31" s="263" t="e">
        <f t="shared" si="22"/>
        <v>#NUM!</v>
      </c>
      <c r="AM31" s="290" t="e">
        <f t="shared" si="22"/>
        <v>#NUM!</v>
      </c>
    </row>
    <row r="32" spans="1:40" s="17" customFormat="1" ht="20.25" customHeight="1">
      <c r="A32" s="12"/>
      <c r="B32" s="12"/>
      <c r="C32" s="648" t="s">
        <v>6</v>
      </c>
      <c r="D32" s="649">
        <f>AVERAGE(D8:D27)</f>
        <v>8142.9421314285719</v>
      </c>
      <c r="E32" s="649">
        <f>AVERAGE(E8:E27)</f>
        <v>8937.7154271428553</v>
      </c>
      <c r="F32" s="648"/>
      <c r="G32" s="648"/>
      <c r="H32" s="648"/>
      <c r="I32" s="649">
        <f t="shared" ref="I32:N32" si="23">AVERAGE(I8:I27)</f>
        <v>669.67558053071423</v>
      </c>
      <c r="J32" s="650">
        <f t="shared" si="23"/>
        <v>638.20059167714294</v>
      </c>
      <c r="K32" s="651">
        <f t="shared" si="23"/>
        <v>0.95044500958132438</v>
      </c>
      <c r="L32" s="651">
        <f t="shared" si="23"/>
        <v>0.94762561780309518</v>
      </c>
      <c r="M32" s="652">
        <f t="shared" si="23"/>
        <v>579.22571947971426</v>
      </c>
      <c r="N32" s="653">
        <f t="shared" si="23"/>
        <v>0.85714285714285732</v>
      </c>
      <c r="O32" s="650">
        <f>AVERAGE(O8:O27)</f>
        <v>1307.8761722078573</v>
      </c>
      <c r="P32" s="654">
        <f t="shared" ref="P32:W32" si="24">AVERAGE(P8:P27)</f>
        <v>1248.9013000104289</v>
      </c>
      <c r="Q32" s="650">
        <f t="shared" si="24"/>
        <v>1334.7223696271428</v>
      </c>
      <c r="R32" s="651">
        <f t="shared" si="24"/>
        <v>1.9964970067918737</v>
      </c>
      <c r="S32" s="651">
        <f t="shared" si="24"/>
        <v>1.7456429719781521</v>
      </c>
      <c r="T32" s="652">
        <f t="shared" si="24"/>
        <v>1283.9179831496967</v>
      </c>
      <c r="U32" s="653">
        <f t="shared" si="24"/>
        <v>1.9123297934157777</v>
      </c>
      <c r="V32" s="650">
        <f t="shared" si="24"/>
        <v>2642.5985418350001</v>
      </c>
      <c r="W32" s="654">
        <f t="shared" si="24"/>
        <v>2532.8192831601259</v>
      </c>
      <c r="X32" s="271">
        <f>AVERAGE(X8:X27)</f>
        <v>219.29620291875003</v>
      </c>
      <c r="Y32" s="273">
        <f>AVERAGE(Y8:Y27)</f>
        <v>48.693927836363628</v>
      </c>
      <c r="Z32" s="271">
        <f>AVERAGE(Z8:Z27)</f>
        <v>2806.1701725171429</v>
      </c>
      <c r="AA32" s="273">
        <f>AA71</f>
        <v>2783.6188791651684</v>
      </c>
      <c r="AC32" s="274">
        <f>AVERAGE(AC8:AC27)</f>
        <v>0.49566106626133211</v>
      </c>
      <c r="AD32" s="272">
        <f>AVERAGE(AD8:AD27)</f>
        <v>0.50433893373866778</v>
      </c>
      <c r="AE32" s="316"/>
      <c r="AF32" s="316"/>
      <c r="AG32" s="316"/>
      <c r="AH32" s="316"/>
      <c r="AI32" s="316"/>
      <c r="AJ32" s="316"/>
      <c r="AK32" s="316"/>
      <c r="AL32" s="271" t="e">
        <f t="shared" si="22"/>
        <v>#NUM!</v>
      </c>
      <c r="AM32" s="273" t="e">
        <f t="shared" si="22"/>
        <v>#NUM!</v>
      </c>
    </row>
    <row r="33" spans="1:39" s="17" customFormat="1" ht="20.25" customHeight="1" outlineLevel="1">
      <c r="A33" s="12"/>
      <c r="B33" s="12"/>
      <c r="C33" s="613" t="str">
        <f>$C$3+1&amp;" Estimated Summary Statistics "</f>
        <v xml:space="preserve">2025 Estimated Summary Statistics </v>
      </c>
      <c r="D33" s="614"/>
      <c r="E33" s="614"/>
      <c r="F33" s="614"/>
      <c r="G33" s="614"/>
      <c r="H33" s="614"/>
      <c r="I33" s="614"/>
      <c r="J33" s="614"/>
      <c r="K33" s="615"/>
      <c r="L33" s="615"/>
      <c r="M33" s="614"/>
      <c r="N33" s="615"/>
      <c r="O33" s="614"/>
      <c r="P33" s="614"/>
      <c r="Q33" s="614"/>
      <c r="R33" s="615"/>
      <c r="S33" s="615"/>
      <c r="T33" s="614"/>
      <c r="U33" s="615"/>
      <c r="V33" s="614"/>
      <c r="W33" s="616"/>
      <c r="X33" s="788"/>
      <c r="Y33" s="788"/>
      <c r="Z33" s="788"/>
      <c r="AA33" s="788"/>
      <c r="AC33" s="517"/>
      <c r="AD33" s="517"/>
      <c r="AE33" s="316"/>
      <c r="AF33" s="316"/>
      <c r="AG33" s="316"/>
      <c r="AH33" s="316"/>
      <c r="AI33" s="316"/>
      <c r="AJ33" s="316"/>
      <c r="AK33" s="316"/>
      <c r="AL33" s="516"/>
      <c r="AM33" s="516"/>
    </row>
    <row r="34" spans="1:39" s="17" customFormat="1" ht="20.25" customHeight="1" outlineLevel="1">
      <c r="A34" s="12"/>
      <c r="B34" s="17">
        <v>0.75</v>
      </c>
      <c r="C34" s="633" t="s">
        <v>9</v>
      </c>
      <c r="D34" s="634">
        <f t="shared" ref="D34:E36" si="25">PERCENTILE(D$8:D$27,$B34)</f>
        <v>10464.1094025</v>
      </c>
      <c r="E34" s="634">
        <f t="shared" si="25"/>
        <v>13103.839205</v>
      </c>
      <c r="F34" s="635"/>
      <c r="G34" s="635"/>
      <c r="H34" s="635"/>
      <c r="I34" s="634">
        <f>I68</f>
        <v>802.47171249999997</v>
      </c>
      <c r="J34" s="636">
        <f>J68</f>
        <v>0</v>
      </c>
      <c r="K34" s="637">
        <f>K68</f>
        <v>0</v>
      </c>
      <c r="L34" s="637">
        <f>L68</f>
        <v>0</v>
      </c>
      <c r="M34" s="638">
        <f>M68</f>
        <v>638.58055875000002</v>
      </c>
      <c r="N34" s="568">
        <f t="shared" ref="N34:O36" si="26">PERCENTILE(N$8:N$27,$B34)</f>
        <v>0.88749999999999996</v>
      </c>
      <c r="O34" s="636">
        <f t="shared" si="26"/>
        <v>1410.0466537500001</v>
      </c>
      <c r="P34" s="634">
        <f>P68</f>
        <v>1444.4490824999998</v>
      </c>
      <c r="Q34" s="636">
        <f>Q68</f>
        <v>0</v>
      </c>
      <c r="R34" s="637">
        <f>R68</f>
        <v>0</v>
      </c>
      <c r="S34" s="637">
        <f>S68</f>
        <v>0</v>
      </c>
      <c r="T34" s="638">
        <f>T68</f>
        <v>1530.3944804530502</v>
      </c>
      <c r="U34" s="568">
        <f t="shared" ref="U34:V36" si="27">PERCENTILE(U$8:U$27,$B34)</f>
        <v>2.1475</v>
      </c>
      <c r="V34" s="636">
        <f t="shared" si="27"/>
        <v>2913.6733558500005</v>
      </c>
      <c r="W34" s="639">
        <f>W68</f>
        <v>2902.6838114531001</v>
      </c>
      <c r="X34" s="984">
        <f>X29</f>
        <v>359.6671501875</v>
      </c>
      <c r="Y34" s="988">
        <f>Y29</f>
        <v>73.817000000000007</v>
      </c>
      <c r="Z34" s="799" t="s">
        <v>78</v>
      </c>
      <c r="AA34" s="802">
        <f>AA68</f>
        <v>2913.9194012500002</v>
      </c>
      <c r="AC34" s="316" t="s">
        <v>719</v>
      </c>
      <c r="AD34" s="517"/>
      <c r="AE34" s="316"/>
      <c r="AF34" s="316"/>
      <c r="AG34" s="316"/>
      <c r="AH34" s="316"/>
      <c r="AI34" s="316"/>
      <c r="AJ34" s="316"/>
      <c r="AK34" s="316"/>
      <c r="AL34" s="516"/>
      <c r="AM34" s="516"/>
    </row>
    <row r="35" spans="1:39" s="17" customFormat="1" ht="20.25" customHeight="1" outlineLevel="1">
      <c r="A35" s="12"/>
      <c r="B35" s="17">
        <v>0.5</v>
      </c>
      <c r="C35" s="640" t="s">
        <v>8</v>
      </c>
      <c r="D35" s="641">
        <f t="shared" si="25"/>
        <v>5657.4490150000001</v>
      </c>
      <c r="E35" s="641">
        <f t="shared" si="25"/>
        <v>6231.8004299999993</v>
      </c>
      <c r="F35" s="642"/>
      <c r="G35" s="642"/>
      <c r="H35" s="642"/>
      <c r="I35" s="641">
        <f t="shared" ref="I35:M37" si="28">I69</f>
        <v>669.92783624999993</v>
      </c>
      <c r="J35" s="643">
        <f t="shared" si="28"/>
        <v>0</v>
      </c>
      <c r="K35" s="644">
        <f t="shared" si="28"/>
        <v>0</v>
      </c>
      <c r="L35" s="644">
        <f t="shared" si="28"/>
        <v>0</v>
      </c>
      <c r="M35" s="645">
        <f t="shared" si="28"/>
        <v>580.66249999999991</v>
      </c>
      <c r="N35" s="646">
        <f t="shared" si="26"/>
        <v>0.8</v>
      </c>
      <c r="O35" s="643">
        <f t="shared" si="26"/>
        <v>1267.92690741</v>
      </c>
      <c r="P35" s="641">
        <f t="shared" ref="P35:T37" si="29">P69</f>
        <v>1211.5374999999999</v>
      </c>
      <c r="Q35" s="643">
        <f t="shared" si="29"/>
        <v>0</v>
      </c>
      <c r="R35" s="644">
        <f t="shared" si="29"/>
        <v>0</v>
      </c>
      <c r="S35" s="644">
        <f t="shared" si="29"/>
        <v>0</v>
      </c>
      <c r="T35" s="645">
        <f t="shared" si="29"/>
        <v>1191.6031375</v>
      </c>
      <c r="U35" s="646">
        <f t="shared" si="27"/>
        <v>1.7749999999999999</v>
      </c>
      <c r="V35" s="643">
        <f t="shared" si="27"/>
        <v>2414.13342302</v>
      </c>
      <c r="W35" s="647">
        <f>W69</f>
        <v>2572.7873024999999</v>
      </c>
      <c r="X35" s="992">
        <f t="shared" ref="X35:Y37" si="30">X30</f>
        <v>135.862453905</v>
      </c>
      <c r="Y35" s="996">
        <f t="shared" si="30"/>
        <v>39.064916869999998</v>
      </c>
      <c r="Z35" s="809" t="s">
        <v>78</v>
      </c>
      <c r="AA35" s="813">
        <f>AA69</f>
        <v>2665.499137652866</v>
      </c>
      <c r="AC35" s="601">
        <f>W34-W35</f>
        <v>329.89650895310024</v>
      </c>
      <c r="AD35" s="517"/>
      <c r="AE35" s="316"/>
      <c r="AF35" s="316"/>
      <c r="AG35" s="316"/>
      <c r="AH35" s="316"/>
      <c r="AI35" s="316"/>
      <c r="AJ35" s="316"/>
      <c r="AK35" s="316"/>
      <c r="AL35" s="516"/>
      <c r="AM35" s="516"/>
    </row>
    <row r="36" spans="1:39" s="17" customFormat="1" ht="20.25" customHeight="1" outlineLevel="1">
      <c r="A36" s="12"/>
      <c r="B36" s="17">
        <v>0.25</v>
      </c>
      <c r="C36" s="633" t="s">
        <v>7</v>
      </c>
      <c r="D36" s="634">
        <f t="shared" si="25"/>
        <v>4590.7197175000001</v>
      </c>
      <c r="E36" s="634">
        <f t="shared" si="25"/>
        <v>4910.1473049999995</v>
      </c>
      <c r="F36" s="635"/>
      <c r="G36" s="635"/>
      <c r="H36" s="635"/>
      <c r="I36" s="634">
        <f t="shared" si="28"/>
        <v>598.76990000000001</v>
      </c>
      <c r="J36" s="636">
        <f t="shared" si="28"/>
        <v>0</v>
      </c>
      <c r="K36" s="637">
        <f t="shared" si="28"/>
        <v>0</v>
      </c>
      <c r="L36" s="637">
        <f t="shared" si="28"/>
        <v>0</v>
      </c>
      <c r="M36" s="638">
        <f t="shared" si="28"/>
        <v>496.52901000000003</v>
      </c>
      <c r="N36" s="568">
        <f t="shared" si="26"/>
        <v>0.76249999999999996</v>
      </c>
      <c r="O36" s="636">
        <f t="shared" si="26"/>
        <v>1023.3415</v>
      </c>
      <c r="P36" s="634">
        <f t="shared" si="29"/>
        <v>1127.65121</v>
      </c>
      <c r="Q36" s="636">
        <f t="shared" si="29"/>
        <v>0</v>
      </c>
      <c r="R36" s="637">
        <f t="shared" si="29"/>
        <v>0</v>
      </c>
      <c r="S36" s="637">
        <f t="shared" si="29"/>
        <v>0</v>
      </c>
      <c r="T36" s="638">
        <f t="shared" si="29"/>
        <v>1031.058429880122</v>
      </c>
      <c r="U36" s="568">
        <f t="shared" si="27"/>
        <v>1.7</v>
      </c>
      <c r="V36" s="636">
        <f t="shared" si="27"/>
        <v>2269.1040000000003</v>
      </c>
      <c r="W36" s="639">
        <f>W70</f>
        <v>2131.9748550000004</v>
      </c>
      <c r="X36" s="984">
        <f t="shared" si="30"/>
        <v>35.677019000000001</v>
      </c>
      <c r="Y36" s="988">
        <f t="shared" si="30"/>
        <v>8.8943346099999996</v>
      </c>
      <c r="Z36" s="799" t="s">
        <v>78</v>
      </c>
      <c r="AA36" s="802">
        <f>AA70</f>
        <v>2320.7728311700002</v>
      </c>
      <c r="AC36" s="517"/>
      <c r="AD36" s="517"/>
      <c r="AE36" s="316"/>
      <c r="AF36" s="316"/>
      <c r="AG36" s="316"/>
      <c r="AH36" s="316"/>
      <c r="AI36" s="316"/>
      <c r="AJ36" s="316"/>
      <c r="AK36" s="316"/>
      <c r="AL36" s="516"/>
      <c r="AM36" s="516"/>
    </row>
    <row r="37" spans="1:39" s="17" customFormat="1" ht="20.25" customHeight="1" outlineLevel="1">
      <c r="A37" s="12"/>
      <c r="B37" s="12"/>
      <c r="C37" s="648" t="s">
        <v>6</v>
      </c>
      <c r="D37" s="649">
        <f>AVERAGE(D13:D32)</f>
        <v>5293.3213589560437</v>
      </c>
      <c r="E37" s="649">
        <f>AVERAGE(E13:E32)</f>
        <v>5905.9966228571429</v>
      </c>
      <c r="F37" s="648"/>
      <c r="G37" s="648"/>
      <c r="H37" s="648"/>
      <c r="I37" s="649">
        <f t="shared" si="28"/>
        <v>692.59370161351421</v>
      </c>
      <c r="J37" s="650">
        <f t="shared" si="28"/>
        <v>0</v>
      </c>
      <c r="K37" s="651">
        <f t="shared" si="28"/>
        <v>0</v>
      </c>
      <c r="L37" s="651">
        <f t="shared" si="28"/>
        <v>0</v>
      </c>
      <c r="M37" s="652">
        <f t="shared" si="28"/>
        <v>599.60394935260865</v>
      </c>
      <c r="N37" s="653">
        <f>AVERAGE(N13:N32)</f>
        <v>0.81208791208791209</v>
      </c>
      <c r="O37" s="650">
        <f>AVERAGE(O13:O32)</f>
        <v>1178.0419792198352</v>
      </c>
      <c r="P37" s="649">
        <f t="shared" si="29"/>
        <v>1292.1976509661231</v>
      </c>
      <c r="Q37" s="650">
        <f t="shared" si="29"/>
        <v>0</v>
      </c>
      <c r="R37" s="651">
        <f t="shared" si="29"/>
        <v>0</v>
      </c>
      <c r="S37" s="651">
        <f t="shared" si="29"/>
        <v>0</v>
      </c>
      <c r="T37" s="652">
        <f t="shared" si="29"/>
        <v>1327.8495975169026</v>
      </c>
      <c r="U37" s="653">
        <f>AVERAGE(U13:U32)</f>
        <v>1.9045411243865844</v>
      </c>
      <c r="V37" s="650">
        <f>AVERAGE(V13:V32)</f>
        <v>2447.1461066503848</v>
      </c>
      <c r="W37" s="654">
        <f>W71</f>
        <v>2620.0472484830252</v>
      </c>
      <c r="X37" s="999">
        <f t="shared" si="30"/>
        <v>219.29620291875003</v>
      </c>
      <c r="Y37" s="1003">
        <f t="shared" si="30"/>
        <v>48.693927836363628</v>
      </c>
      <c r="Z37" s="817" t="s">
        <v>78</v>
      </c>
      <c r="AA37" s="821">
        <f>AA71</f>
        <v>2783.6188791651684</v>
      </c>
      <c r="AC37" s="517"/>
      <c r="AD37" s="517"/>
      <c r="AE37" s="316"/>
      <c r="AF37" s="316"/>
      <c r="AG37" s="316"/>
      <c r="AH37" s="316"/>
      <c r="AI37" s="316"/>
      <c r="AJ37" s="316"/>
      <c r="AK37" s="316"/>
      <c r="AL37" s="516"/>
      <c r="AM37" s="516"/>
    </row>
    <row r="38" spans="1:39" ht="7.5" customHeight="1">
      <c r="C38" s="655"/>
      <c r="D38" s="655"/>
      <c r="E38" s="655"/>
      <c r="F38" s="655"/>
      <c r="G38" s="655"/>
      <c r="H38" s="655"/>
      <c r="I38" s="656"/>
      <c r="J38" s="657"/>
      <c r="K38" s="658"/>
      <c r="L38" s="658"/>
      <c r="M38" s="656"/>
      <c r="N38" s="659"/>
      <c r="O38" s="657"/>
      <c r="P38" s="656"/>
      <c r="Q38" s="656"/>
      <c r="R38" s="659"/>
      <c r="S38" s="659"/>
      <c r="T38" s="657"/>
      <c r="U38" s="658"/>
      <c r="V38" s="657"/>
      <c r="W38" s="656"/>
      <c r="X38" s="277"/>
      <c r="Y38" s="276"/>
      <c r="Z38" s="275"/>
      <c r="AA38" s="275"/>
      <c r="AC38" s="259"/>
      <c r="AD38" s="259"/>
      <c r="AE38" s="316"/>
      <c r="AF38" s="316"/>
      <c r="AG38" s="316"/>
      <c r="AH38" s="316"/>
      <c r="AI38" s="316"/>
      <c r="AJ38" s="316"/>
      <c r="AK38" s="316"/>
    </row>
    <row r="39" spans="1:39" s="35" customFormat="1" ht="20.25" customHeight="1">
      <c r="A39" s="35" t="str">
        <f>$B39&amp;"_"&amp;$C$3&amp;"_"&amp;$C$2</f>
        <v>TSX:HBM_2024_NEO1</v>
      </c>
      <c r="B39" s="35" t="str">
        <f>'Raw Data'!G6</f>
        <v>TSX:HBM</v>
      </c>
      <c r="C39" s="617" t="str">
        <f>IFERROR(INDEX(Raw_Data,MATCH($A39,Look_Up,0),MATCH(C$4,Component,0)),"-")</f>
        <v>Hudbay Minerals Inc.</v>
      </c>
      <c r="D39" s="618">
        <f>_xll.ciqfunctions.udf.CIQ(B39, "IQ_MARKETCAP", $A$1,$A$2)</f>
        <v>5664.3295799999996</v>
      </c>
      <c r="E39" s="618">
        <f>_xll.ciqfunctions.udf.CIQ($B39, "IQ_TEV", $A$1,$A$2)</f>
        <v>6773.8200500000003</v>
      </c>
      <c r="F39" s="619" t="str">
        <f>IFERROR(INDEX(Raw_Data,MATCH($A39,Look_Up,0),MATCH(F$4,Component,0)),"-")</f>
        <v>Andre Lauzon</v>
      </c>
      <c r="G39" s="619" t="str">
        <f>IFERROR(INDEX(Raw_Data,MATCH($A39,Look_Up,0),MATCH(G$4,Component,0)),"-")</f>
        <v>COO</v>
      </c>
      <c r="H39" s="619" t="str">
        <f>IFERROR(INDEX(Raw_Data,MATCH($A39,Look_Up,0),MATCH(H$4,Component,0))/1000,"-")</f>
        <v>-</v>
      </c>
      <c r="I39" s="618">
        <f>IFERROR(INDEX(Raw_Data,MATCH($A39,Look_Up,0),MATCH(I$4,Component,0))/1000,"-")</f>
        <v>651</v>
      </c>
      <c r="J39" s="618">
        <f>IFERROR(INDEX(Raw_Data,MATCH($A39,Look_Up,0),MATCH(J$4,Component,0))/1000,"-")</f>
        <v>740.46600000000001</v>
      </c>
      <c r="K39" s="620">
        <f>IFERROR(INDEX(Raw_Data,MATCH($A39,Look_Up,0),MATCH(K$4,Component,0)),"-")</f>
        <v>1.1374285714285715</v>
      </c>
      <c r="L39" s="620">
        <f>IFERROR(INDEX(Raw_Data,MATCH($A39,Look_Up,0),MATCH(L$4,Component,0)),"-")</f>
        <v>1.1374285714285715</v>
      </c>
      <c r="M39" s="618">
        <f>IFERROR(INDEX(Raw_Data,MATCH($A39,Look_Up,0),MATCH(M$4,Component,0))/1000,"-")</f>
        <v>585.9</v>
      </c>
      <c r="N39" s="620">
        <f>IFERROR(IF(INDEX(Raw_Data,MATCH($A39,Look_Up,0),MATCH(N$4,Component,0))="-",L39,INDEX(Raw_Data,MATCH($A39,Look_Up,0),MATCH(N$4,Component,0))),"-")</f>
        <v>0.9</v>
      </c>
      <c r="O39" s="618">
        <f>IFERROR(INDEX(Raw_Data,MATCH($A39,Look_Up,0),MATCH(O$4,Component,0))/1000,"-")</f>
        <v>1391.4659999999999</v>
      </c>
      <c r="P39" s="618">
        <f>IFERROR(INDEX(Raw_Data,MATCH($A39,Look_Up,0),MATCH(P$4,Component,0))/1000,"-")</f>
        <v>1236.9000000000001</v>
      </c>
      <c r="Q39" s="618">
        <f>IFERROR(INDEX(Raw_Data,MATCH($A39,Look_Up,0),MATCH(Q$4,Component,0))/1000,"-")</f>
        <v>1054</v>
      </c>
      <c r="R39" s="620">
        <f>IFERROR(INDEX(Raw_Data,MATCH($A39,Look_Up,0),MATCH(R$4,Component,0)),"-")</f>
        <v>1.6190476190476191</v>
      </c>
      <c r="S39" s="620">
        <f>IFERROR(INDEX(Raw_Data,MATCH($A39,Look_Up,0),MATCH(S$4,Component,0)),"-")</f>
        <v>1.6190476190476191</v>
      </c>
      <c r="T39" s="618">
        <f>IFERROR(INDEX(Raw_Data,MATCH($A39,Look_Up,0),MATCH(T$4,Component,0))/1000,"-")</f>
        <v>1106.7</v>
      </c>
      <c r="U39" s="620">
        <f>IFERROR(IF(INDEX(Raw_Data,MATCH($A39,Look_Up,0),MATCH(U$4,Component,0))="-",S39,INDEX(Raw_Data,MATCH($A39,Look_Up,0),MATCH(U$4,Component,0))),"-")</f>
        <v>1.7</v>
      </c>
      <c r="V39" s="618">
        <f>IFERROR(INDEX(Raw_Data,MATCH($A39,Look_Up,0),MATCH(V$4,Component,0))/1000,"-")</f>
        <v>2445.4659999999999</v>
      </c>
      <c r="W39" s="621">
        <f>IFERROR(INDEX(Raw_Data,MATCH($A39,Look_Up,0),MATCH(W$4,Component,0))/1000,"-")</f>
        <v>2343.6</v>
      </c>
      <c r="X39" s="385">
        <f>IFERROR((INDEX(Raw_Data,MATCH($A39,Look_Up,0),MATCH(X$4,Component,0))/1000),"-")</f>
        <v>74.400000000000006</v>
      </c>
      <c r="Y39" s="278">
        <f>IFERROR((INDEX(Raw_Data,MATCH($A39,Look_Up,0),MATCH(Y$4,Component,0))/1000),"-")</f>
        <v>85.126999999999995</v>
      </c>
      <c r="Z39" s="278">
        <f>IFERROR(INDEX(Raw_Data,MATCH($A39,Look_Up,0),MATCH(Z$4,Component,0))/1000,"-")</f>
        <v>2604.9929999999999</v>
      </c>
      <c r="AA39" s="292">
        <f>IFERROR(INDEX(Raw_Data,MATCH($A39,Look_Up,0),MATCH(AA$4,Component,0))/1000,"-")</f>
        <v>2503.127</v>
      </c>
      <c r="AC39" s="279">
        <f>IFERROR(P39/W39,0)</f>
        <v>0.52777777777777779</v>
      </c>
      <c r="AD39" s="293">
        <f>IFERROR(T39/W39,0)</f>
        <v>0.47222222222222227</v>
      </c>
      <c r="AE39" s="316" t="str">
        <f>B39&amp;"_"&amp;$AE$6&amp;"_"&amp;$C$2</f>
        <v>TSX:HBM_2023_NEO1</v>
      </c>
      <c r="AF39" s="316"/>
      <c r="AG39" s="316"/>
      <c r="AH39" s="316"/>
      <c r="AI39" s="316"/>
      <c r="AJ39" s="316"/>
      <c r="AK39" s="316"/>
      <c r="AL39" s="526" t="str" cm="1">
        <f t="array" ref="AL39">IFERROR(INDEX('Import 2023 Data'!$E$4:$I$113,_xlfn.XMATCH('NEO3'!$AE39,'Import 2023 Data'!$C$4:$C$113),_xlfn.XMATCH('NEO3'!AL$5,'Import 2023 Data'!$E$3:$I$3)),"-")</f>
        <v>-</v>
      </c>
      <c r="AM39" s="527" t="str" cm="1">
        <f t="array" ref="AM39">IFERROR(INDEX('Import 2023 Data'!$E$4:$I$113,_xlfn.XMATCH('NEO3'!$AE39,'Import 2023 Data'!$C$4:$C$113),_xlfn.XMATCH('NEO3'!AM$5,'Import 2023 Data'!$E$3:$I$3)),"-")</f>
        <v>-</v>
      </c>
    </row>
    <row r="40" spans="1:39" ht="20.25" customHeight="1">
      <c r="B40" s="33"/>
      <c r="C40" s="622" t="s">
        <v>5</v>
      </c>
      <c r="D40" s="623">
        <f>IF(D$39&gt;=MAX(D$8:D$27),"max",IF(D$39&lt;=MIN(D$8:D$27),"min",PERCENTRANK(D$8:D$27,D$39)))</f>
        <v>0.502</v>
      </c>
      <c r="E40" s="623">
        <f>IF(E$39&gt;=MAX(E$8:E$27),"max",IF(E$39&lt;=MIN(E$8:E$27),"min",PERCENTRANK(E$8:E$27,E$39)))</f>
        <v>0.60199999999999998</v>
      </c>
      <c r="F40" s="624"/>
      <c r="G40" s="624"/>
      <c r="H40" s="624"/>
      <c r="I40" s="623">
        <f>IF(I$39&gt;=MAX(I$47:I$66),"max",IF(I$39&lt;=MIN(I$47:I$66),"min",PERCENTRANK(I$47:I$66,I$39)))</f>
        <v>0.35599999999999998</v>
      </c>
      <c r="J40" s="623">
        <f>IF(J$39&gt;=MAX(J$8:J$27),"max",IF(J$39&lt;=MIN(J$8:J$27),"min",PERCENTRANK(J$8:J$27,J$39)))</f>
        <v>0.79400000000000004</v>
      </c>
      <c r="K40" s="623">
        <f>IF(K$39&gt;=MAX(K$8:K$27),"max",IF(K$39&lt;=MIN(K$8:K$27),"min",PERCENTRANK(K$8:K$27,K$39)))</f>
        <v>0.71899999999999997</v>
      </c>
      <c r="L40" s="623">
        <f>IF(L$39&gt;=MAX(L$8:L$27),"max",IF(L$39&lt;=MIN(L$8:L$27),"min",PERCENTRANK(L$8:L$27,L$39)))</f>
        <v>0.80500000000000005</v>
      </c>
      <c r="M40" s="623">
        <f>IF(M$39&gt;=MAX(M$47:M$66),"max",IF(M$39&lt;=MIN(M$47:M$66),"min",PERCENTRANK(M$47:M$66,M$39)))</f>
        <v>0.51700000000000002</v>
      </c>
      <c r="N40" s="623">
        <f>IF(N$39&gt;=MAX(N$8:N$27),"max",IF(N$39&lt;=MIN(N$8:N$27),"min",PERCENTRANK(N$8:N$27,N$39)))</f>
        <v>0.76900000000000002</v>
      </c>
      <c r="O40" s="623">
        <f>IF(O$39&gt;=MAX(O$8:O$27),"max",IF(O$39&lt;=MIN(O$8:O$27),"min",PERCENTRANK(O$8:O$27,O$39)))</f>
        <v>0.71</v>
      </c>
      <c r="P40" s="623">
        <f>IF(P$39&gt;=MAX(P$47:P$66),"max",IF(P$39&lt;=MIN(P$47:P$66),"min",PERCENTRANK(P$47:P$66,P$39)))</f>
        <v>0.53600000000000003</v>
      </c>
      <c r="Q40" s="623">
        <f>IF(Q$39&gt;=MAX(Q$8:Q$27),"max",IF(Q$39&lt;=MIN(Q$8:Q$27),"min",PERCENTRANK(Q$8:Q$27,Q$39)))</f>
        <v>0.30199999999999999</v>
      </c>
      <c r="R40" s="623">
        <f>IF(R$39&gt;=MAX(R$8:R$27),"max",IF(R$39&lt;=MIN(R$8:R$27),"min",PERCENTRANK(R$8:R$27,R$39)))</f>
        <v>0.17</v>
      </c>
      <c r="S40" s="623">
        <f>IF(S$39&gt;=MAX(S$8:S$27),"max",IF(S$39&lt;=MIN(S$8:S$27),"min",PERCENTRANK(S$8:S$27,S$39)))</f>
        <v>0.45200000000000001</v>
      </c>
      <c r="T40" s="623">
        <f>IF(T$39&gt;=MAX(T$47:T$66),"max",IF(T$39&lt;=MIN(T$47:T$66),"min",PERCENTRANK(T$47:T$66,T$39)))</f>
        <v>0.36</v>
      </c>
      <c r="U40" s="623">
        <f>IF(U$39&gt;=MAX(U$8:U$27),"max",IF(U$39&lt;=MIN(U$8:U$27),"min",PERCENTRANK(U$8:U$27,U$39)))</f>
        <v>0.23</v>
      </c>
      <c r="V40" s="623">
        <f>IF(V$39&gt;=MAX(V$8:V$27),"max",IF(V$39&lt;=MIN(V$8:V$27),"min",PERCENTRANK(V$8:V$27,V$39)))</f>
        <v>0.54600000000000004</v>
      </c>
      <c r="W40" s="625">
        <f>IF(W$39&gt;=MAX(W$47:W$66),"max",IF(W$39&lt;=MIN(W$47:W$66),"min",PERCENTRANK(W$47:W$66,W$39)))</f>
        <v>0.36799999999999999</v>
      </c>
      <c r="X40" s="280">
        <f>IF(X$39&gt;=MAX(X$8:X$27),"max",IF(X$39&lt;=MIN(X$8:X$27),"min",PERCENTRANK(X$8:X$27,X$39)))</f>
        <v>0.35299999999999998</v>
      </c>
      <c r="Y40" s="280">
        <f>IF(Y$39&gt;=MAX(Y$8:Y$27),"max",IF(Y$39&lt;=MIN(Y$8:Y$27),"min",PERCENTRANK(Y$8:Y$27,Y$39)))</f>
        <v>0.81299999999999994</v>
      </c>
      <c r="Z40" s="280">
        <f>IF(Z$39&gt;=MAX(Z$8:Z$27),"max",IF(Z$39&lt;=MIN(Z$8:Z$27),"min",PERCENTRANK(Z$8:Z$27,Z$39)))</f>
        <v>0.49399999999999999</v>
      </c>
      <c r="AA40" s="281">
        <f>IF(AA$39&gt;=MAX(AA$47:AA$66),"max",IF(AA$39&lt;=MIN(AA$47:AA$66),"min",PERCENTRANK(AA$47:AA$66,AA$39)))</f>
        <v>0.29099999999999998</v>
      </c>
      <c r="AC40" s="282">
        <f>IF(AC$39&gt;=MAX(AC$8:AC27),"max",IF(AC$39&lt;=MIN(AC$8:AC27),"min",PERCENTRANK(AC$8:AC27,AC$39)))</f>
        <v>0.69199999999999995</v>
      </c>
      <c r="AD40" s="283">
        <f>IF(AD$39&gt;=MAX(AD$8:AD27),"max",IF(AD$39&lt;=MIN(AD$8:AD27),"min",PERCENTRANK(AD$8:AD27,AD$39)))</f>
        <v>0.307</v>
      </c>
      <c r="AE40" s="316"/>
      <c r="AF40" s="316"/>
      <c r="AG40" s="316"/>
      <c r="AH40" s="316"/>
      <c r="AI40" s="316"/>
      <c r="AJ40" s="316"/>
      <c r="AK40" s="316"/>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t="s">
        <v>724</v>
      </c>
      <c r="W42" s="600">
        <f>W39/W35-1</f>
        <v>-8.9081325252692523E-2</v>
      </c>
      <c r="X42" s="275" t="s">
        <v>723</v>
      </c>
      <c r="Y42" s="604">
        <v>2232</v>
      </c>
      <c r="Z42" s="275"/>
      <c r="AC42" s="259"/>
      <c r="AD42" s="259"/>
      <c r="AE42" s="316"/>
      <c r="AF42" s="316"/>
      <c r="AG42" s="316"/>
      <c r="AH42" s="316"/>
      <c r="AI42" s="316"/>
      <c r="AJ42" s="316"/>
      <c r="AK42" s="316"/>
    </row>
    <row r="43" spans="1:39" ht="14.5">
      <c r="B43" s="15"/>
      <c r="C43" s="284"/>
      <c r="D43" s="284"/>
      <c r="E43" s="284"/>
      <c r="F43" s="284"/>
      <c r="G43" s="284"/>
      <c r="H43" s="284"/>
      <c r="I43" s="284"/>
      <c r="J43" s="284"/>
      <c r="K43" s="284"/>
      <c r="L43" s="284"/>
      <c r="M43" s="284"/>
      <c r="N43" s="284"/>
      <c r="O43" s="284"/>
      <c r="P43" s="284"/>
      <c r="Q43" s="284"/>
      <c r="R43" s="284"/>
      <c r="S43" s="284"/>
      <c r="T43" s="284"/>
      <c r="U43" s="284"/>
      <c r="V43" s="275" t="s">
        <v>725</v>
      </c>
      <c r="W43" s="604">
        <f>W39-W35</f>
        <v>-229.18730249999999</v>
      </c>
      <c r="X43" s="12" t="s">
        <v>713</v>
      </c>
      <c r="Y43" s="608">
        <f>AA39/Y42-1</f>
        <v>0.12147267025089614</v>
      </c>
      <c r="Z43" s="284"/>
      <c r="AC43" s="258"/>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Y44" s="14"/>
      <c r="Z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6" si="31">A8</f>
        <v>TSX:K_2024_NEO1</v>
      </c>
      <c r="B47" s="295" t="str">
        <f t="shared" si="31"/>
        <v>TSX:K</v>
      </c>
      <c r="C47" s="296" t="str">
        <f>_xll.ciqfunctions.udf.CIQ(B47,"IQ_COMPANY_NAME")</f>
        <v>Kinross Gold Corporation</v>
      </c>
      <c r="E47" s="14"/>
      <c r="F47" s="14"/>
      <c r="G47" s="294" t="s">
        <v>661</v>
      </c>
      <c r="H47" s="303">
        <f t="shared" ref="H47:H66" si="32">IFERROR(INDEX(Raw_Data,MATCH($A47,Look_Up,0),MATCH(H$4,Component,0))/1000,"-")</f>
        <v>900</v>
      </c>
      <c r="I47" s="303">
        <f>IFERROR(IF(G47="y",IF(H47&lt;&gt;"-",H47,INDEX(Raw_Data,MATCH($A47,Look_Up,0),MATCH(I$4,Component,0))/1000*(1+'Raw Data'!$G$13)),(INDEX(Raw_Data,MATCH($A47,Look_Up,0),MATCH(I$4,Component,0))/1000)),"-")</f>
        <v>900</v>
      </c>
      <c r="J47" s="361"/>
      <c r="K47" s="361"/>
      <c r="L47" s="361"/>
      <c r="M47" s="303">
        <f t="shared" ref="M47:M66" si="33">IFERROR(I47*N8,"-")</f>
        <v>1260</v>
      </c>
      <c r="N47" s="362"/>
      <c r="O47" s="361"/>
      <c r="P47" s="303">
        <f>IFERROR(IF(SUM(M47,I47)=0,"-",SUM(M47,I47)),"-")</f>
        <v>2160</v>
      </c>
      <c r="Q47" s="361"/>
      <c r="R47" s="361"/>
      <c r="S47" s="361"/>
      <c r="T47" s="303">
        <f t="shared" ref="T47:T66" si="34">IFERROR(I47*U8,"-")</f>
        <v>2193.952725598675</v>
      </c>
      <c r="U47" s="362"/>
      <c r="V47" s="361"/>
      <c r="W47" s="303">
        <f>IFERROR(IF(SUM(T47,P47)=0,"-",SUM(T47,P47)),"-")</f>
        <v>4353.952725598675</v>
      </c>
      <c r="X47" s="362"/>
      <c r="Y47" s="361"/>
      <c r="Z47" s="361"/>
      <c r="AA47" s="303">
        <f t="shared" ref="AA47:AA66" si="35">IFERROR(IF(SUM(W47,X8,Y8)=0,"-",SUM(W47,X8,Y8)),"-")</f>
        <v>4883.6371547086756</v>
      </c>
      <c r="AB47" s="362"/>
    </row>
    <row r="48" spans="1:39" ht="14.5">
      <c r="A48" s="295" t="str">
        <f t="shared" si="31"/>
        <v>TSX:LUN_2024_NEO1</v>
      </c>
      <c r="B48" s="295" t="str">
        <f t="shared" si="31"/>
        <v>TSX:LUN</v>
      </c>
      <c r="C48" s="296" t="str">
        <f>_xll.ciqfunctions.udf.CIQ(B48,"IQ_COMPANY_NAME")</f>
        <v>Lundin Mining Corporation</v>
      </c>
      <c r="E48" s="14"/>
      <c r="F48" s="14"/>
      <c r="G48" s="294" t="s">
        <v>661</v>
      </c>
      <c r="H48" s="262">
        <f t="shared" si="32"/>
        <v>815.88416854000013</v>
      </c>
      <c r="I48" s="262">
        <f>IFERROR(IF(G48="y",IF(H48&lt;&gt;"-",H48,INDEX(Raw_Data,MATCH($A48,Look_Up,0),MATCH(I$4,Component,0))/1000*(1+'Raw Data'!$G$13)),(INDEX(Raw_Data,MATCH($A48,Look_Up,0),MATCH(I$4,Component,0))/1000)),"-")</f>
        <v>815.88416854000013</v>
      </c>
      <c r="J48" s="361"/>
      <c r="K48" s="361"/>
      <c r="L48" s="361"/>
      <c r="M48" s="262">
        <f t="shared" si="33"/>
        <v>652.70733483200013</v>
      </c>
      <c r="N48" s="362"/>
      <c r="O48" s="361"/>
      <c r="P48" s="262">
        <f t="shared" ref="P48:P66" si="36">IFERROR(IF(SUM(M48,I48)=0,"-",SUM(M48,I48)),"-")</f>
        <v>1468.5915033720003</v>
      </c>
      <c r="Q48" s="361"/>
      <c r="R48" s="361"/>
      <c r="S48" s="361"/>
      <c r="T48" s="262">
        <f t="shared" si="34"/>
        <v>1232.5456342887319</v>
      </c>
      <c r="U48" s="362"/>
      <c r="V48" s="361"/>
      <c r="W48" s="262">
        <f t="shared" ref="W48:W66" si="37">IFERROR(IF(SUM(T48,P48)=0,"-",SUM(T48,P48)),"-")</f>
        <v>2701.1371376607322</v>
      </c>
      <c r="X48" s="362"/>
      <c r="Y48" s="361"/>
      <c r="Z48" s="361"/>
      <c r="AA48" s="262">
        <f t="shared" si="35"/>
        <v>2703.1458068807319</v>
      </c>
      <c r="AB48" s="362"/>
    </row>
    <row r="49" spans="1:30" ht="14.5">
      <c r="A49" s="295" t="str">
        <f t="shared" si="31"/>
        <v>TSX:AGI_2024_NEO1</v>
      </c>
      <c r="B49" s="295" t="str">
        <f t="shared" si="31"/>
        <v>TSX:AGI</v>
      </c>
      <c r="C49" s="296" t="str">
        <f>_xll.ciqfunctions.udf.CIQ(B49,"IQ_COMPANY_NAME")</f>
        <v>Alamos Gold Inc.</v>
      </c>
      <c r="E49" s="14"/>
      <c r="F49" s="14"/>
      <c r="G49" s="294" t="s">
        <v>661</v>
      </c>
      <c r="H49" s="262" t="str">
        <f t="shared" si="32"/>
        <v>-</v>
      </c>
      <c r="I49" s="262">
        <f>IFERROR(IF(G49="y",IF(H49&lt;&gt;"-",H49,INDEX(Raw_Data,MATCH($A49,Look_Up,0),MATCH(I$4,Component,0))/1000*(1+'Raw Data'!$G$13)),(INDEX(Raw_Data,MATCH($A49,Look_Up,0),MATCH(I$4,Component,0))/1000)),"-")</f>
        <v>669.5</v>
      </c>
      <c r="J49" s="361"/>
      <c r="K49" s="361"/>
      <c r="L49" s="361"/>
      <c r="M49" s="262">
        <f t="shared" si="33"/>
        <v>569.07499999999993</v>
      </c>
      <c r="N49" s="362"/>
      <c r="O49" s="361"/>
      <c r="P49" s="262">
        <f t="shared" si="36"/>
        <v>1238.5749999999998</v>
      </c>
      <c r="Q49" s="361"/>
      <c r="R49" s="361"/>
      <c r="S49" s="361"/>
      <c r="T49" s="262">
        <f t="shared" si="34"/>
        <v>1138.1499999999999</v>
      </c>
      <c r="U49" s="362"/>
      <c r="V49" s="361"/>
      <c r="W49" s="262">
        <f t="shared" si="37"/>
        <v>2376.7249999999995</v>
      </c>
      <c r="X49" s="362"/>
      <c r="Y49" s="361"/>
      <c r="Z49" s="361"/>
      <c r="AA49" s="262">
        <f t="shared" si="35"/>
        <v>2572.9388246799995</v>
      </c>
      <c r="AB49" s="362"/>
    </row>
    <row r="50" spans="1:30" ht="14.5">
      <c r="A50" s="295" t="str">
        <f t="shared" si="31"/>
        <v>TSX:PAAS_2024_NEO1</v>
      </c>
      <c r="B50" s="295" t="str">
        <f t="shared" si="31"/>
        <v>TSX:PAAS</v>
      </c>
      <c r="C50" s="296" t="str">
        <f>_xll.ciqfunctions.udf.CIQ(B50,"IQ_COMPANY_NAME")</f>
        <v>Pan American Silver Corp.</v>
      </c>
      <c r="G50" s="294" t="s">
        <v>661</v>
      </c>
      <c r="H50" s="262" t="str">
        <f t="shared" si="32"/>
        <v>-</v>
      </c>
      <c r="I50" s="262">
        <f>IFERROR(IF(G50="y",IF(H50&lt;&gt;"-",H50,INDEX(Raw_Data,MATCH($A50,Look_Up,0),MATCH(I$4,Component,0))/1000*(1+'Raw Data'!$G$13)),(INDEX(Raw_Data,MATCH($A50,Look_Up,0),MATCH(I$4,Component,0))/1000)),"-")</f>
        <v>803.4</v>
      </c>
      <c r="J50" s="362"/>
      <c r="K50" s="362"/>
      <c r="L50" s="362"/>
      <c r="M50" s="262">
        <f t="shared" si="33"/>
        <v>642.72</v>
      </c>
      <c r="N50" s="362"/>
      <c r="O50" s="362"/>
      <c r="P50" s="262">
        <f t="shared" si="36"/>
        <v>1446.12</v>
      </c>
      <c r="Q50" s="362"/>
      <c r="R50" s="362"/>
      <c r="S50" s="362"/>
      <c r="T50" s="262">
        <f t="shared" si="34"/>
        <v>1767.48</v>
      </c>
      <c r="U50" s="362"/>
      <c r="V50" s="362"/>
      <c r="W50" s="262">
        <f t="shared" si="37"/>
        <v>3213.6</v>
      </c>
      <c r="X50" s="362"/>
      <c r="Y50" s="362"/>
      <c r="Z50" s="362"/>
      <c r="AA50" s="262">
        <f t="shared" si="35"/>
        <v>3564.6</v>
      </c>
      <c r="AB50" s="362"/>
    </row>
    <row r="51" spans="1:30" ht="14.5">
      <c r="A51" s="295" t="str">
        <f t="shared" si="31"/>
        <v>TSX:CS_2024_NEO1</v>
      </c>
      <c r="B51" s="295" t="str">
        <f t="shared" si="31"/>
        <v>TSX:CS</v>
      </c>
      <c r="C51" s="296" t="str">
        <f>_xll.ciqfunctions.udf.CIQ(B51,"IQ_COMPANY_NAME")</f>
        <v>Capstone Copper Corp.</v>
      </c>
      <c r="G51" s="294" t="s">
        <v>661</v>
      </c>
      <c r="H51" s="262" t="str">
        <f t="shared" si="32"/>
        <v>-</v>
      </c>
      <c r="I51" s="262">
        <f>IFERROR(IF(G51="y",IF(H51&lt;&gt;"-",H51,INDEX(Raw_Data,MATCH($A51,Look_Up,0),MATCH(I$4,Component,0))/1000*(1+'Raw Data'!$G$13)),(INDEX(Raw_Data,MATCH($A51,Look_Up,0),MATCH(I$4,Component,0))/1000)),"-")</f>
        <v>696.28</v>
      </c>
      <c r="J51" s="362"/>
      <c r="K51" s="362"/>
      <c r="L51" s="362"/>
      <c r="M51" s="262">
        <f t="shared" si="33"/>
        <v>626.65200000000004</v>
      </c>
      <c r="N51" s="362"/>
      <c r="O51" s="362"/>
      <c r="P51" s="262">
        <f t="shared" si="36"/>
        <v>1322.932</v>
      </c>
      <c r="Q51" s="362"/>
      <c r="R51" s="362"/>
      <c r="S51" s="362"/>
      <c r="T51" s="262">
        <f t="shared" si="34"/>
        <v>1183.6759999999999</v>
      </c>
      <c r="U51" s="362"/>
      <c r="V51" s="362"/>
      <c r="W51" s="262">
        <f t="shared" si="37"/>
        <v>2506.6080000000002</v>
      </c>
      <c r="X51" s="362"/>
      <c r="Y51" s="362"/>
      <c r="Z51" s="362"/>
      <c r="AA51" s="262">
        <f t="shared" si="35"/>
        <v>2590.7800000000002</v>
      </c>
      <c r="AB51" s="362"/>
    </row>
    <row r="52" spans="1:30" ht="14.5">
      <c r="A52" s="295" t="str">
        <f t="shared" si="31"/>
        <v>TSX:IMG_2024_NEO1</v>
      </c>
      <c r="B52" s="295" t="str">
        <f t="shared" si="31"/>
        <v>TSX:IMG</v>
      </c>
      <c r="C52" s="296" t="str">
        <f>_xll.ciqfunctions.udf.CIQ(B52,"IQ_COMPANY_NAME")</f>
        <v>IAMGOLD Corporation</v>
      </c>
      <c r="G52" s="294" t="s">
        <v>661</v>
      </c>
      <c r="H52" s="262" t="str">
        <f t="shared" si="32"/>
        <v>-</v>
      </c>
      <c r="I52" s="262">
        <f>IFERROR(IF(G52="y",IF(H52&lt;&gt;"-",H52,INDEX(Raw_Data,MATCH($A52,Look_Up,0),MATCH(I$4,Component,0))/1000*(1+'Raw Data'!$G$13)),(INDEX(Raw_Data,MATCH($A52,Look_Up,0),MATCH(I$4,Component,0))/1000)),"-")</f>
        <v>618.32960000000003</v>
      </c>
      <c r="J52" s="362"/>
      <c r="K52" s="362"/>
      <c r="L52" s="362"/>
      <c r="M52" s="262">
        <f t="shared" si="33"/>
        <v>494.66368000000006</v>
      </c>
      <c r="N52" s="362"/>
      <c r="O52" s="362"/>
      <c r="P52" s="262">
        <f t="shared" si="36"/>
        <v>1112.9932800000001</v>
      </c>
      <c r="Q52" s="362"/>
      <c r="R52" s="362"/>
      <c r="S52" s="362"/>
      <c r="T52" s="262">
        <f t="shared" si="34"/>
        <v>989.32736000000011</v>
      </c>
      <c r="U52" s="362"/>
      <c r="V52" s="362"/>
      <c r="W52" s="262">
        <f t="shared" si="37"/>
        <v>2102.3206400000004</v>
      </c>
      <c r="X52" s="362"/>
      <c r="Y52" s="362"/>
      <c r="Z52" s="362"/>
      <c r="AA52" s="262">
        <f t="shared" si="35"/>
        <v>2195.0406400000002</v>
      </c>
      <c r="AB52" s="362"/>
    </row>
    <row r="53" spans="1:30" ht="14.5">
      <c r="A53" s="295" t="str">
        <f t="shared" si="31"/>
        <v>TSX:BTO_2024_NEO1</v>
      </c>
      <c r="B53" s="295" t="str">
        <f t="shared" si="31"/>
        <v>TSX:BTO</v>
      </c>
      <c r="C53" s="296" t="str">
        <f>_xll.ciqfunctions.udf.CIQ(B53,"IQ_COMPANY_NAME")</f>
        <v>B2Gold Corp.</v>
      </c>
      <c r="G53" s="294" t="s">
        <v>661</v>
      </c>
      <c r="H53" s="262" t="str">
        <f t="shared" si="32"/>
        <v>-</v>
      </c>
      <c r="I53" s="262">
        <f>IFERROR(IF(G53="y",IF(H53&lt;&gt;"-",H53,INDEX(Raw_Data,MATCH($A53,Look_Up,0),MATCH(I$4,Component,0))/1000*(1+'Raw Data'!$G$13)),(INDEX(Raw_Data,MATCH($A53,Look_Up,0),MATCH(I$4,Component,0))/1000)),"-")</f>
        <v>669.5</v>
      </c>
      <c r="J53" s="362"/>
      <c r="K53" s="362"/>
      <c r="L53" s="362"/>
      <c r="M53" s="262">
        <f t="shared" si="33"/>
        <v>502.125</v>
      </c>
      <c r="N53" s="362"/>
      <c r="O53" s="362"/>
      <c r="P53" s="262">
        <f t="shared" si="36"/>
        <v>1171.625</v>
      </c>
      <c r="Q53" s="362"/>
      <c r="R53" s="362"/>
      <c r="S53" s="362"/>
      <c r="T53" s="262">
        <f t="shared" si="34"/>
        <v>1802.4999999999998</v>
      </c>
      <c r="U53" s="362"/>
      <c r="V53" s="362"/>
      <c r="W53" s="262">
        <f t="shared" si="37"/>
        <v>2974.125</v>
      </c>
      <c r="X53" s="362"/>
      <c r="Y53" s="362"/>
      <c r="Z53" s="362"/>
      <c r="AA53" s="262">
        <f t="shared" si="35"/>
        <v>2975.125</v>
      </c>
      <c r="AB53" s="362"/>
    </row>
    <row r="54" spans="1:30" s="17" customFormat="1" ht="14.5">
      <c r="A54" s="295" t="str">
        <f t="shared" si="31"/>
        <v>NYSE:HL_2024_NEO1</v>
      </c>
      <c r="B54" s="295" t="str">
        <f t="shared" si="31"/>
        <v>NYSE:HL</v>
      </c>
      <c r="C54" s="296" t="str">
        <f>_xll.ciqfunctions.udf.CIQ(B54,"IQ_COMPANY_NAME")</f>
        <v>Hecla Mining Company</v>
      </c>
      <c r="E54" s="22"/>
      <c r="F54" s="20"/>
      <c r="G54" s="294" t="s">
        <v>661</v>
      </c>
      <c r="H54" s="262" t="str">
        <f t="shared" si="32"/>
        <v>-</v>
      </c>
      <c r="I54" s="262">
        <f>IFERROR(IF(G54="y",IF(H54&lt;&gt;"-",H54,INDEX(Raw_Data,MATCH($A54,Look_Up,0),MATCH(I$4,Component,0))/1000*(1+'Raw Data'!$G$13)),(INDEX(Raw_Data,MATCH($A54,Look_Up,0),MATCH(I$4,Component,0))/1000)),"-")</f>
        <v>486.88990950000004</v>
      </c>
      <c r="J54" s="22"/>
      <c r="K54" s="363"/>
      <c r="L54" s="363"/>
      <c r="M54" s="262">
        <f t="shared" si="33"/>
        <v>486.88990950000004</v>
      </c>
      <c r="N54" s="364"/>
      <c r="O54" s="22"/>
      <c r="P54" s="262">
        <f t="shared" si="36"/>
        <v>973.77981900000009</v>
      </c>
      <c r="Q54" s="21"/>
      <c r="R54" s="365"/>
      <c r="S54" s="365"/>
      <c r="T54" s="262">
        <f t="shared" si="34"/>
        <v>968.91091990500013</v>
      </c>
      <c r="U54" s="364"/>
      <c r="V54" s="22"/>
      <c r="W54" s="262">
        <f t="shared" si="37"/>
        <v>1942.6907389050002</v>
      </c>
      <c r="X54" s="364"/>
      <c r="Y54" s="22"/>
      <c r="Z54" s="22"/>
      <c r="AA54" s="262">
        <f t="shared" si="35"/>
        <v>2627.8524684250006</v>
      </c>
      <c r="AB54" s="364"/>
      <c r="AC54" s="19"/>
      <c r="AD54" s="19"/>
    </row>
    <row r="55" spans="1:30" ht="14.5">
      <c r="A55" s="295" t="str">
        <f t="shared" si="31"/>
        <v>TSX:NGD_2024_NEO1</v>
      </c>
      <c r="B55" s="295" t="str">
        <f t="shared" si="31"/>
        <v>TSX:NGD</v>
      </c>
      <c r="C55" s="296" t="str">
        <f>_xll.ciqfunctions.udf.CIQ(B55,"IQ_COMPANY_NAME")</f>
        <v>New Gold Inc.</v>
      </c>
      <c r="G55" s="294" t="s">
        <v>661</v>
      </c>
      <c r="H55" s="262" t="str">
        <f t="shared" si="32"/>
        <v>-</v>
      </c>
      <c r="I55" s="262">
        <f>IFERROR(IF(G55="y",IF(H55&lt;&gt;"-",H55,INDEX(Raw_Data,MATCH($A55,Look_Up,0),MATCH(I$4,Component,0))/1000*(1+'Raw Data'!$G$13)),(INDEX(Raw_Data,MATCH($A55,Look_Up,0),MATCH(I$4,Component,0))/1000)),"-")</f>
        <v>592.25</v>
      </c>
      <c r="J55" s="366"/>
      <c r="K55" s="366"/>
      <c r="L55" s="366"/>
      <c r="M55" s="262">
        <f t="shared" si="33"/>
        <v>592.25</v>
      </c>
      <c r="N55" s="362"/>
      <c r="O55" s="366"/>
      <c r="P55" s="262">
        <f t="shared" si="36"/>
        <v>1184.5</v>
      </c>
      <c r="Q55" s="366"/>
      <c r="R55" s="366"/>
      <c r="S55" s="366"/>
      <c r="T55" s="262">
        <f t="shared" si="34"/>
        <v>1036.4375</v>
      </c>
      <c r="U55" s="362"/>
      <c r="V55" s="366"/>
      <c r="W55" s="262">
        <f t="shared" si="37"/>
        <v>2220.9375</v>
      </c>
      <c r="X55" s="362"/>
      <c r="Y55" s="366"/>
      <c r="Z55" s="366"/>
      <c r="AA55" s="262">
        <f t="shared" si="35"/>
        <v>2236.7175000000002</v>
      </c>
      <c r="AB55" s="362"/>
    </row>
    <row r="56" spans="1:30" ht="14.5">
      <c r="A56" s="295" t="str">
        <f t="shared" si="31"/>
        <v>TSX:ELD_2024_NEO1</v>
      </c>
      <c r="B56" s="295" t="str">
        <f t="shared" si="31"/>
        <v>TSX:ELD</v>
      </c>
      <c r="C56" s="296" t="str">
        <f>_xll.ciqfunctions.udf.CIQ(B56,"IQ_COMPANY_NAME")</f>
        <v>Eldorado Gold Corporation</v>
      </c>
      <c r="G56" s="294" t="s">
        <v>661</v>
      </c>
      <c r="H56" s="262" t="str">
        <f t="shared" si="32"/>
        <v>-</v>
      </c>
      <c r="I56" s="262">
        <f>IFERROR(IF(G56="y",IF(H56&lt;&gt;"-",H56,INDEX(Raw_Data,MATCH($A56,Look_Up,0),MATCH(I$4,Component,0))/1000*(1+'Raw Data'!$G$13)),(INDEX(Raw_Data,MATCH($A56,Look_Up,0),MATCH(I$4,Component,0))/1000)),"-")</f>
        <v>799.68685000000005</v>
      </c>
      <c r="J56" s="362"/>
      <c r="K56" s="362"/>
      <c r="L56" s="362"/>
      <c r="M56" s="262">
        <f t="shared" si="33"/>
        <v>639.74948000000006</v>
      </c>
      <c r="N56" s="362"/>
      <c r="O56" s="362"/>
      <c r="P56" s="262">
        <f t="shared" si="36"/>
        <v>1439.43633</v>
      </c>
      <c r="Q56" s="362"/>
      <c r="R56" s="362"/>
      <c r="S56" s="362"/>
      <c r="T56" s="262">
        <f t="shared" si="34"/>
        <v>1199.5302750000001</v>
      </c>
      <c r="U56" s="362"/>
      <c r="V56" s="362"/>
      <c r="W56" s="262">
        <f t="shared" si="37"/>
        <v>2638.9666050000001</v>
      </c>
      <c r="X56" s="362"/>
      <c r="Y56" s="362"/>
      <c r="Z56" s="362"/>
      <c r="AA56" s="262">
        <f t="shared" si="35"/>
        <v>2730.3026049999999</v>
      </c>
      <c r="AB56" s="362"/>
    </row>
    <row r="57" spans="1:30" ht="14.5">
      <c r="A57" s="295" t="str">
        <f t="shared" si="31"/>
        <v>TSX:SSRM_2024_NEO1</v>
      </c>
      <c r="B57" s="295" t="str">
        <f t="shared" si="31"/>
        <v>TSX:SSRM</v>
      </c>
      <c r="C57" s="296" t="str">
        <f>_xll.ciqfunctions.udf.CIQ(B57,"IQ_COMPANY_NAME")</f>
        <v>SSR Mining Inc.</v>
      </c>
      <c r="G57" s="294" t="s">
        <v>661</v>
      </c>
      <c r="H57" s="262" t="str">
        <f t="shared" si="32"/>
        <v>-</v>
      </c>
      <c r="I57" s="262">
        <f>IFERROR(IF(G57="y",IF(H57&lt;&gt;"-",H57,INDEX(Raw_Data,MATCH($A57,Look_Up,0),MATCH(I$4,Component,0))/1000*(1+'Raw Data'!$G$13)),(INDEX(Raw_Data,MATCH($A57,Look_Up,0),MATCH(I$4,Component,0))/1000)),"-")</f>
        <v>846.76506000000006</v>
      </c>
      <c r="J57" s="362"/>
      <c r="K57" s="362"/>
      <c r="L57" s="362"/>
      <c r="M57" s="262">
        <f t="shared" si="33"/>
        <v>635.07379500000002</v>
      </c>
      <c r="N57" s="362"/>
      <c r="O57" s="362"/>
      <c r="P57" s="262">
        <f t="shared" si="36"/>
        <v>1481.838855</v>
      </c>
      <c r="Q57" s="362"/>
      <c r="R57" s="362"/>
      <c r="S57" s="362"/>
      <c r="T57" s="262">
        <f t="shared" si="34"/>
        <v>1481.8388550000002</v>
      </c>
      <c r="U57" s="362"/>
      <c r="V57" s="362"/>
      <c r="W57" s="262">
        <f t="shared" si="37"/>
        <v>2963.6777099999999</v>
      </c>
      <c r="X57" s="362"/>
      <c r="Y57" s="362"/>
      <c r="Z57" s="362"/>
      <c r="AA57" s="262">
        <f t="shared" si="35"/>
        <v>3001.4944019999998</v>
      </c>
      <c r="AB57" s="362"/>
    </row>
    <row r="58" spans="1:30" ht="14.5">
      <c r="A58" s="295" t="str">
        <f t="shared" si="31"/>
        <v>TSX:OGC
_2024_NEO1</v>
      </c>
      <c r="B58" s="295" t="str">
        <f t="shared" si="31"/>
        <v xml:space="preserve">TSX:OGC
</v>
      </c>
      <c r="C58" s="296" t="str">
        <f>_xll.ciqfunctions.udf.CIQ(B58,"IQ_COMPANY_NAME")</f>
        <v>OceanaGold Corporation</v>
      </c>
      <c r="G58" s="294" t="s">
        <v>661</v>
      </c>
      <c r="H58" s="262" t="str">
        <f t="shared" si="32"/>
        <v>-</v>
      </c>
      <c r="I58" s="262">
        <f>IFERROR(IF(G58="y",IF(H58&lt;&gt;"-",H58,INDEX(Raw_Data,MATCH($A58,Look_Up,0),MATCH(I$4,Component,0))/1000*(1+'Raw Data'!$G$13)),(INDEX(Raw_Data,MATCH($A58,Look_Up,0),MATCH(I$4,Component,0))/1000)),"-")</f>
        <v>560.9705620492</v>
      </c>
      <c r="J58" s="362"/>
      <c r="K58" s="362"/>
      <c r="L58" s="362"/>
      <c r="M58" s="262">
        <f t="shared" si="33"/>
        <v>336.58233722951996</v>
      </c>
      <c r="N58" s="362"/>
      <c r="O58" s="362"/>
      <c r="P58" s="262">
        <f t="shared" si="36"/>
        <v>897.55289927871991</v>
      </c>
      <c r="Q58" s="362"/>
      <c r="R58" s="362"/>
      <c r="S58" s="362"/>
      <c r="T58" s="262">
        <f t="shared" si="34"/>
        <v>1029.2654065068293</v>
      </c>
      <c r="U58" s="362"/>
      <c r="V58" s="362"/>
      <c r="W58" s="262">
        <f t="shared" si="37"/>
        <v>1926.8183057855492</v>
      </c>
      <c r="X58" s="362"/>
      <c r="Y58" s="362"/>
      <c r="Z58" s="362"/>
      <c r="AA58" s="262">
        <f t="shared" si="35"/>
        <v>1952.7145187855492</v>
      </c>
      <c r="AB58" s="362"/>
    </row>
    <row r="59" spans="1:30" ht="14.5">
      <c r="A59" s="295" t="str">
        <f t="shared" si="31"/>
        <v>TSX:ERO_2024_NEO1</v>
      </c>
      <c r="B59" s="295" t="str">
        <f t="shared" si="31"/>
        <v>TSX:ERO</v>
      </c>
      <c r="C59" s="296" t="str">
        <f>_xll.ciqfunctions.udf.CIQ(B59,"IQ_COMPANY_NAME")</f>
        <v>Ero Copper Corp.</v>
      </c>
      <c r="G59" s="294" t="s">
        <v>661</v>
      </c>
      <c r="H59" s="262" t="str">
        <f t="shared" si="32"/>
        <v>-</v>
      </c>
      <c r="I59" s="262">
        <f>IFERROR(IF(G59="y",IF(H59&lt;&gt;"-",H59,INDEX(Raw_Data,MATCH($A59,Look_Up,0),MATCH(I$4,Component,0))/1000*(1+'Raw Data'!$G$13)),(INDEX(Raw_Data,MATCH($A59,Look_Up,0),MATCH(I$4,Component,0))/1000)),"-")</f>
        <v>670.35567249999997</v>
      </c>
      <c r="J59" s="362"/>
      <c r="K59" s="362"/>
      <c r="L59" s="362"/>
      <c r="M59" s="262">
        <f t="shared" si="33"/>
        <v>502.766754375</v>
      </c>
      <c r="N59" s="362"/>
      <c r="O59" s="362"/>
      <c r="P59" s="262">
        <f t="shared" si="36"/>
        <v>1173.122426875</v>
      </c>
      <c r="Q59" s="362"/>
      <c r="R59" s="362"/>
      <c r="S59" s="362"/>
      <c r="T59" s="262">
        <f t="shared" si="34"/>
        <v>1546.5796889374001</v>
      </c>
      <c r="U59" s="362"/>
      <c r="V59" s="362"/>
      <c r="W59" s="262">
        <f t="shared" si="37"/>
        <v>2719.7021158123998</v>
      </c>
      <c r="X59" s="362"/>
      <c r="Y59" s="362"/>
      <c r="Z59" s="362"/>
      <c r="AA59" s="262">
        <f t="shared" si="35"/>
        <v>2720.1213878323997</v>
      </c>
      <c r="AB59" s="362"/>
    </row>
    <row r="60" spans="1:30" ht="14.5">
      <c r="A60" s="295" t="str">
        <f t="shared" si="31"/>
        <v>TSX:CG_2024_NEO1</v>
      </c>
      <c r="B60" s="295" t="str">
        <f t="shared" si="31"/>
        <v>TSX:CG</v>
      </c>
      <c r="C60" s="296" t="str">
        <f>_xll.ciqfunctions.udf.CIQ(B60,"IQ_COMPANY_NAME")</f>
        <v>Centerra Gold Inc.</v>
      </c>
      <c r="G60" s="294" t="s">
        <v>661</v>
      </c>
      <c r="H60" s="262" t="str">
        <f t="shared" si="32"/>
        <v>-</v>
      </c>
      <c r="I60" s="262">
        <f>IFERROR(IF(G60="y",IF(H60&lt;&gt;"-",H60,INDEX(Raw_Data,MATCH($A60,Look_Up,0),MATCH(I$4,Component,0))/1000*(1+'Raw Data'!$G$13)),(INDEX(Raw_Data,MATCH($A60,Look_Up,0),MATCH(I$4,Component,0))/1000)),"-")</f>
        <v>566.5</v>
      </c>
      <c r="J60" s="362"/>
      <c r="K60" s="362"/>
      <c r="L60" s="362"/>
      <c r="M60" s="262">
        <f t="shared" si="33"/>
        <v>453.20000000000005</v>
      </c>
      <c r="N60" s="362"/>
      <c r="O60" s="362"/>
      <c r="P60" s="262">
        <f t="shared" si="36"/>
        <v>1019.7</v>
      </c>
      <c r="Q60" s="362"/>
      <c r="R60" s="362"/>
      <c r="S60" s="362"/>
      <c r="T60" s="262">
        <f t="shared" si="34"/>
        <v>1019.7</v>
      </c>
      <c r="U60" s="362"/>
      <c r="V60" s="362"/>
      <c r="W60" s="262">
        <f t="shared" si="37"/>
        <v>2039.4</v>
      </c>
      <c r="X60" s="362"/>
      <c r="Y60" s="362"/>
      <c r="Z60" s="362"/>
      <c r="AA60" s="262">
        <f t="shared" si="35"/>
        <v>2216.194</v>
      </c>
      <c r="AB60" s="362"/>
    </row>
    <row r="61" spans="1:30" ht="14.5">
      <c r="A61" s="295" t="str">
        <f t="shared" si="31"/>
        <v>0_2024_NEO1</v>
      </c>
      <c r="B61" s="295">
        <f t="shared" si="31"/>
        <v>0</v>
      </c>
      <c r="C61" s="296" t="str">
        <f>_xll.ciqfunctions.udf.CIQ(B61,"IQ_COMPANY_NAME")</f>
        <v>(Invalid Identifier)</v>
      </c>
      <c r="G61" s="294" t="s">
        <v>661</v>
      </c>
      <c r="H61" s="262" t="str">
        <f t="shared" si="32"/>
        <v>-</v>
      </c>
      <c r="I61" s="262" t="str">
        <f>IFERROR(IF(G61="y",IF(H61&lt;&gt;"-",H61,INDEX(Raw_Data,MATCH($A61,Look_Up,0),MATCH(I$4,Component,0))/1000*(1+'Raw Data'!$G$13)),(INDEX(Raw_Data,MATCH($A61,Look_Up,0),MATCH(I$4,Component,0))/1000)),"-")</f>
        <v>-</v>
      </c>
      <c r="J61" s="362"/>
      <c r="K61" s="362"/>
      <c r="L61" s="362"/>
      <c r="M61" s="262" t="str">
        <f t="shared" si="33"/>
        <v>-</v>
      </c>
      <c r="N61" s="362"/>
      <c r="O61" s="362"/>
      <c r="P61" s="262" t="str">
        <f t="shared" si="36"/>
        <v>-</v>
      </c>
      <c r="Q61" s="362"/>
      <c r="R61" s="362"/>
      <c r="S61" s="362"/>
      <c r="T61" s="262" t="str">
        <f t="shared" si="34"/>
        <v>-</v>
      </c>
      <c r="U61" s="362"/>
      <c r="V61" s="362"/>
      <c r="W61" s="262" t="str">
        <f t="shared" si="37"/>
        <v>-</v>
      </c>
      <c r="X61" s="362"/>
      <c r="Y61" s="362"/>
      <c r="Z61" s="362"/>
      <c r="AA61" s="262" t="str">
        <f t="shared" si="35"/>
        <v>-</v>
      </c>
      <c r="AB61" s="362"/>
    </row>
    <row r="62" spans="1:30" ht="14.5">
      <c r="A62" s="295" t="str">
        <f t="shared" si="31"/>
        <v>0_2024_NEO1</v>
      </c>
      <c r="B62" s="295">
        <f t="shared" si="31"/>
        <v>0</v>
      </c>
      <c r="C62" s="296" t="str">
        <f>_xll.ciqfunctions.udf.CIQ(B62,"IQ_COMPANY_NAME")</f>
        <v>(Invalid Identifier)</v>
      </c>
      <c r="G62" s="294" t="s">
        <v>661</v>
      </c>
      <c r="H62" s="262" t="str">
        <f t="shared" si="32"/>
        <v>-</v>
      </c>
      <c r="I62" s="262" t="str">
        <f>IFERROR(IF(G62="y",IF(H62&lt;&gt;"-",H62,INDEX(Raw_Data,MATCH($A62,Look_Up,0),MATCH(I$4,Component,0))/1000*(1+'Raw Data'!$G$13)),(INDEX(Raw_Data,MATCH($A62,Look_Up,0),MATCH(I$4,Component,0))/1000)),"-")</f>
        <v>-</v>
      </c>
      <c r="J62" s="362"/>
      <c r="K62" s="362"/>
      <c r="L62" s="362"/>
      <c r="M62" s="262" t="str">
        <f t="shared" si="33"/>
        <v>-</v>
      </c>
      <c r="N62" s="362"/>
      <c r="O62" s="362"/>
      <c r="P62" s="262" t="str">
        <f t="shared" si="36"/>
        <v>-</v>
      </c>
      <c r="Q62" s="362"/>
      <c r="R62" s="362"/>
      <c r="S62" s="362"/>
      <c r="T62" s="262" t="str">
        <f t="shared" si="34"/>
        <v>-</v>
      </c>
      <c r="U62" s="362"/>
      <c r="V62" s="362"/>
      <c r="W62" s="262" t="str">
        <f t="shared" si="37"/>
        <v>-</v>
      </c>
      <c r="X62" s="362"/>
      <c r="Y62" s="362"/>
      <c r="Z62" s="362"/>
      <c r="AA62" s="262" t="str">
        <f t="shared" si="35"/>
        <v>-</v>
      </c>
      <c r="AB62" s="362"/>
    </row>
    <row r="63" spans="1:30" ht="14.5">
      <c r="A63" s="295" t="str">
        <f t="shared" si="31"/>
        <v>0_2024_NEO1</v>
      </c>
      <c r="B63" s="295">
        <f t="shared" si="31"/>
        <v>0</v>
      </c>
      <c r="C63" s="296" t="str">
        <f>_xll.ciqfunctions.udf.CIQ(B63,"IQ_COMPANY_NAME")</f>
        <v>(Invalid Identifier)</v>
      </c>
      <c r="G63" s="294" t="s">
        <v>661</v>
      </c>
      <c r="H63" s="262" t="str">
        <f t="shared" si="32"/>
        <v>-</v>
      </c>
      <c r="I63" s="262" t="str">
        <f>IFERROR(IF(G63="y",IF(H63&lt;&gt;"-",H63,INDEX(Raw_Data,MATCH($A63,Look_Up,0),MATCH(I$4,Component,0))/1000*(1+'Raw Data'!$G$13)),(INDEX(Raw_Data,MATCH($A63,Look_Up,0),MATCH(I$4,Component,0))/1000)),"-")</f>
        <v>-</v>
      </c>
      <c r="J63" s="362"/>
      <c r="K63" s="362"/>
      <c r="L63" s="362"/>
      <c r="M63" s="262" t="str">
        <f t="shared" si="33"/>
        <v>-</v>
      </c>
      <c r="N63" s="362"/>
      <c r="O63" s="362"/>
      <c r="P63" s="262" t="str">
        <f t="shared" si="36"/>
        <v>-</v>
      </c>
      <c r="Q63" s="362"/>
      <c r="R63" s="362"/>
      <c r="S63" s="362"/>
      <c r="T63" s="262" t="str">
        <f t="shared" si="34"/>
        <v>-</v>
      </c>
      <c r="U63" s="362"/>
      <c r="V63" s="362"/>
      <c r="W63" s="262" t="str">
        <f t="shared" si="37"/>
        <v>-</v>
      </c>
      <c r="X63" s="362"/>
      <c r="Y63" s="362"/>
      <c r="Z63" s="362"/>
      <c r="AA63" s="262" t="str">
        <f t="shared" si="35"/>
        <v>-</v>
      </c>
      <c r="AB63" s="362"/>
    </row>
    <row r="64" spans="1:30" ht="14.5">
      <c r="A64" s="295" t="str">
        <f t="shared" si="31"/>
        <v>0_2024_NEO1</v>
      </c>
      <c r="B64" s="295">
        <f t="shared" si="31"/>
        <v>0</v>
      </c>
      <c r="C64" s="296" t="str">
        <f>_xll.ciqfunctions.udf.CIQ(B64,"IQ_COMPANY_NAME")</f>
        <v>(Invalid Identifier)</v>
      </c>
      <c r="G64" s="294" t="s">
        <v>661</v>
      </c>
      <c r="H64" s="262" t="str">
        <f t="shared" si="32"/>
        <v>-</v>
      </c>
      <c r="I64" s="262" t="str">
        <f>IFERROR(IF(G64="y",IF(H64&lt;&gt;"-",H64,INDEX(Raw_Data,MATCH($A64,Look_Up,0),MATCH(I$4,Component,0))/1000*(1+'Raw Data'!$G$13)),(INDEX(Raw_Data,MATCH($A64,Look_Up,0),MATCH(I$4,Component,0))/1000)),"-")</f>
        <v>-</v>
      </c>
      <c r="J64" s="362"/>
      <c r="K64" s="362"/>
      <c r="L64" s="362"/>
      <c r="M64" s="262" t="str">
        <f t="shared" si="33"/>
        <v>-</v>
      </c>
      <c r="N64" s="362"/>
      <c r="O64" s="362"/>
      <c r="P64" s="262" t="str">
        <f t="shared" si="36"/>
        <v>-</v>
      </c>
      <c r="Q64" s="362"/>
      <c r="R64" s="362"/>
      <c r="S64" s="362"/>
      <c r="T64" s="262" t="str">
        <f t="shared" si="34"/>
        <v>-</v>
      </c>
      <c r="U64" s="362"/>
      <c r="V64" s="362"/>
      <c r="W64" s="262" t="str">
        <f t="shared" si="37"/>
        <v>-</v>
      </c>
      <c r="X64" s="362"/>
      <c r="Y64" s="362"/>
      <c r="Z64" s="362"/>
      <c r="AA64" s="262" t="str">
        <f t="shared" si="35"/>
        <v>-</v>
      </c>
      <c r="AB64" s="362"/>
    </row>
    <row r="65" spans="1:28" ht="14.5">
      <c r="A65" s="295" t="str">
        <f t="shared" si="31"/>
        <v>0_2024_NEO1</v>
      </c>
      <c r="B65" s="295">
        <f t="shared" si="31"/>
        <v>0</v>
      </c>
      <c r="C65" s="296" t="str">
        <f>_xll.ciqfunctions.udf.CIQ(B65,"IQ_COMPANY_NAME")</f>
        <v>(Invalid Identifier)</v>
      </c>
      <c r="G65" s="294" t="s">
        <v>661</v>
      </c>
      <c r="H65" s="262" t="str">
        <f t="shared" si="32"/>
        <v>-</v>
      </c>
      <c r="I65" s="262" t="str">
        <f>IFERROR(IF(G65="y",IF(H65&lt;&gt;"-",H65,INDEX(Raw_Data,MATCH($A65,Look_Up,0),MATCH(I$4,Component,0))/1000*(1+'Raw Data'!$G$13)),(INDEX(Raw_Data,MATCH($A65,Look_Up,0),MATCH(I$4,Component,0))/1000)),"-")</f>
        <v>-</v>
      </c>
      <c r="J65" s="362"/>
      <c r="K65" s="362"/>
      <c r="L65" s="362"/>
      <c r="M65" s="262" t="str">
        <f t="shared" si="33"/>
        <v>-</v>
      </c>
      <c r="N65" s="362"/>
      <c r="O65" s="362"/>
      <c r="P65" s="262" t="str">
        <f t="shared" si="36"/>
        <v>-</v>
      </c>
      <c r="Q65" s="362"/>
      <c r="R65" s="362"/>
      <c r="S65" s="362"/>
      <c r="T65" s="262" t="str">
        <f t="shared" si="34"/>
        <v>-</v>
      </c>
      <c r="U65" s="362"/>
      <c r="V65" s="362"/>
      <c r="W65" s="262" t="str">
        <f t="shared" si="37"/>
        <v>-</v>
      </c>
      <c r="X65" s="362"/>
      <c r="Y65" s="362"/>
      <c r="Z65" s="362"/>
      <c r="AA65" s="262" t="str">
        <f t="shared" si="35"/>
        <v>-</v>
      </c>
      <c r="AB65" s="362"/>
    </row>
    <row r="66" spans="1:28" ht="14.5">
      <c r="A66" s="295" t="str">
        <f t="shared" si="31"/>
        <v>0_2024_NEO1</v>
      </c>
      <c r="B66" s="295">
        <f t="shared" si="31"/>
        <v>0</v>
      </c>
      <c r="C66" s="296" t="str">
        <f>_xll.ciqfunctions.udf.CIQ(B66,"IQ_COMPANY_NAME")</f>
        <v>(Invalid Identifier)</v>
      </c>
      <c r="G66" s="294" t="s">
        <v>661</v>
      </c>
      <c r="H66" s="304" t="str">
        <f t="shared" si="32"/>
        <v>-</v>
      </c>
      <c r="I66" s="262" t="str">
        <f>IFERROR(IF(G66="y",IF(H66&lt;&gt;"-",H66,INDEX(Raw_Data,MATCH($A66,Look_Up,0),MATCH(I$4,Component,0))/1000*(1+'Raw Data'!$G$13)),(INDEX(Raw_Data,MATCH($A66,Look_Up,0),MATCH(I$4,Component,0))/1000)),"-")</f>
        <v>-</v>
      </c>
      <c r="J66" s="362"/>
      <c r="K66" s="362"/>
      <c r="L66" s="362"/>
      <c r="M66" s="262" t="str">
        <f t="shared" si="33"/>
        <v>-</v>
      </c>
      <c r="N66" s="362"/>
      <c r="O66" s="362"/>
      <c r="P66" s="304" t="str">
        <f t="shared" si="36"/>
        <v>-</v>
      </c>
      <c r="Q66" s="362"/>
      <c r="R66" s="362"/>
      <c r="S66" s="362"/>
      <c r="T66" s="262" t="str">
        <f t="shared" si="34"/>
        <v>-</v>
      </c>
      <c r="U66" s="362"/>
      <c r="V66" s="362"/>
      <c r="W66" s="304" t="str">
        <f t="shared" si="37"/>
        <v>-</v>
      </c>
      <c r="X66" s="362"/>
      <c r="Y66" s="362"/>
      <c r="Z66" s="362"/>
      <c r="AA66" s="304" t="str">
        <f t="shared" si="35"/>
        <v>-</v>
      </c>
      <c r="AB66" s="362"/>
    </row>
    <row r="67" spans="1:28" ht="14.5">
      <c r="A67" s="15"/>
      <c r="B67" s="15"/>
      <c r="I67" s="288"/>
      <c r="M67" s="288"/>
      <c r="P67" s="288"/>
      <c r="T67" s="288"/>
      <c r="W67" s="288"/>
      <c r="AA67" s="288"/>
    </row>
    <row r="68" spans="1:28" ht="14.5">
      <c r="A68" s="15"/>
      <c r="B68" s="15"/>
      <c r="I68" s="262">
        <f>PERCENTILE(I$47:I$66,$B29)</f>
        <v>802.47171249999997</v>
      </c>
      <c r="M68" s="262">
        <f>PERCENTILE(M$47:M$66,$B29)</f>
        <v>638.58055875000002</v>
      </c>
      <c r="P68" s="262">
        <f>PERCENTILE(P$47:P$66,$B29)</f>
        <v>1444.4490824999998</v>
      </c>
      <c r="T68" s="262">
        <f>PERCENTILE(T$47:T$66,$B29)</f>
        <v>1530.3944804530502</v>
      </c>
      <c r="W68" s="262">
        <f>PERCENTILE(W$47:W$66,$B29)</f>
        <v>2902.6838114531001</v>
      </c>
      <c r="AA68" s="262">
        <f>PERCENTILE(AA$47:AA$66,$B29)</f>
        <v>2913.9194012500002</v>
      </c>
    </row>
    <row r="69" spans="1:28" ht="14.5">
      <c r="A69" s="15"/>
      <c r="B69" s="15"/>
      <c r="I69" s="266">
        <f>PERCENTILE(I$47:I$66,$B30)</f>
        <v>669.92783624999993</v>
      </c>
      <c r="M69" s="266">
        <f>PERCENTILE(M$47:M$66,$B30)</f>
        <v>580.66249999999991</v>
      </c>
      <c r="P69" s="266">
        <f>PERCENTILE(P$47:P$66,$B30)</f>
        <v>1211.5374999999999</v>
      </c>
      <c r="T69" s="266">
        <f>PERCENTILE(T$47:T$66,$B30)</f>
        <v>1191.6031375</v>
      </c>
      <c r="W69" s="266">
        <f>PERCENTILE(W$47:W$66,$B30)</f>
        <v>2572.7873024999999</v>
      </c>
      <c r="AA69" s="266">
        <f>PERCENTILE(AA$47:AA$66,$B30)</f>
        <v>2665.499137652866</v>
      </c>
    </row>
    <row r="70" spans="1:28" ht="14.5">
      <c r="A70" s="15"/>
      <c r="B70" s="15"/>
      <c r="I70" s="262">
        <f>PERCENTILE(I$47:I$66,$B31)</f>
        <v>598.76990000000001</v>
      </c>
      <c r="M70" s="262">
        <f>PERCENTILE(M$47:M$66,$B31)</f>
        <v>496.52901000000003</v>
      </c>
      <c r="P70" s="262">
        <f>PERCENTILE(P$47:P$66,$B31)</f>
        <v>1127.65121</v>
      </c>
      <c r="T70" s="262">
        <f>PERCENTILE(T$47:T$66,$B31)</f>
        <v>1031.058429880122</v>
      </c>
      <c r="W70" s="262">
        <f>PERCENTILE(W$47:W$66,$B31)</f>
        <v>2131.9748550000004</v>
      </c>
      <c r="AA70" s="262">
        <f>PERCENTILE(AA$47:AA$66,$B31)</f>
        <v>2320.7728311700002</v>
      </c>
    </row>
    <row r="71" spans="1:28" ht="14.5">
      <c r="A71" s="15"/>
      <c r="B71" s="15"/>
      <c r="I71" s="270">
        <f>AVERAGE(I47:I66)</f>
        <v>692.59370161351421</v>
      </c>
      <c r="M71" s="270">
        <f>AVERAGE(M47:M66)</f>
        <v>599.60394935260865</v>
      </c>
      <c r="P71" s="270">
        <f>AVERAGE(P47:P66)</f>
        <v>1292.1976509661231</v>
      </c>
      <c r="T71" s="270">
        <f>AVERAGE(T47:T66)</f>
        <v>1327.8495975169026</v>
      </c>
      <c r="W71" s="270">
        <f>AVERAGE(W47:W66)</f>
        <v>2620.0472484830252</v>
      </c>
      <c r="AA71" s="270">
        <f>AVERAGE(AA47:AA66)</f>
        <v>2783.6188791651684</v>
      </c>
    </row>
    <row r="72" spans="1:28">
      <c r="A72" s="15"/>
      <c r="B72" s="15"/>
    </row>
  </sheetData>
  <mergeCells count="10">
    <mergeCell ref="I6:I7"/>
    <mergeCell ref="X6:X7"/>
    <mergeCell ref="Y6:Y7"/>
    <mergeCell ref="Z6:AA6"/>
    <mergeCell ref="C6:C7"/>
    <mergeCell ref="D6:D7"/>
    <mergeCell ref="E6:E7"/>
    <mergeCell ref="F6:F7"/>
    <mergeCell ref="G6:G7"/>
    <mergeCell ref="H6:H7"/>
  </mergeCells>
  <conditionalFormatting sqref="C8:AA27">
    <cfRule type="expression" dxfId="151" priority="4">
      <formula>MOD(ROW(),2)=0</formula>
    </cfRule>
  </conditionalFormatting>
  <conditionalFormatting sqref="C29:AA32">
    <cfRule type="expression" dxfId="150" priority="5">
      <formula>MOD(ROW(),2)=0</formula>
    </cfRule>
  </conditionalFormatting>
  <conditionalFormatting sqref="C34:AA37">
    <cfRule type="expression" dxfId="149" priority="1">
      <formula>MOD(ROW(),2)=0</formula>
    </cfRule>
  </conditionalFormatting>
  <conditionalFormatting sqref="H47:I66">
    <cfRule type="expression" dxfId="148" priority="15">
      <formula>MOD(ROW(),2)=0</formula>
    </cfRule>
  </conditionalFormatting>
  <conditionalFormatting sqref="I68:I71">
    <cfRule type="expression" dxfId="147" priority="20">
      <formula>MOD(ROW(),2)=0</formula>
    </cfRule>
  </conditionalFormatting>
  <conditionalFormatting sqref="M47:M66">
    <cfRule type="expression" dxfId="146" priority="23">
      <formula>MOD(ROW(),2)=0</formula>
    </cfRule>
  </conditionalFormatting>
  <conditionalFormatting sqref="M68:M71">
    <cfRule type="expression" dxfId="145" priority="19">
      <formula>MOD(ROW(),2)=0</formula>
    </cfRule>
  </conditionalFormatting>
  <conditionalFormatting sqref="P47:P66">
    <cfRule type="expression" dxfId="144" priority="22">
      <formula>MOD(ROW(),2)=0</formula>
    </cfRule>
  </conditionalFormatting>
  <conditionalFormatting sqref="P68:P71">
    <cfRule type="expression" dxfId="143" priority="18">
      <formula>MOD(ROW(),2)=0</formula>
    </cfRule>
  </conditionalFormatting>
  <conditionalFormatting sqref="T47:T66">
    <cfRule type="expression" dxfId="142" priority="21">
      <formula>MOD(ROW(),2)=0</formula>
    </cfRule>
  </conditionalFormatting>
  <conditionalFormatting sqref="T68:T71">
    <cfRule type="expression" dxfId="141" priority="17">
      <formula>MOD(ROW(),2)=0</formula>
    </cfRule>
  </conditionalFormatting>
  <conditionalFormatting sqref="W47:W66">
    <cfRule type="expression" dxfId="140" priority="13">
      <formula>MOD(ROW(),2)=0</formula>
    </cfRule>
  </conditionalFormatting>
  <conditionalFormatting sqref="W68:W71">
    <cfRule type="expression" dxfId="139" priority="16">
      <formula>MOD(ROW(),2)=0</formula>
    </cfRule>
  </conditionalFormatting>
  <conditionalFormatting sqref="AA47:AA66">
    <cfRule type="expression" dxfId="138" priority="10">
      <formula>MOD(ROW(),2)=0</formula>
    </cfRule>
  </conditionalFormatting>
  <conditionalFormatting sqref="AA68:AA71">
    <cfRule type="expression" dxfId="137" priority="11">
      <formula>MOD(ROW(),2)=0</formula>
    </cfRule>
  </conditionalFormatting>
  <conditionalFormatting sqref="AC8:AD27">
    <cfRule type="expression" dxfId="136" priority="14">
      <formula>MOD(ROW(),2)=0</formula>
    </cfRule>
  </conditionalFormatting>
  <conditionalFormatting sqref="AC29:AD33 AD34:AD35 AC36:AD37">
    <cfRule type="expression" dxfId="135" priority="12">
      <formula>MOD(ROW(),2)=0</formula>
    </cfRule>
  </conditionalFormatting>
  <conditionalFormatting sqref="AG8:AN27">
    <cfRule type="expression" dxfId="134" priority="6">
      <formula>MOD(ROW(),2)=0</formula>
    </cfRule>
  </conditionalFormatting>
  <conditionalFormatting sqref="AL29:AM37">
    <cfRule type="expression" dxfId="133" priority="7">
      <formula>MOD(ROW(),2)=0</formula>
    </cfRule>
  </conditionalFormatting>
  <dataValidations count="1">
    <dataValidation type="list" allowBlank="1" showInputMessage="1" showErrorMessage="1" sqref="G47:G66" xr:uid="{A3A0FE5D-AA2D-4F7E-A80C-4CA894FBCC00}">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A512-F723-44CD-A49E-E4F3C1FE563D}">
  <sheetPr>
    <tabColor theme="3"/>
    <pageSetUpPr fitToPage="1"/>
  </sheetPr>
  <dimension ref="A1:AP72"/>
  <sheetViews>
    <sheetView showGridLines="0" topLeftCell="A15" zoomScale="85" zoomScaleNormal="85" workbookViewId="0">
      <selection activeCell="Z44" sqref="Z44"/>
    </sheetView>
  </sheetViews>
  <sheetFormatPr defaultColWidth="9.1796875" defaultRowHeight="14" outlineLevelRow="1" outlineLevelCol="3"/>
  <cols>
    <col min="1" max="1" width="10.453125" style="12" bestFit="1" customWidth="1"/>
    <col min="2" max="2" width="8.1796875" style="12" customWidth="1"/>
    <col min="3" max="3" width="32.7265625" style="12" customWidth="1"/>
    <col min="4" max="5" width="14.453125" style="12" hidden="1" customWidth="1" outlineLevel="1"/>
    <col min="6" max="6" width="22" style="12" bestFit="1" customWidth="1" outlineLevel="1"/>
    <col min="7" max="7" width="47.81640625" style="12"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108</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NEO2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07" t="s">
        <v>22</v>
      </c>
      <c r="D6" s="1109" t="s">
        <v>21</v>
      </c>
      <c r="E6" s="1109" t="s">
        <v>20</v>
      </c>
      <c r="F6" s="1109" t="s">
        <v>19</v>
      </c>
      <c r="G6" s="1109" t="s">
        <v>18</v>
      </c>
      <c r="H6" s="1100" t="s">
        <v>114</v>
      </c>
      <c r="I6" s="1100" t="s">
        <v>17</v>
      </c>
      <c r="J6" s="899" t="s">
        <v>16</v>
      </c>
      <c r="K6" s="899"/>
      <c r="L6" s="899"/>
      <c r="M6" s="899" t="s">
        <v>16</v>
      </c>
      <c r="N6" s="899"/>
      <c r="O6" s="899" t="s">
        <v>15</v>
      </c>
      <c r="P6" s="899"/>
      <c r="Q6" s="899" t="s">
        <v>14</v>
      </c>
      <c r="R6" s="899"/>
      <c r="S6" s="899"/>
      <c r="T6" s="899" t="s">
        <v>14</v>
      </c>
      <c r="U6" s="899"/>
      <c r="V6" s="899" t="s">
        <v>656</v>
      </c>
      <c r="W6" s="899"/>
      <c r="X6" s="1102" t="s">
        <v>31</v>
      </c>
      <c r="Y6" s="1104" t="s">
        <v>245</v>
      </c>
      <c r="Z6" s="1104" t="s">
        <v>244</v>
      </c>
      <c r="AA6" s="1106"/>
      <c r="AB6" s="698"/>
      <c r="AC6" s="685" t="s">
        <v>12</v>
      </c>
      <c r="AD6" s="610"/>
      <c r="AE6" s="698">
        <v>2023</v>
      </c>
      <c r="AF6" s="699"/>
      <c r="AG6" s="688" t="s">
        <v>657</v>
      </c>
      <c r="AH6" s="689"/>
      <c r="AI6" s="689"/>
      <c r="AJ6" s="689"/>
      <c r="AK6" s="689"/>
      <c r="AL6" s="688" t="s">
        <v>657</v>
      </c>
      <c r="AM6" s="690"/>
      <c r="AN6" s="683"/>
    </row>
    <row r="7" spans="1:42" ht="20.149999999999999" customHeight="1">
      <c r="A7" s="52" t="s">
        <v>54</v>
      </c>
      <c r="B7" s="52" t="s">
        <v>25</v>
      </c>
      <c r="C7" s="1108"/>
      <c r="D7" s="1110" t="s">
        <v>21</v>
      </c>
      <c r="E7" s="1110" t="s">
        <v>20</v>
      </c>
      <c r="F7" s="1110" t="s">
        <v>19</v>
      </c>
      <c r="G7" s="1110" t="s">
        <v>18</v>
      </c>
      <c r="H7" s="1101" t="s">
        <v>17</v>
      </c>
      <c r="I7" s="1101" t="s">
        <v>17</v>
      </c>
      <c r="J7" s="901" t="s">
        <v>40</v>
      </c>
      <c r="K7" s="902" t="s">
        <v>51</v>
      </c>
      <c r="L7" s="902" t="s">
        <v>104</v>
      </c>
      <c r="M7" s="902" t="s">
        <v>42</v>
      </c>
      <c r="N7" s="901" t="s">
        <v>41</v>
      </c>
      <c r="O7" s="901" t="s">
        <v>53</v>
      </c>
      <c r="P7" s="901" t="s">
        <v>42</v>
      </c>
      <c r="Q7" s="902" t="s">
        <v>40</v>
      </c>
      <c r="R7" s="903" t="s">
        <v>52</v>
      </c>
      <c r="S7" s="903" t="s">
        <v>105</v>
      </c>
      <c r="T7" s="902" t="s">
        <v>42</v>
      </c>
      <c r="U7" s="904" t="s">
        <v>41</v>
      </c>
      <c r="V7" s="901" t="s">
        <v>40</v>
      </c>
      <c r="W7" s="901" t="s">
        <v>42</v>
      </c>
      <c r="X7" s="1103"/>
      <c r="Y7" s="1105"/>
      <c r="Z7" s="611" t="s">
        <v>40</v>
      </c>
      <c r="AA7" s="612" t="s">
        <v>42</v>
      </c>
      <c r="AB7" s="698"/>
      <c r="AC7" s="686" t="s">
        <v>11</v>
      </c>
      <c r="AD7" s="687" t="s">
        <v>10</v>
      </c>
      <c r="AE7" s="699" t="str">
        <f>AE6&amp;" Lookup"</f>
        <v>2023 Lookup</v>
      </c>
      <c r="AF7" s="699"/>
      <c r="AG7" s="691" t="s">
        <v>22</v>
      </c>
      <c r="AH7" s="692" t="s">
        <v>19</v>
      </c>
      <c r="AI7" s="692" t="s">
        <v>660</v>
      </c>
      <c r="AJ7" s="693" t="s">
        <v>658</v>
      </c>
      <c r="AK7" s="692" t="s">
        <v>18</v>
      </c>
      <c r="AL7" s="694" t="s">
        <v>40</v>
      </c>
      <c r="AM7" s="695" t="s">
        <v>42</v>
      </c>
      <c r="AN7" s="684" t="s">
        <v>659</v>
      </c>
    </row>
    <row r="8" spans="1:42" ht="20.25" customHeight="1">
      <c r="A8" s="12" t="str">
        <f t="shared" ref="A8:A21" si="0">$B8&amp;"_"&amp;$C$3&amp;"_"&amp;$C$2</f>
        <v>TSX:K_2024_NEO2</v>
      </c>
      <c r="B8" s="12" t="str">
        <f>'Raw Data'!D5</f>
        <v>TSX:K</v>
      </c>
      <c r="C8" s="766" t="str">
        <f t="shared" ref="C8:C21" si="1">IFERROR(INDEX(Raw_Data,MATCH($A8,Look_Up,0),MATCH(C$4,Component,0)),"-")</f>
        <v>Kinross Gold Corporation</v>
      </c>
      <c r="D8" s="767">
        <f>_xll.ciqfunctions.udf.CIQ(B8, "IQ_MARKETCAP", $A$1,$A$2)</f>
        <v>26179.912</v>
      </c>
      <c r="E8" s="767">
        <f>_xll.ciqfunctions.udf.CIQ($B8, "IQ_TEV", $A$1,$A$2)</f>
        <v>27159.32229</v>
      </c>
      <c r="F8" s="768" t="str">
        <f t="shared" ref="F8:G21" si="2">IFERROR(INDEX(Raw_Data,MATCH($A8,Look_Up,0),MATCH(F$4,Component,0)),"-")</f>
        <v>Claude J.S. Schimper</v>
      </c>
      <c r="G8" s="768" t="str">
        <f t="shared" si="2"/>
        <v>EVP &amp; COO</v>
      </c>
      <c r="H8" s="767">
        <f t="shared" ref="H8:J21" si="3">IFERROR(INDEX(Raw_Data,MATCH($A8,Look_Up,0),MATCH(H$4,Component,0))/1000,"-")</f>
        <v>670</v>
      </c>
      <c r="I8" s="767">
        <f t="shared" si="3"/>
        <v>618.97429750000015</v>
      </c>
      <c r="J8" s="769">
        <f t="shared" si="3"/>
        <v>717.23603905000004</v>
      </c>
      <c r="K8" s="770">
        <f t="shared" ref="K8:L21" si="4">IFERROR(INDEX(Raw_Data,MATCH($A8,Look_Up,0),MATCH(K$4,Component,0)),"-")</f>
        <v>1.158749308245711</v>
      </c>
      <c r="L8" s="770">
        <f t="shared" si="4"/>
        <v>1.0098414601315573</v>
      </c>
      <c r="M8" s="771">
        <f t="shared" ref="M8:M21" si="5">IFERROR(INDEX(Raw_Data,MATCH($A8,Look_Up,0),MATCH(M$4,Component,0))/1000,"-")</f>
        <v>557.07686775000013</v>
      </c>
      <c r="N8" s="772">
        <f t="shared" ref="N8:N21" si="6">IFERROR(IF(INDEX(Raw_Data,MATCH($A8,Look_Up,0),MATCH(N$4,Component,0))="-",L8,INDEX(Raw_Data,MATCH($A8,Look_Up,0),MATCH(N$4,Component,0))),"-")</f>
        <v>0.9</v>
      </c>
      <c r="O8" s="769">
        <f t="shared" ref="O8:Q21" si="7">IFERROR(INDEX(Raw_Data,MATCH($A8,Look_Up,0),MATCH(O$4,Component,0))/1000,"-")</f>
        <v>1336.2103365500002</v>
      </c>
      <c r="P8" s="773">
        <f t="shared" si="7"/>
        <v>1176.0511652500002</v>
      </c>
      <c r="Q8" s="769">
        <f t="shared" si="7"/>
        <v>1336.9844826000003</v>
      </c>
      <c r="R8" s="770">
        <f t="shared" ref="R8:S21" si="8">IFERROR(INDEX(Raw_Data,MATCH($A8,Look_Up,0),MATCH(R$4,Component,0)),"-")</f>
        <v>2.16</v>
      </c>
      <c r="S8" s="770">
        <f t="shared" si="8"/>
        <v>2.153827654803584</v>
      </c>
      <c r="T8" s="771">
        <f t="shared" ref="T8:T21" si="9">IFERROR(INDEX(Raw_Data,MATCH($A8,Look_Up,0),MATCH(T$4,Component,0))/1000,"-")</f>
        <v>1333.1639595681211</v>
      </c>
      <c r="U8" s="772">
        <f t="shared" ref="U8:U21" si="10">IFERROR(IF(INDEX(Raw_Data,MATCH($A8,Look_Up,0),MATCH(U$4,Component,0))="-",S8,INDEX(Raw_Data,MATCH($A8,Look_Up,0),MATCH(U$4,Component,0))),"-")</f>
        <v>2.153827654803584</v>
      </c>
      <c r="V8" s="769">
        <f t="shared" ref="V8:W21" si="11">IFERROR(INDEX(Raw_Data,MATCH($A8,Look_Up,0),MATCH(V$4,Component,0))/1000,"-")</f>
        <v>2673.1948191500005</v>
      </c>
      <c r="W8" s="774">
        <f t="shared" si="11"/>
        <v>2509.2151248181212</v>
      </c>
      <c r="X8" s="769">
        <f t="shared" ref="X8:Y21" si="12">IFERROR((INDEX(Raw_Data,MATCH($A8,Look_Up,0),MATCH(X$4,Component,0))/1000),"-")</f>
        <v>176.40938750000001</v>
      </c>
      <c r="Y8" s="774">
        <f t="shared" si="12"/>
        <v>133.48607190999999</v>
      </c>
      <c r="Z8" s="769">
        <f t="shared" ref="Z8:AA21" si="13">IFERROR(INDEX(Raw_Data,MATCH($A8,Look_Up,0),MATCH(Z$4,Component,0))/1000,"-")</f>
        <v>2983.0902785600006</v>
      </c>
      <c r="AA8" s="774">
        <f t="shared" si="13"/>
        <v>2819.1105842281213</v>
      </c>
      <c r="AB8" s="775"/>
      <c r="AC8" s="776">
        <f t="shared" ref="AC8:AC21" si="14">IFERROR(P8/W8,0)</f>
        <v>0.46869284088794316</v>
      </c>
      <c r="AD8" s="777">
        <f t="shared" ref="AD8:AD21" si="15">IFERROR(T8/W8,0)</f>
        <v>0.53130715911205684</v>
      </c>
      <c r="AE8" s="778" t="str">
        <f t="shared" ref="AE8:AE21" si="16">B8&amp;"_"&amp;$AE$6&amp;"_"&amp;$C$2</f>
        <v>TSX:K_2023_NEO2</v>
      </c>
      <c r="AF8" s="778"/>
      <c r="AG8" s="779" t="str" cm="1">
        <f t="array" ref="AG8">IFERROR(INDEX('Import 2023 Data'!$E$4:$I$113,_xlfn.XMATCH('NEO4'!$AE8,'Import 2023 Data'!$C$4:$C$113),_xlfn.XMATCH('NEO4'!AG$5,'Import 2023 Data'!$E$3:$I$3)),"-")</f>
        <v>Kinross Gold Corporation</v>
      </c>
      <c r="AH8" s="780" t="str" cm="1">
        <f t="array" ref="AH8">IFERROR(INDEX('Import 2023 Data'!$E$4:$I$113,_xlfn.XMATCH('NEO4'!$AE8,'Import 2023 Data'!$C$4:$C$113),_xlfn.XMATCH('NEO4'!AH$5,'Import 2023 Data'!$E$3:$I$3)),"-")</f>
        <v>Claude J.S. Schimper</v>
      </c>
      <c r="AI8" s="781" t="str">
        <f>IF(ISNUMBER(_xlfn.XMATCH(C8,'Import 2023 Data'!$E$4:$E$113)),"N","Y")</f>
        <v>N</v>
      </c>
      <c r="AJ8" s="781" t="str">
        <f>IFERROR(IF(TRIM(LOWER(AH8))=TRIM(LOWER(F8)),"N","Y"),"-")</f>
        <v>N</v>
      </c>
      <c r="AK8" s="780" t="str" cm="1">
        <f t="array" ref="AK8">IFERROR(INDEX('Import 2023 Data'!$E$4:$I$113,_xlfn.XMATCH('NEO4'!$AE8,'Import 2023 Data'!$C$4:$C$113),_xlfn.XMATCH('NEO4'!AK$5,'Import 2023 Data'!$E$3:$I$3)),"-")</f>
        <v>EVP and COO</v>
      </c>
      <c r="AL8" s="889" cm="1">
        <f t="array" ref="AL8">IFERROR(INDEX('Import 2023 Data'!$E$4:$I$113,_xlfn.XMATCH('NEO4'!$AE8,'Import 2023 Data'!$C$4:$C$113),_xlfn.XMATCH('NEO4'!AL$5,'Import 2023 Data'!$E$3:$I$3)),"-")</f>
        <v>2606.57982932</v>
      </c>
      <c r="AM8" s="890" cm="1">
        <f t="array" ref="AM8">IFERROR(INDEX('Import 2023 Data'!$E$4:$I$113,_xlfn.XMATCH('NEO4'!$AE8,'Import 2023 Data'!$C$4:$C$113),_xlfn.XMATCH('NEO4'!AM$5,'Import 2023 Data'!$E$3:$I$3)),"-")</f>
        <v>2479.994840788167</v>
      </c>
      <c r="AN8" s="733">
        <f>IF(AJ8="N",IFERROR(W8/AM8-1,"-"),"-")</f>
        <v>1.1782397103966336E-2</v>
      </c>
    </row>
    <row r="9" spans="1:42" ht="20.25" customHeight="1">
      <c r="A9" s="12" t="str">
        <f t="shared" si="0"/>
        <v>TSX:LUN_2024_NEO2</v>
      </c>
      <c r="B9" s="12" t="str">
        <f>'Raw Data'!D6</f>
        <v>TSX:LUN</v>
      </c>
      <c r="C9" s="766" t="str">
        <f t="shared" si="1"/>
        <v>Lundin Mining Corporation</v>
      </c>
      <c r="D9" s="767">
        <f>_xll.ciqfunctions.udf.CIQ(B9, "IQ_MARKETCAP", $A$1,$A$2)</f>
        <v>11855.56763</v>
      </c>
      <c r="E9" s="767">
        <f>_xll.ciqfunctions.udf.CIQ($B9, "IQ_TEV", $A$1,$A$2)</f>
        <v>16005.2402</v>
      </c>
      <c r="F9" s="768" t="str">
        <f t="shared" si="2"/>
        <v>David Dicaire</v>
      </c>
      <c r="G9" s="768" t="str">
        <f t="shared" si="2"/>
        <v>EVP, Josemaría Project</v>
      </c>
      <c r="H9" s="767" t="str">
        <f t="shared" si="3"/>
        <v>-</v>
      </c>
      <c r="I9" s="767">
        <f t="shared" si="3"/>
        <v>750</v>
      </c>
      <c r="J9" s="769">
        <f t="shared" si="3"/>
        <v>1109.46227342</v>
      </c>
      <c r="K9" s="770">
        <f t="shared" si="4"/>
        <v>1.4792830312266667</v>
      </c>
      <c r="L9" s="770">
        <f t="shared" si="4"/>
        <v>0.9255384886356478</v>
      </c>
      <c r="M9" s="771">
        <f t="shared" si="5"/>
        <v>562.5</v>
      </c>
      <c r="N9" s="772">
        <f t="shared" si="6"/>
        <v>0.75</v>
      </c>
      <c r="O9" s="769">
        <f t="shared" si="7"/>
        <v>1859.46227342</v>
      </c>
      <c r="P9" s="773">
        <f t="shared" si="7"/>
        <v>1312.5</v>
      </c>
      <c r="Q9" s="769" t="str">
        <f t="shared" si="7"/>
        <v>-</v>
      </c>
      <c r="R9" s="770" t="str">
        <f t="shared" si="8"/>
        <v>-</v>
      </c>
      <c r="S9" s="770">
        <f t="shared" si="8"/>
        <v>1.4728276053409559</v>
      </c>
      <c r="T9" s="771">
        <f t="shared" si="9"/>
        <v>1104.6207040057168</v>
      </c>
      <c r="U9" s="772">
        <f t="shared" si="10"/>
        <v>1.4728276053409559</v>
      </c>
      <c r="V9" s="769">
        <f t="shared" si="11"/>
        <v>1859.46227342</v>
      </c>
      <c r="W9" s="774">
        <f t="shared" si="11"/>
        <v>2417.120704005717</v>
      </c>
      <c r="X9" s="769" t="str">
        <f t="shared" si="12"/>
        <v>-</v>
      </c>
      <c r="Y9" s="774">
        <f t="shared" si="12"/>
        <v>139.88339564</v>
      </c>
      <c r="Z9" s="769">
        <f t="shared" si="13"/>
        <v>1999.3456690600001</v>
      </c>
      <c r="AA9" s="774">
        <f t="shared" si="13"/>
        <v>2557.0040996457169</v>
      </c>
      <c r="AB9" s="775"/>
      <c r="AC9" s="776">
        <f t="shared" si="14"/>
        <v>0.543001430513954</v>
      </c>
      <c r="AD9" s="777">
        <f t="shared" si="15"/>
        <v>0.45699856948604589</v>
      </c>
      <c r="AE9" s="778" t="str">
        <f t="shared" si="16"/>
        <v>TSX:LUN_2023_NEO2</v>
      </c>
      <c r="AF9" s="778"/>
      <c r="AG9" s="782" t="str" cm="1">
        <f t="array" ref="AG9">IFERROR(INDEX('Import 2023 Data'!$E$4:$I$113,_xlfn.XMATCH('NEO4'!$AE9,'Import 2023 Data'!$C$4:$C$113),_xlfn.XMATCH('NEO4'!AG$5,'Import 2023 Data'!$E$3:$I$3)),"-")</f>
        <v>Lundin Mining Corporation</v>
      </c>
      <c r="AH9" s="778" t="str" cm="1">
        <f t="array" ref="AH9">IFERROR(INDEX('Import 2023 Data'!$E$4:$I$113,_xlfn.XMATCH('NEO4'!$AE9,'Import 2023 Data'!$C$4:$C$113),_xlfn.XMATCH('NEO4'!AH$5,'Import 2023 Data'!$E$3:$I$3)),"-")</f>
        <v>David Dicaire</v>
      </c>
      <c r="AI9" s="783" t="str">
        <f>IF(ISNUMBER(_xlfn.XMATCH(C9,'Import 2023 Data'!$E$4:$E$113)),"N","Y")</f>
        <v>N</v>
      </c>
      <c r="AJ9" s="783" t="str">
        <f>IFERROR(IF(TRIM(LOWER(AH9))=TRIM(LOWER(F9)),"N","Y"),"-")</f>
        <v>N</v>
      </c>
      <c r="AK9" s="778" t="str" cm="1">
        <f t="array" ref="AK9">IFERROR(INDEX('Import 2023 Data'!$E$4:$I$113,_xlfn.XMATCH('NEO4'!$AE9,'Import 2023 Data'!$C$4:$C$113),_xlfn.XMATCH('NEO4'!AK$5,'Import 2023 Data'!$E$3:$I$3)),"-")</f>
        <v>EVP, Josemaria Project</v>
      </c>
      <c r="AL9" s="891" cm="1">
        <f t="array" ref="AL9">IFERROR(INDEX('Import 2023 Data'!$E$4:$I$113,_xlfn.XMATCH('NEO4'!$AE9,'Import 2023 Data'!$C$4:$C$113),_xlfn.XMATCH('NEO4'!AL$5,'Import 2023 Data'!$E$3:$I$3)),"-")</f>
        <v>2456.0345937000002</v>
      </c>
      <c r="AM9" s="892" cm="1">
        <f t="array" ref="AM9">IFERROR(INDEX('Import 2023 Data'!$E$4:$I$113,_xlfn.XMATCH('NEO4'!$AE9,'Import 2023 Data'!$C$4:$C$113),_xlfn.XMATCH('NEO4'!AM$5,'Import 2023 Data'!$E$3:$I$3)),"-")</f>
        <v>2417.4689965964399</v>
      </c>
      <c r="AN9" s="885">
        <f t="shared" ref="AN9:AN21" si="17">IF(AJ9="N",IFERROR(W9/AM9-1,"-"),"-")</f>
        <v>-1.4407323991050269E-4</v>
      </c>
      <c r="AP9" s="12" t="s">
        <v>767</v>
      </c>
    </row>
    <row r="10" spans="1:42" ht="20.25" customHeight="1">
      <c r="A10" s="12" t="str">
        <f t="shared" si="0"/>
        <v>TSX:AGI_2024_NEO2</v>
      </c>
      <c r="B10" s="12" t="str">
        <f>'Raw Data'!D7</f>
        <v>TSX:AGI</v>
      </c>
      <c r="C10" s="766" t="str">
        <f t="shared" si="1"/>
        <v>Alamos Gold Inc.</v>
      </c>
      <c r="D10" s="767">
        <f>_xll.ciqfunctions.udf.CIQ(B10, "IQ_MARKETCAP", $A$1,$A$2)</f>
        <v>15291.758599999999</v>
      </c>
      <c r="E10" s="767">
        <f>_xll.ciqfunctions.udf.CIQ($B10, "IQ_TEV", $A$1,$A$2)</f>
        <v>15239.87026</v>
      </c>
      <c r="F10" s="768" t="str">
        <f t="shared" si="2"/>
        <v>Christopher Bostwick</v>
      </c>
      <c r="G10" s="768" t="str">
        <f t="shared" si="2"/>
        <v>SVP, Technical Services</v>
      </c>
      <c r="H10" s="767" t="str">
        <f t="shared" si="3"/>
        <v>-</v>
      </c>
      <c r="I10" s="767">
        <f t="shared" si="3"/>
        <v>445</v>
      </c>
      <c r="J10" s="769">
        <f t="shared" si="3"/>
        <v>376.32404135000002</v>
      </c>
      <c r="K10" s="770">
        <f t="shared" si="4"/>
        <v>0.84567200303370793</v>
      </c>
      <c r="L10" s="770">
        <f t="shared" si="4"/>
        <v>0.73189047986149858</v>
      </c>
      <c r="M10" s="771">
        <f t="shared" si="5"/>
        <v>311.5</v>
      </c>
      <c r="N10" s="772">
        <f t="shared" si="6"/>
        <v>0.7</v>
      </c>
      <c r="O10" s="769">
        <f t="shared" si="7"/>
        <v>821.32404135000002</v>
      </c>
      <c r="P10" s="773">
        <f t="shared" si="7"/>
        <v>756.5</v>
      </c>
      <c r="Q10" s="769">
        <f t="shared" si="7"/>
        <v>644.81981421000012</v>
      </c>
      <c r="R10" s="770">
        <f t="shared" si="8"/>
        <v>1.4490332903595509</v>
      </c>
      <c r="S10" s="770">
        <f t="shared" si="8"/>
        <v>1.2992227455522594</v>
      </c>
      <c r="T10" s="771">
        <f t="shared" si="9"/>
        <v>689.75</v>
      </c>
      <c r="U10" s="772">
        <f t="shared" si="10"/>
        <v>1.55</v>
      </c>
      <c r="V10" s="769">
        <f t="shared" si="11"/>
        <v>1466.14385556</v>
      </c>
      <c r="W10" s="774">
        <f t="shared" si="11"/>
        <v>1446.25</v>
      </c>
      <c r="X10" s="769">
        <f t="shared" si="12"/>
        <v>98.58510167</v>
      </c>
      <c r="Y10" s="774">
        <f t="shared" si="12"/>
        <v>28.80508391</v>
      </c>
      <c r="Z10" s="769">
        <f t="shared" si="13"/>
        <v>1593.53404114</v>
      </c>
      <c r="AA10" s="774">
        <f t="shared" si="13"/>
        <v>1573.64018558</v>
      </c>
      <c r="AB10" s="775"/>
      <c r="AC10" s="776">
        <f t="shared" si="14"/>
        <v>0.52307692307692311</v>
      </c>
      <c r="AD10" s="777">
        <f t="shared" si="15"/>
        <v>0.47692307692307695</v>
      </c>
      <c r="AE10" s="778" t="str">
        <f t="shared" si="16"/>
        <v>TSX:AGI_2023_NEO2</v>
      </c>
      <c r="AF10" s="778"/>
      <c r="AG10" s="782" t="str" cm="1">
        <f t="array" ref="AG10">IFERROR(INDEX('Import 2023 Data'!$E$4:$I$113,_xlfn.XMATCH('NEO4'!$AE10,'Import 2023 Data'!$C$4:$C$113),_xlfn.XMATCH('NEO4'!AG$5,'Import 2023 Data'!$E$3:$I$3)),"-")</f>
        <v>Alamos Gold Inc.</v>
      </c>
      <c r="AH10" s="778" t="str" cm="1">
        <f t="array" ref="AH10">IFERROR(INDEX('Import 2023 Data'!$E$4:$I$113,_xlfn.XMATCH('NEO4'!$AE10,'Import 2023 Data'!$C$4:$C$113),_xlfn.XMATCH('NEO4'!AH$5,'Import 2023 Data'!$E$3:$I$3)),"-")</f>
        <v>Nils F. Engelstad</v>
      </c>
      <c r="AI10" s="783" t="str">
        <f>IF(ISNUMBER(_xlfn.XMATCH(C10,'Import 2023 Data'!$E$4:$E$113)),"N","Y")</f>
        <v>N</v>
      </c>
      <c r="AJ10" s="783" t="str">
        <f t="shared" ref="AJ10:AJ21" si="18">IFERROR(IF(TRIM(LOWER(AH10))=TRIM(LOWER(F10)),"N","Y"),"-")</f>
        <v>Y</v>
      </c>
      <c r="AK10" s="778" t="str" cm="1">
        <f t="array" ref="AK10">IFERROR(INDEX('Import 2023 Data'!$E$4:$I$113,_xlfn.XMATCH('NEO4'!$AE10,'Import 2023 Data'!$C$4:$C$113),_xlfn.XMATCH('NEO4'!AK$5,'Import 2023 Data'!$E$3:$I$3)),"-")</f>
        <v>SVP, General Counsel</v>
      </c>
      <c r="AL10" s="893" cm="1">
        <f t="array" ref="AL10">IFERROR(INDEX('Import 2023 Data'!$E$4:$I$113,_xlfn.XMATCH('NEO4'!$AE10,'Import 2023 Data'!$C$4:$C$113),_xlfn.XMATCH('NEO4'!AL$5,'Import 2023 Data'!$E$3:$I$3)),"-")</f>
        <v>1262.2692968199999</v>
      </c>
      <c r="AM10" s="894" cm="1">
        <f t="array" ref="AM10">IFERROR(INDEX('Import 2023 Data'!$E$4:$I$113,_xlfn.XMATCH('NEO4'!$AE10,'Import 2023 Data'!$C$4:$C$113),_xlfn.XMATCH('NEO4'!AM$5,'Import 2023 Data'!$E$3:$I$3)),"-")</f>
        <v>1216.8289054169811</v>
      </c>
      <c r="AN10" s="733" t="str">
        <f t="shared" si="17"/>
        <v>-</v>
      </c>
    </row>
    <row r="11" spans="1:42" ht="20.25" customHeight="1">
      <c r="A11" s="12" t="str">
        <f t="shared" si="0"/>
        <v>TSX:PAAS_2024_NEO2</v>
      </c>
      <c r="B11" s="12" t="str">
        <f>'Raw Data'!D8</f>
        <v>TSX:PAAS</v>
      </c>
      <c r="C11" s="766" t="str">
        <f t="shared" si="1"/>
        <v>Pan American Silver Corp.</v>
      </c>
      <c r="D11" s="767">
        <f>_xll.ciqfunctions.udf.CIQ(B11, "IQ_MARKETCAP", $A$1,$A$2)</f>
        <v>14762.84492</v>
      </c>
      <c r="E11" s="767">
        <f>_xll.ciqfunctions.udf.CIQ($B11, "IQ_TEV", $A$1,$A$2)</f>
        <v>14643.113660000001</v>
      </c>
      <c r="F11" s="768" t="str">
        <f t="shared" si="2"/>
        <v>Christopher Lemon</v>
      </c>
      <c r="G11" s="768" t="str">
        <f t="shared" si="2"/>
        <v>General Counsel</v>
      </c>
      <c r="H11" s="767" t="str">
        <f t="shared" si="3"/>
        <v>-</v>
      </c>
      <c r="I11" s="767">
        <f t="shared" si="3"/>
        <v>634.4</v>
      </c>
      <c r="J11" s="769">
        <f t="shared" si="3"/>
        <v>567.79</v>
      </c>
      <c r="K11" s="770">
        <f t="shared" si="4"/>
        <v>0.89500315258511975</v>
      </c>
      <c r="L11" s="770">
        <f t="shared" si="4"/>
        <v>0.833377236032525</v>
      </c>
      <c r="M11" s="771">
        <f t="shared" si="5"/>
        <v>507.52</v>
      </c>
      <c r="N11" s="772">
        <f t="shared" si="6"/>
        <v>0.8</v>
      </c>
      <c r="O11" s="769">
        <f t="shared" si="7"/>
        <v>1202.19</v>
      </c>
      <c r="P11" s="773">
        <f t="shared" si="7"/>
        <v>1141.92</v>
      </c>
      <c r="Q11" s="769">
        <f t="shared" si="7"/>
        <v>1395.68</v>
      </c>
      <c r="R11" s="770">
        <f t="shared" si="8"/>
        <v>2.2000000000000002</v>
      </c>
      <c r="S11" s="770">
        <f t="shared" si="8"/>
        <v>1.9508427398486567</v>
      </c>
      <c r="T11" s="771">
        <f t="shared" si="9"/>
        <v>1395.68</v>
      </c>
      <c r="U11" s="772">
        <f t="shared" si="10"/>
        <v>2.2000000000000002</v>
      </c>
      <c r="V11" s="769">
        <f t="shared" si="11"/>
        <v>2597.87</v>
      </c>
      <c r="W11" s="774">
        <f t="shared" si="11"/>
        <v>2537.6</v>
      </c>
      <c r="X11" s="769">
        <f t="shared" si="12"/>
        <v>285.48</v>
      </c>
      <c r="Y11" s="774" t="str">
        <f t="shared" si="12"/>
        <v>-</v>
      </c>
      <c r="Z11" s="769">
        <f t="shared" si="13"/>
        <v>2883.35</v>
      </c>
      <c r="AA11" s="774">
        <f t="shared" si="13"/>
        <v>2823.08</v>
      </c>
      <c r="AB11" s="775"/>
      <c r="AC11" s="776">
        <f t="shared" si="14"/>
        <v>0.45000000000000007</v>
      </c>
      <c r="AD11" s="777">
        <f t="shared" si="15"/>
        <v>0.55000000000000004</v>
      </c>
      <c r="AE11" s="778" t="str">
        <f t="shared" si="16"/>
        <v>TSX:PAAS_2023_NEO2</v>
      </c>
      <c r="AF11" s="778"/>
      <c r="AG11" s="782" t="str" cm="1">
        <f t="array" ref="AG11">IFERROR(INDEX('Import 2023 Data'!$E$4:$I$113,_xlfn.XMATCH('NEO4'!$AE11,'Import 2023 Data'!$C$4:$C$113),_xlfn.XMATCH('NEO4'!AG$5,'Import 2023 Data'!$E$3:$I$3)),"-")</f>
        <v>Pan American Silver Corp.</v>
      </c>
      <c r="AH11" s="778" t="str" cm="1">
        <f t="array" ref="AH11">IFERROR(INDEX('Import 2023 Data'!$E$4:$I$113,_xlfn.XMATCH('NEO4'!$AE11,'Import 2023 Data'!$C$4:$C$113),_xlfn.XMATCH('NEO4'!AH$5,'Import 2023 Data'!$E$3:$I$3)),"-")</f>
        <v>Christopher Lemon</v>
      </c>
      <c r="AI11" s="783" t="str">
        <f>IF(ISNUMBER(_xlfn.XMATCH(C11,'Import 2023 Data'!$E$4:$E$113)),"N","Y")</f>
        <v>N</v>
      </c>
      <c r="AJ11" s="783" t="str">
        <f t="shared" si="18"/>
        <v>N</v>
      </c>
      <c r="AK11" s="778" t="str" cm="1">
        <f t="array" ref="AK11">IFERROR(INDEX('Import 2023 Data'!$E$4:$I$113,_xlfn.XMATCH('NEO4'!$AE11,'Import 2023 Data'!$C$4:$C$113),_xlfn.XMATCH('NEO4'!AK$5,'Import 2023 Data'!$E$3:$I$3)),"-")</f>
        <v xml:space="preserve">General Counsel </v>
      </c>
      <c r="AL11" s="893" cm="1">
        <f t="array" ref="AL11">IFERROR(INDEX('Import 2023 Data'!$E$4:$I$113,_xlfn.XMATCH('NEO4'!$AE11,'Import 2023 Data'!$C$4:$C$113),_xlfn.XMATCH('NEO4'!AL$5,'Import 2023 Data'!$E$3:$I$3)),"-")</f>
        <v>2497.875</v>
      </c>
      <c r="AM11" s="894" cm="1">
        <f t="array" ref="AM11">IFERROR(INDEX('Import 2023 Data'!$E$4:$I$113,_xlfn.XMATCH('NEO4'!$AE11,'Import 2023 Data'!$C$4:$C$113),_xlfn.XMATCH('NEO4'!AM$5,'Import 2023 Data'!$E$3:$I$3)),"-")</f>
        <v>2383.1</v>
      </c>
      <c r="AN11" s="733">
        <f t="shared" si="17"/>
        <v>6.4831521967185557E-2</v>
      </c>
    </row>
    <row r="12" spans="1:42" ht="20.25" customHeight="1">
      <c r="A12" s="12" t="str">
        <f t="shared" si="0"/>
        <v>TSX:CS_2024_NEO2</v>
      </c>
      <c r="B12" s="12" t="str">
        <f>'Raw Data'!D9</f>
        <v>TSX:CS</v>
      </c>
      <c r="C12" s="766" t="str">
        <f t="shared" si="1"/>
        <v>Capstone Copper Corp.</v>
      </c>
      <c r="D12" s="767">
        <f>_xll.ciqfunctions.udf.CIQ(B12, "IQ_MARKETCAP", $A$1,$A$2)</f>
        <v>5953.1492900000003</v>
      </c>
      <c r="E12" s="767">
        <f>_xll.ciqfunctions.udf.CIQ($B12, "IQ_TEV", $A$1,$A$2)</f>
        <v>8486.01584</v>
      </c>
      <c r="F12" s="768" t="str">
        <f t="shared" si="2"/>
        <v>James Whittaker</v>
      </c>
      <c r="G12" s="768" t="str">
        <f t="shared" si="2"/>
        <v>SVP, Head of Chile</v>
      </c>
      <c r="H12" s="767" t="str">
        <f t="shared" si="3"/>
        <v>-</v>
      </c>
      <c r="I12" s="767">
        <f t="shared" si="3"/>
        <v>663</v>
      </c>
      <c r="J12" s="769">
        <f t="shared" si="3"/>
        <v>531.06299999999999</v>
      </c>
      <c r="K12" s="770">
        <f t="shared" si="4"/>
        <v>0.80100000000000005</v>
      </c>
      <c r="L12" s="770">
        <f t="shared" si="4"/>
        <v>0.75978835428896363</v>
      </c>
      <c r="M12" s="771">
        <f t="shared" si="5"/>
        <v>497.25</v>
      </c>
      <c r="N12" s="772">
        <f t="shared" si="6"/>
        <v>0.75</v>
      </c>
      <c r="O12" s="769">
        <f t="shared" si="7"/>
        <v>1194.0630000000001</v>
      </c>
      <c r="P12" s="773">
        <f t="shared" si="7"/>
        <v>1160.25</v>
      </c>
      <c r="Q12" s="769">
        <f t="shared" si="7"/>
        <v>994.5</v>
      </c>
      <c r="R12" s="770">
        <f t="shared" si="8"/>
        <v>1.5</v>
      </c>
      <c r="S12" s="770">
        <f t="shared" si="8"/>
        <v>1.5</v>
      </c>
      <c r="T12" s="771">
        <f t="shared" si="9"/>
        <v>994.5</v>
      </c>
      <c r="U12" s="772">
        <f t="shared" si="10"/>
        <v>1.5</v>
      </c>
      <c r="V12" s="769">
        <f t="shared" si="11"/>
        <v>2188.5630000000001</v>
      </c>
      <c r="W12" s="774">
        <f t="shared" si="11"/>
        <v>2154.75</v>
      </c>
      <c r="X12" s="769" t="str">
        <f t="shared" si="12"/>
        <v>-</v>
      </c>
      <c r="Y12" s="774">
        <f t="shared" si="12"/>
        <v>17.873000000000001</v>
      </c>
      <c r="Z12" s="769">
        <f t="shared" si="13"/>
        <v>2206.4360000000001</v>
      </c>
      <c r="AA12" s="774">
        <f t="shared" si="13"/>
        <v>2172.623</v>
      </c>
      <c r="AB12" s="775"/>
      <c r="AC12" s="776">
        <f t="shared" si="14"/>
        <v>0.53846153846153844</v>
      </c>
      <c r="AD12" s="777">
        <f t="shared" si="15"/>
        <v>0.46153846153846156</v>
      </c>
      <c r="AE12" s="778" t="str">
        <f t="shared" si="16"/>
        <v>TSX:CS_2023_NEO2</v>
      </c>
      <c r="AF12" s="778"/>
      <c r="AG12" s="782" t="str" cm="1">
        <f t="array" ref="AG12">IFERROR(INDEX('Import 2023 Data'!$E$4:$I$113,_xlfn.XMATCH('NEO4'!$AE12,'Import 2023 Data'!$C$4:$C$113),_xlfn.XMATCH('NEO4'!AG$5,'Import 2023 Data'!$E$3:$I$3)),"-")</f>
        <v>Capstone Copper Corp.</v>
      </c>
      <c r="AH12" s="778" t="str" cm="1">
        <f t="array" ref="AH12">IFERROR(INDEX('Import 2023 Data'!$E$4:$I$113,_xlfn.XMATCH('NEO4'!$AE12,'Import 2023 Data'!$C$4:$C$113),_xlfn.XMATCH('NEO4'!AH$5,'Import 2023 Data'!$E$3:$I$3)),"-")</f>
        <v>Wendy King</v>
      </c>
      <c r="AI12" s="783" t="str">
        <f>IF(ISNUMBER(_xlfn.XMATCH(C12,'Import 2023 Data'!$E$4:$E$113)),"N","Y")</f>
        <v>N</v>
      </c>
      <c r="AJ12" s="783" t="str">
        <f t="shared" si="18"/>
        <v>Y</v>
      </c>
      <c r="AK12" s="778" t="str" cm="1">
        <f t="array" ref="AK12">IFERROR(INDEX('Import 2023 Data'!$E$4:$I$113,_xlfn.XMATCH('NEO4'!$AE12,'Import 2023 Data'!$C$4:$C$113),_xlfn.XMATCH('NEO4'!AK$5,'Import 2023 Data'!$E$3:$I$3)),"-")</f>
        <v xml:space="preserve">SVP, Risk, ESG, General Counsel and Corporate Secretary </v>
      </c>
      <c r="AL12" s="893" cm="1">
        <f t="array" ref="AL12">IFERROR(INDEX('Import 2023 Data'!$E$4:$I$113,_xlfn.XMATCH('NEO4'!$AE12,'Import 2023 Data'!$C$4:$C$113),_xlfn.XMATCH('NEO4'!AL$5,'Import 2023 Data'!$E$3:$I$3)),"-")</f>
        <v>1365.885</v>
      </c>
      <c r="AM12" s="894" cm="1">
        <f t="array" ref="AM12">IFERROR(INDEX('Import 2023 Data'!$E$4:$I$113,_xlfn.XMATCH('NEO4'!$AE12,'Import 2023 Data'!$C$4:$C$113),_xlfn.XMATCH('NEO4'!AM$5,'Import 2023 Data'!$E$3:$I$3)),"-")</f>
        <v>1411.15</v>
      </c>
      <c r="AN12" s="733" t="str">
        <f t="shared" si="17"/>
        <v>-</v>
      </c>
    </row>
    <row r="13" spans="1:42" ht="20.25" customHeight="1">
      <c r="A13" s="12" t="str">
        <f t="shared" si="0"/>
        <v>TSX:IMG_2024_NEO2</v>
      </c>
      <c r="B13" s="12" t="str">
        <f>'Raw Data'!D10</f>
        <v>TSX:IMG</v>
      </c>
      <c r="C13" s="766" t="str">
        <f t="shared" si="1"/>
        <v>IAMGOLD Corporation</v>
      </c>
      <c r="D13" s="767">
        <f>_xll.ciqfunctions.udf.CIQ(B13, "IQ_MARKETCAP", $A$1,$A$2)</f>
        <v>5554.9869099999996</v>
      </c>
      <c r="E13" s="767">
        <f>_xll.ciqfunctions.udf.CIQ($B13, "IQ_TEV", $A$1,$A$2)</f>
        <v>6834.0846799999999</v>
      </c>
      <c r="F13" s="768" t="str">
        <f t="shared" si="2"/>
        <v>Tim Bradburn</v>
      </c>
      <c r="G13" s="768" t="str">
        <f t="shared" si="2"/>
        <v>SVP, General Counsel &amp; Corporate Secretary</v>
      </c>
      <c r="H13" s="767" t="str">
        <f t="shared" si="3"/>
        <v>-</v>
      </c>
      <c r="I13" s="767">
        <f t="shared" si="3"/>
        <v>449.904</v>
      </c>
      <c r="J13" s="769" t="str">
        <f t="shared" si="3"/>
        <v>-</v>
      </c>
      <c r="K13" s="770" t="str">
        <f t="shared" si="4"/>
        <v>-</v>
      </c>
      <c r="L13" s="770">
        <f t="shared" si="4"/>
        <v>0.70174061355311357</v>
      </c>
      <c r="M13" s="771">
        <f t="shared" si="5"/>
        <v>292.43760000000003</v>
      </c>
      <c r="N13" s="772">
        <f t="shared" si="6"/>
        <v>0.65</v>
      </c>
      <c r="O13" s="769">
        <f t="shared" si="7"/>
        <v>449.904</v>
      </c>
      <c r="P13" s="773">
        <f t="shared" si="7"/>
        <v>742.34160000000008</v>
      </c>
      <c r="Q13" s="769" t="str">
        <f t="shared" si="7"/>
        <v>-</v>
      </c>
      <c r="R13" s="770" t="str">
        <f t="shared" si="8"/>
        <v>-</v>
      </c>
      <c r="S13" s="770">
        <f t="shared" si="8"/>
        <v>1.2639732600732603</v>
      </c>
      <c r="T13" s="771">
        <f t="shared" si="9"/>
        <v>584.87520000000006</v>
      </c>
      <c r="U13" s="772">
        <f t="shared" si="10"/>
        <v>1.3</v>
      </c>
      <c r="V13" s="769">
        <f t="shared" si="11"/>
        <v>449.904</v>
      </c>
      <c r="W13" s="774">
        <f t="shared" si="11"/>
        <v>1327.2168000000004</v>
      </c>
      <c r="X13" s="769">
        <f t="shared" si="12"/>
        <v>19.481999999999999</v>
      </c>
      <c r="Y13" s="774">
        <f t="shared" si="12"/>
        <v>36.734999999999999</v>
      </c>
      <c r="Z13" s="769">
        <f t="shared" si="13"/>
        <v>506.12099999999998</v>
      </c>
      <c r="AA13" s="774">
        <f t="shared" si="13"/>
        <v>1383.4338000000002</v>
      </c>
      <c r="AB13" s="775"/>
      <c r="AC13" s="776">
        <f t="shared" si="14"/>
        <v>0.55932203389830504</v>
      </c>
      <c r="AD13" s="777">
        <f t="shared" si="15"/>
        <v>0.44067796610169485</v>
      </c>
      <c r="AE13" s="778" t="str">
        <f t="shared" si="16"/>
        <v>TSX:IMG_2023_NEO2</v>
      </c>
      <c r="AF13" s="778"/>
      <c r="AG13" s="782" t="str" cm="1">
        <f t="array" ref="AG13">IFERROR(INDEX('Import 2023 Data'!$E$4:$I$113,_xlfn.XMATCH('NEO4'!$AE13,'Import 2023 Data'!$C$4:$C$113),_xlfn.XMATCH('NEO4'!AG$5,'Import 2023 Data'!$E$3:$I$3)),"-")</f>
        <v>IAMGOLD Corporation</v>
      </c>
      <c r="AH13" s="778" t="str" cm="1">
        <f t="array" ref="AH13">IFERROR(INDEX('Import 2023 Data'!$E$4:$I$113,_xlfn.XMATCH('NEO4'!$AE13,'Import 2023 Data'!$C$4:$C$113),_xlfn.XMATCH('NEO4'!AH$5,'Import 2023 Data'!$E$3:$I$3)),"-")</f>
        <v>Tim Bradburn</v>
      </c>
      <c r="AI13" s="783" t="str">
        <f>IF(ISNUMBER(_xlfn.XMATCH(C13,'Import 2023 Data'!$E$4:$E$113)),"N","Y")</f>
        <v>N</v>
      </c>
      <c r="AJ13" s="783" t="str">
        <f t="shared" si="18"/>
        <v>N</v>
      </c>
      <c r="AK13" s="778" t="str" cm="1">
        <f t="array" ref="AK13">IFERROR(INDEX('Import 2023 Data'!$E$4:$I$113,_xlfn.XMATCH('NEO4'!$AE13,'Import 2023 Data'!$C$4:$C$113),_xlfn.XMATCH('NEO4'!AK$5,'Import 2023 Data'!$E$3:$I$3)),"-")</f>
        <v xml:space="preserve">SVP, General Counsel and Corporate Secretary </v>
      </c>
      <c r="AL13" s="893" cm="1">
        <f t="array" ref="AL13">IFERROR(INDEX('Import 2023 Data'!$E$4:$I$113,_xlfn.XMATCH('NEO4'!$AE13,'Import 2023 Data'!$C$4:$C$113),_xlfn.XMATCH('NEO4'!AL$5,'Import 2023 Data'!$E$3:$I$3)),"-")</f>
        <v>1301.413</v>
      </c>
      <c r="AM13" s="894" cm="1">
        <f t="array" ref="AM13">IFERROR(INDEX('Import 2023 Data'!$E$4:$I$113,_xlfn.XMATCH('NEO4'!$AE13,'Import 2023 Data'!$C$4:$C$113),_xlfn.XMATCH('NEO4'!AM$5,'Import 2023 Data'!$E$3:$I$3)),"-")</f>
        <v>1288.56</v>
      </c>
      <c r="AN13" s="733">
        <f t="shared" si="17"/>
        <v>3.0000000000000249E-2</v>
      </c>
    </row>
    <row r="14" spans="1:42" ht="20.25" customHeight="1">
      <c r="A14" s="12" t="str">
        <f t="shared" si="0"/>
        <v>TSX:BTO_2024_NEO2</v>
      </c>
      <c r="B14" s="12" t="str">
        <f>'Raw Data'!D11</f>
        <v>TSX:BTO</v>
      </c>
      <c r="C14" s="766" t="str">
        <f t="shared" si="1"/>
        <v>B2Gold Corp.</v>
      </c>
      <c r="D14" s="767">
        <f>_xll.ciqfunctions.udf.CIQ(B14, "IQ_MARKETCAP", $A$1,$A$2)</f>
        <v>6289.7347200000004</v>
      </c>
      <c r="E14" s="767">
        <f>_xll.ciqfunctions.udf.CIQ($B14, "IQ_TEV", $A$1,$A$2)</f>
        <v>6472.2609199999997</v>
      </c>
      <c r="F14" s="768" t="str">
        <f t="shared" si="2"/>
        <v>Randall Chatwin</v>
      </c>
      <c r="G14" s="768" t="str">
        <f t="shared" si="2"/>
        <v>SVP, Legal and Corporate Communications</v>
      </c>
      <c r="H14" s="767" t="str">
        <f t="shared" si="3"/>
        <v>-</v>
      </c>
      <c r="I14" s="767">
        <f t="shared" si="3"/>
        <v>625</v>
      </c>
      <c r="J14" s="769">
        <f t="shared" si="3"/>
        <v>309.375</v>
      </c>
      <c r="K14" s="770">
        <f t="shared" si="4"/>
        <v>0.495</v>
      </c>
      <c r="L14" s="770">
        <f t="shared" si="4"/>
        <v>0.69175276752767534</v>
      </c>
      <c r="M14" s="771">
        <f t="shared" si="5"/>
        <v>468.75</v>
      </c>
      <c r="N14" s="772">
        <f t="shared" si="6"/>
        <v>0.75</v>
      </c>
      <c r="O14" s="769">
        <f t="shared" si="7"/>
        <v>934.375</v>
      </c>
      <c r="P14" s="773">
        <f t="shared" si="7"/>
        <v>1093.75</v>
      </c>
      <c r="Q14" s="769">
        <f t="shared" si="7"/>
        <v>1700</v>
      </c>
      <c r="R14" s="770">
        <f t="shared" si="8"/>
        <v>2.72</v>
      </c>
      <c r="S14" s="770">
        <f t="shared" si="8"/>
        <v>2.7150922509225097</v>
      </c>
      <c r="T14" s="771">
        <f t="shared" si="9"/>
        <v>1696.9326568265685</v>
      </c>
      <c r="U14" s="772">
        <f t="shared" si="10"/>
        <v>2.7150922509225097</v>
      </c>
      <c r="V14" s="769">
        <f t="shared" si="11"/>
        <v>2634.375</v>
      </c>
      <c r="W14" s="774">
        <f t="shared" si="11"/>
        <v>2790.6826568265687</v>
      </c>
      <c r="X14" s="769" t="str">
        <f t="shared" si="12"/>
        <v>-</v>
      </c>
      <c r="Y14" s="774">
        <f t="shared" si="12"/>
        <v>6.952</v>
      </c>
      <c r="Z14" s="769">
        <f t="shared" si="13"/>
        <v>2641.3270000000002</v>
      </c>
      <c r="AA14" s="774">
        <f t="shared" si="13"/>
        <v>2797.634656826569</v>
      </c>
      <c r="AB14" s="775"/>
      <c r="AC14" s="776">
        <f t="shared" si="14"/>
        <v>0.39192919242339092</v>
      </c>
      <c r="AD14" s="777">
        <f t="shared" si="15"/>
        <v>0.60807080757660903</v>
      </c>
      <c r="AE14" s="778" t="str">
        <f t="shared" si="16"/>
        <v>TSX:BTO_2023_NEO2</v>
      </c>
      <c r="AF14" s="778"/>
      <c r="AG14" s="782" t="str" cm="1">
        <f t="array" ref="AG14">IFERROR(INDEX('Import 2023 Data'!$E$4:$I$113,_xlfn.XMATCH('NEO4'!$AE14,'Import 2023 Data'!$C$4:$C$113),_xlfn.XMATCH('NEO4'!AG$5,'Import 2023 Data'!$E$3:$I$3)),"-")</f>
        <v>B2Gold Corp.</v>
      </c>
      <c r="AH14" s="778" t="str" cm="1">
        <f t="array" ref="AH14">IFERROR(INDEX('Import 2023 Data'!$E$4:$I$113,_xlfn.XMATCH('NEO4'!$AE14,'Import 2023 Data'!$C$4:$C$113),_xlfn.XMATCH('NEO4'!AH$5,'Import 2023 Data'!$E$3:$I$3)),"-")</f>
        <v>William Lytle</v>
      </c>
      <c r="AI14" s="783" t="str">
        <f>IF(ISNUMBER(_xlfn.XMATCH(C14,'Import 2023 Data'!$E$4:$E$113)),"N","Y")</f>
        <v>N</v>
      </c>
      <c r="AJ14" s="783" t="str">
        <f t="shared" si="18"/>
        <v>Y</v>
      </c>
      <c r="AK14" s="778" t="str" cm="1">
        <f t="array" ref="AK14">IFERROR(INDEX('Import 2023 Data'!$E$4:$I$113,_xlfn.XMATCH('NEO4'!$AE14,'Import 2023 Data'!$C$4:$C$113),_xlfn.XMATCH('NEO4'!AK$5,'Import 2023 Data'!$E$3:$I$3)),"-")</f>
        <v>SVP, Operations and COO</v>
      </c>
      <c r="AL14" s="893" cm="1">
        <f t="array" ref="AL14">IFERROR(INDEX('Import 2023 Data'!$E$4:$I$113,_xlfn.XMATCH('NEO4'!$AE14,'Import 2023 Data'!$C$4:$C$113),_xlfn.XMATCH('NEO4'!AL$5,'Import 2023 Data'!$E$3:$I$3)),"-")</f>
        <v>2887.5</v>
      </c>
      <c r="AM14" s="894" cm="1">
        <f t="array" ref="AM14">IFERROR(INDEX('Import 2023 Data'!$E$4:$I$113,_xlfn.XMATCH('NEO4'!$AE14,'Import 2023 Data'!$C$4:$C$113),_xlfn.XMATCH('NEO4'!AM$5,'Import 2023 Data'!$E$3:$I$3)),"-")</f>
        <v>2887.5</v>
      </c>
      <c r="AN14" s="733" t="str">
        <f t="shared" si="17"/>
        <v>-</v>
      </c>
    </row>
    <row r="15" spans="1:42" ht="20.25" customHeight="1">
      <c r="A15" s="12" t="str">
        <f t="shared" si="0"/>
        <v>NYSE:HL_2024_NEO2</v>
      </c>
      <c r="B15" s="12" t="str">
        <f>'Raw Data'!D12</f>
        <v>NYSE:HL</v>
      </c>
      <c r="C15" s="766" t="str">
        <f t="shared" si="1"/>
        <v>Hecla Mining Company</v>
      </c>
      <c r="D15" s="767">
        <f>_xll.ciqfunctions.udf.CIQ(B15, "IQ_MARKETCAP", $A$1,$A$2)</f>
        <v>5232.0834199999999</v>
      </c>
      <c r="E15" s="767">
        <f>_xll.ciqfunctions.udf.CIQ($B15, "IQ_TEV", $A$1,$A$2)</f>
        <v>5991.3399399999998</v>
      </c>
      <c r="F15" s="768" t="str">
        <f t="shared" si="2"/>
        <v>David C. Sienko</v>
      </c>
      <c r="G15" s="768" t="str">
        <f t="shared" si="2"/>
        <v>SVP &amp; General Counsel and Corporate Secretary</v>
      </c>
      <c r="H15" s="767" t="str">
        <f t="shared" si="3"/>
        <v>-</v>
      </c>
      <c r="I15" s="767">
        <f t="shared" si="3"/>
        <v>447.87431875000004</v>
      </c>
      <c r="J15" s="769">
        <f t="shared" si="3"/>
        <v>739.78766708000001</v>
      </c>
      <c r="K15" s="770">
        <f t="shared" si="4"/>
        <v>1.6517751434034416</v>
      </c>
      <c r="L15" s="770">
        <f t="shared" si="4"/>
        <v>1.6517751434034416</v>
      </c>
      <c r="M15" s="771">
        <f t="shared" si="5"/>
        <v>447.87431875000004</v>
      </c>
      <c r="N15" s="772">
        <f t="shared" si="6"/>
        <v>1</v>
      </c>
      <c r="O15" s="769">
        <f t="shared" si="7"/>
        <v>1187.66198583</v>
      </c>
      <c r="P15" s="773">
        <f t="shared" si="7"/>
        <v>895.74863750000009</v>
      </c>
      <c r="Q15" s="769">
        <f t="shared" si="7"/>
        <v>757.70675033999999</v>
      </c>
      <c r="R15" s="770">
        <f t="shared" si="8"/>
        <v>1.6917843212237094</v>
      </c>
      <c r="S15" s="770">
        <f t="shared" si="8"/>
        <v>1.6917843212237094</v>
      </c>
      <c r="T15" s="771">
        <f t="shared" si="9"/>
        <v>891.01025702626816</v>
      </c>
      <c r="U15" s="772">
        <f t="shared" si="10"/>
        <v>1.9894202898550724</v>
      </c>
      <c r="V15" s="769">
        <f t="shared" si="11"/>
        <v>1945.3687361700001</v>
      </c>
      <c r="W15" s="774">
        <f t="shared" si="11"/>
        <v>1786.7588945262683</v>
      </c>
      <c r="X15" s="769">
        <f t="shared" si="12"/>
        <v>188.97247623000004</v>
      </c>
      <c r="Y15" s="774">
        <f t="shared" si="12"/>
        <v>30.608227630000002</v>
      </c>
      <c r="Z15" s="769">
        <f t="shared" si="13"/>
        <v>2164.94944003</v>
      </c>
      <c r="AA15" s="774">
        <f t="shared" si="13"/>
        <v>2006.3395983862686</v>
      </c>
      <c r="AB15" s="775"/>
      <c r="AC15" s="776">
        <f t="shared" si="14"/>
        <v>0.50132597086496899</v>
      </c>
      <c r="AD15" s="777">
        <f t="shared" si="15"/>
        <v>0.49867402913503106</v>
      </c>
      <c r="AE15" s="778" t="str">
        <f t="shared" si="16"/>
        <v>NYSE:HL_2023_NEO2</v>
      </c>
      <c r="AF15" s="778"/>
      <c r="AG15" s="782" t="str" cm="1">
        <f t="array" ref="AG15">IFERROR(INDEX('Import 2023 Data'!$E$4:$I$113,_xlfn.XMATCH('NEO4'!$AE15,'Import 2023 Data'!$C$4:$C$113),_xlfn.XMATCH('NEO4'!AG$5,'Import 2023 Data'!$E$3:$I$3)),"-")</f>
        <v>Hecla Mining Company</v>
      </c>
      <c r="AH15" s="778" t="str" cm="1">
        <f t="array" ref="AH15">IFERROR(INDEX('Import 2023 Data'!$E$4:$I$113,_xlfn.XMATCH('NEO4'!$AE15,'Import 2023 Data'!$C$4:$C$113),_xlfn.XMATCH('NEO4'!AH$5,'Import 2023 Data'!$E$3:$I$3)),"-")</f>
        <v>Robert D. Brown</v>
      </c>
      <c r="AI15" s="783" t="str">
        <f>IF(ISNUMBER(_xlfn.XMATCH(C15,'Import 2023 Data'!$E$4:$E$113)),"N","Y")</f>
        <v>N</v>
      </c>
      <c r="AJ15" s="783" t="str">
        <f t="shared" si="18"/>
        <v>Y</v>
      </c>
      <c r="AK15" s="778" t="str" cm="1">
        <f t="array" ref="AK15">IFERROR(INDEX('Import 2023 Data'!$E$4:$I$113,_xlfn.XMATCH('NEO4'!$AE15,'Import 2023 Data'!$C$4:$C$113),_xlfn.XMATCH('NEO4'!AK$5,'Import 2023 Data'!$E$3:$I$3)),"-")</f>
        <v xml:space="preserve">VP, Corporate Development and Sustainability </v>
      </c>
      <c r="AL15" s="891" cm="1">
        <f t="array" ref="AL15">IFERROR(INDEX('Import 2023 Data'!$E$4:$I$113,_xlfn.XMATCH('NEO4'!$AE15,'Import 2023 Data'!$C$4:$C$113),_xlfn.XMATCH('NEO4'!AL$5,'Import 2023 Data'!$E$3:$I$3)),"-")</f>
        <v>1314.3561426599999</v>
      </c>
      <c r="AM15" s="892" cm="1">
        <f t="array" ref="AM15">IFERROR(INDEX('Import 2023 Data'!$E$4:$I$113,_xlfn.XMATCH('NEO4'!$AE15,'Import 2023 Data'!$C$4:$C$113),_xlfn.XMATCH('NEO4'!AM$5,'Import 2023 Data'!$E$3:$I$3)),"-")</f>
        <v>1528.2528344999998</v>
      </c>
      <c r="AN15" s="733" t="str">
        <f t="shared" si="17"/>
        <v>-</v>
      </c>
    </row>
    <row r="16" spans="1:42" ht="20.25" customHeight="1">
      <c r="A16" s="12" t="str">
        <f t="shared" si="0"/>
        <v>TSX:NGD_2024_NEO2</v>
      </c>
      <c r="B16" s="12" t="str">
        <f>'Raw Data'!D13</f>
        <v>TSX:NGD</v>
      </c>
      <c r="C16" s="766" t="str">
        <f t="shared" si="1"/>
        <v>New Gold Inc.</v>
      </c>
      <c r="D16" s="767">
        <f>_xll.ciqfunctions.udf.CIQ(B16, "IQ_MARKETCAP", $A$1,$A$2)</f>
        <v>5001.45208</v>
      </c>
      <c r="E16" s="767">
        <f>_xll.ciqfunctions.udf.CIQ($B16, "IQ_TEV", $A$1,$A$2)</f>
        <v>5417.8523800000003</v>
      </c>
      <c r="F16" s="768" t="str">
        <f t="shared" si="2"/>
        <v>Ankit Shah</v>
      </c>
      <c r="G16" s="768" t="str">
        <f t="shared" si="2"/>
        <v>EVP, Strategy &amp; Business Development</v>
      </c>
      <c r="H16" s="767" t="str">
        <f t="shared" si="3"/>
        <v>-</v>
      </c>
      <c r="I16" s="767">
        <f t="shared" si="3"/>
        <v>480</v>
      </c>
      <c r="J16" s="769">
        <f t="shared" si="3"/>
        <v>560.88</v>
      </c>
      <c r="K16" s="770">
        <f t="shared" si="4"/>
        <v>1.1685000000000001</v>
      </c>
      <c r="L16" s="770">
        <f t="shared" si="4"/>
        <v>0.906345925925926</v>
      </c>
      <c r="M16" s="771">
        <f t="shared" si="5"/>
        <v>456</v>
      </c>
      <c r="N16" s="772">
        <f t="shared" si="6"/>
        <v>0.95</v>
      </c>
      <c r="O16" s="769">
        <f t="shared" si="7"/>
        <v>1040.8800000000001</v>
      </c>
      <c r="P16" s="773">
        <f t="shared" si="7"/>
        <v>936</v>
      </c>
      <c r="Q16" s="769">
        <f t="shared" si="7"/>
        <v>719.99699999999996</v>
      </c>
      <c r="R16" s="770">
        <f t="shared" si="8"/>
        <v>1.49999375</v>
      </c>
      <c r="S16" s="770">
        <f t="shared" si="8"/>
        <v>1.3390383128768304</v>
      </c>
      <c r="T16" s="771">
        <f t="shared" si="9"/>
        <v>720</v>
      </c>
      <c r="U16" s="772">
        <f t="shared" si="10"/>
        <v>1.5</v>
      </c>
      <c r="V16" s="769">
        <f t="shared" si="11"/>
        <v>1760.877</v>
      </c>
      <c r="W16" s="774">
        <f t="shared" si="11"/>
        <v>1656</v>
      </c>
      <c r="X16" s="769" t="str">
        <f t="shared" si="12"/>
        <v>-</v>
      </c>
      <c r="Y16" s="774">
        <f t="shared" si="12"/>
        <v>15.78</v>
      </c>
      <c r="Z16" s="769">
        <f t="shared" si="13"/>
        <v>1776.6569999999999</v>
      </c>
      <c r="AA16" s="774">
        <f t="shared" si="13"/>
        <v>1671.78</v>
      </c>
      <c r="AB16" s="775"/>
      <c r="AC16" s="776">
        <f t="shared" si="14"/>
        <v>0.56521739130434778</v>
      </c>
      <c r="AD16" s="777">
        <f t="shared" si="15"/>
        <v>0.43478260869565216</v>
      </c>
      <c r="AE16" s="778" t="str">
        <f t="shared" si="16"/>
        <v>TSX:NGD_2023_NEO2</v>
      </c>
      <c r="AF16" s="778"/>
      <c r="AG16" s="782" t="str" cm="1">
        <f t="array" ref="AG16">IFERROR(INDEX('Import 2023 Data'!$E$4:$I$113,_xlfn.XMATCH('NEO4'!$AE16,'Import 2023 Data'!$C$4:$C$113),_xlfn.XMATCH('NEO4'!AG$5,'Import 2023 Data'!$E$3:$I$3)),"-")</f>
        <v>New Gold Inc.</v>
      </c>
      <c r="AH16" s="778" t="str" cm="1">
        <f t="array" ref="AH16">IFERROR(INDEX('Import 2023 Data'!$E$4:$I$113,_xlfn.XMATCH('NEO4'!$AE16,'Import 2023 Data'!$C$4:$C$113),_xlfn.XMATCH('NEO4'!AH$5,'Import 2023 Data'!$E$3:$I$3)),"-")</f>
        <v>Ankit Shah</v>
      </c>
      <c r="AI16" s="783" t="str">
        <f>IF(ISNUMBER(_xlfn.XMATCH(C16,'Import 2023 Data'!$E$4:$E$113)),"N","Y")</f>
        <v>N</v>
      </c>
      <c r="AJ16" s="783" t="str">
        <f t="shared" si="18"/>
        <v>N</v>
      </c>
      <c r="AK16" s="778" t="str" cm="1">
        <f t="array" ref="AK16">IFERROR(INDEX('Import 2023 Data'!$E$4:$I$113,_xlfn.XMATCH('NEO4'!$AE16,'Import 2023 Data'!$C$4:$C$113),_xlfn.XMATCH('NEO4'!AK$5,'Import 2023 Data'!$E$3:$I$3)),"-")</f>
        <v xml:space="preserve">EVP, Strategy and Business Development </v>
      </c>
      <c r="AL16" s="893" cm="1">
        <f t="array" ref="AL16">IFERROR(INDEX('Import 2023 Data'!$E$4:$I$113,_xlfn.XMATCH('NEO4'!$AE16,'Import 2023 Data'!$C$4:$C$113),_xlfn.XMATCH('NEO4'!AL$5,'Import 2023 Data'!$E$3:$I$3)),"-")</f>
        <v>1470.5920000000001</v>
      </c>
      <c r="AM16" s="894" cm="1">
        <f t="array" ref="AM16">IFERROR(INDEX('Import 2023 Data'!$E$4:$I$113,_xlfn.XMATCH('NEO4'!$AE16,'Import 2023 Data'!$C$4:$C$113),_xlfn.XMATCH('NEO4'!AM$5,'Import 2023 Data'!$E$3:$I$3)),"-")</f>
        <v>1530</v>
      </c>
      <c r="AN16" s="733">
        <f t="shared" si="17"/>
        <v>8.2352941176470518E-2</v>
      </c>
    </row>
    <row r="17" spans="1:42" ht="20.25" customHeight="1">
      <c r="A17" s="12" t="str">
        <f t="shared" si="0"/>
        <v>TSX:ELD_2024_NEO2</v>
      </c>
      <c r="B17" s="12" t="str">
        <f>'Raw Data'!D14</f>
        <v>TSX:ELD</v>
      </c>
      <c r="C17" s="766" t="str">
        <f t="shared" si="1"/>
        <v>Eldorado Gold Corporation</v>
      </c>
      <c r="D17" s="767">
        <f>_xll.ciqfunctions.udf.CIQ(B17, "IQ_MARKETCAP", $A$1,$A$2)</f>
        <v>5759.9111199999998</v>
      </c>
      <c r="E17" s="767">
        <f>_xll.ciqfunctions.udf.CIQ($B17, "IQ_TEV", $A$1,$A$2)</f>
        <v>5657.0414199999996</v>
      </c>
      <c r="F17" s="768" t="str">
        <f t="shared" si="2"/>
        <v>Simon Hille</v>
      </c>
      <c r="G17" s="768" t="str">
        <f t="shared" si="2"/>
        <v>EVP, Technical Services &amp; Operations</v>
      </c>
      <c r="H17" s="767" t="str">
        <f t="shared" si="3"/>
        <v>-</v>
      </c>
      <c r="I17" s="767">
        <f t="shared" si="3"/>
        <v>488</v>
      </c>
      <c r="J17" s="769">
        <f t="shared" si="3"/>
        <v>448.96</v>
      </c>
      <c r="K17" s="770">
        <f t="shared" si="4"/>
        <v>0.92</v>
      </c>
      <c r="L17" s="770">
        <f t="shared" si="4"/>
        <v>0.86998136654410607</v>
      </c>
      <c r="M17" s="771">
        <f t="shared" si="5"/>
        <v>390.4</v>
      </c>
      <c r="N17" s="772">
        <f t="shared" si="6"/>
        <v>0.8</v>
      </c>
      <c r="O17" s="769">
        <f t="shared" si="7"/>
        <v>936.96</v>
      </c>
      <c r="P17" s="773">
        <f t="shared" si="7"/>
        <v>878.4</v>
      </c>
      <c r="Q17" s="769">
        <f t="shared" si="7"/>
        <v>731.98400000000004</v>
      </c>
      <c r="R17" s="770">
        <f t="shared" si="8"/>
        <v>1.4999672131147541</v>
      </c>
      <c r="S17" s="770">
        <f t="shared" si="8"/>
        <v>1.338359911692685</v>
      </c>
      <c r="T17" s="771">
        <f t="shared" si="9"/>
        <v>732</v>
      </c>
      <c r="U17" s="772">
        <f t="shared" si="10"/>
        <v>1.5</v>
      </c>
      <c r="V17" s="769">
        <f t="shared" si="11"/>
        <v>1668.944</v>
      </c>
      <c r="W17" s="774">
        <f t="shared" si="11"/>
        <v>1610.4</v>
      </c>
      <c r="X17" s="769">
        <f t="shared" si="12"/>
        <v>87.84</v>
      </c>
      <c r="Y17" s="774" t="str">
        <f t="shared" si="12"/>
        <v>-</v>
      </c>
      <c r="Z17" s="769">
        <f t="shared" si="13"/>
        <v>1756.7840000000001</v>
      </c>
      <c r="AA17" s="774">
        <f t="shared" si="13"/>
        <v>1698.24</v>
      </c>
      <c r="AB17" s="775"/>
      <c r="AC17" s="776">
        <f t="shared" si="14"/>
        <v>0.54545454545454541</v>
      </c>
      <c r="AD17" s="777">
        <f t="shared" si="15"/>
        <v>0.45454545454545453</v>
      </c>
      <c r="AE17" s="778" t="str">
        <f t="shared" si="16"/>
        <v>TSX:ELD_2023_NEO2</v>
      </c>
      <c r="AF17" s="778"/>
      <c r="AG17" s="782" t="str" cm="1">
        <f t="array" ref="AG17">IFERROR(INDEX('Import 2023 Data'!$E$4:$I$113,_xlfn.XMATCH('NEO4'!$AE17,'Import 2023 Data'!$C$4:$C$113),_xlfn.XMATCH('NEO4'!AG$5,'Import 2023 Data'!$E$3:$I$3)),"-")</f>
        <v>Eldorado Gold Corporation</v>
      </c>
      <c r="AH17" s="778" t="str" cm="1">
        <f t="array" ref="AH17">IFERROR(INDEX('Import 2023 Data'!$E$4:$I$113,_xlfn.XMATCH('NEO4'!$AE17,'Import 2023 Data'!$C$4:$C$113),_xlfn.XMATCH('NEO4'!AH$5,'Import 2023 Data'!$E$3:$I$3)),"-")</f>
        <v xml:space="preserve">Frank Herbert </v>
      </c>
      <c r="AI17" s="783" t="str">
        <f>IF(ISNUMBER(_xlfn.XMATCH(C17,'Import 2023 Data'!$E$4:$E$113)),"N","Y")</f>
        <v>N</v>
      </c>
      <c r="AJ17" s="783" t="str">
        <f t="shared" si="18"/>
        <v>Y</v>
      </c>
      <c r="AK17" s="778" t="str" cm="1">
        <f t="array" ref="AK17">IFERROR(INDEX('Import 2023 Data'!$E$4:$I$113,_xlfn.XMATCH('NEO4'!$AE17,'Import 2023 Data'!$C$4:$C$113),_xlfn.XMATCH('NEO4'!AK$5,'Import 2023 Data'!$E$3:$I$3)),"-")</f>
        <v>EVP, General Counsel and Chief Compliance Officer</v>
      </c>
      <c r="AL17" s="893" cm="1">
        <f t="array" ref="AL17">IFERROR(INDEX('Import 2023 Data'!$E$4:$I$113,_xlfn.XMATCH('NEO4'!$AE17,'Import 2023 Data'!$C$4:$C$113),_xlfn.XMATCH('NEO4'!AL$5,'Import 2023 Data'!$E$3:$I$3)),"-")</f>
        <v>1560.5719999999999</v>
      </c>
      <c r="AM17" s="894" cm="1">
        <f t="array" ref="AM17">IFERROR(INDEX('Import 2023 Data'!$E$4:$I$113,_xlfn.XMATCH('NEO4'!$AE17,'Import 2023 Data'!$C$4:$C$113),_xlfn.XMATCH('NEO4'!AM$5,'Import 2023 Data'!$E$3:$I$3)),"-")</f>
        <v>1485</v>
      </c>
      <c r="AN17" s="733" t="str">
        <f t="shared" si="17"/>
        <v>-</v>
      </c>
      <c r="AP17" s="12" t="s">
        <v>768</v>
      </c>
    </row>
    <row r="18" spans="1:42" ht="20.25" customHeight="1">
      <c r="A18" s="12" t="str">
        <f t="shared" si="0"/>
        <v>TSX:SSRM_2024_NEO2</v>
      </c>
      <c r="B18" s="12" t="str">
        <f>'Raw Data'!D15</f>
        <v>TSX:SSRM</v>
      </c>
      <c r="C18" s="766" t="str">
        <f t="shared" si="1"/>
        <v>SSR Mining Inc.</v>
      </c>
      <c r="D18" s="767">
        <f>_xll.ciqfunctions.udf.CIQ(B18, "IQ_MARKETCAP", $A$1,$A$2)</f>
        <v>3530.3646100000001</v>
      </c>
      <c r="E18" s="767">
        <f>_xll.ciqfunctions.udf.CIQ($B18, "IQ_TEV", $A$1,$A$2)</f>
        <v>4740.9122799999996</v>
      </c>
      <c r="F18" s="768" t="str">
        <f t="shared" si="2"/>
        <v>F. Edward Farid</v>
      </c>
      <c r="G18" s="768" t="str">
        <f t="shared" si="2"/>
        <v>EVP &amp; Chief Strategy Officer</v>
      </c>
      <c r="H18" s="767" t="str">
        <f t="shared" si="3"/>
        <v>-</v>
      </c>
      <c r="I18" s="767">
        <f t="shared" si="3"/>
        <v>794.69860000000006</v>
      </c>
      <c r="J18" s="769">
        <f t="shared" si="3"/>
        <v>542.38179450000007</v>
      </c>
      <c r="K18" s="770">
        <f t="shared" si="4"/>
        <v>0.6825</v>
      </c>
      <c r="L18" s="770">
        <f t="shared" si="4"/>
        <v>0.6825</v>
      </c>
      <c r="M18" s="771">
        <f t="shared" si="5"/>
        <v>596.02395000000001</v>
      </c>
      <c r="N18" s="772">
        <f t="shared" si="6"/>
        <v>0.75</v>
      </c>
      <c r="O18" s="769">
        <f t="shared" si="7"/>
        <v>1337.0803945000002</v>
      </c>
      <c r="P18" s="773">
        <f t="shared" si="7"/>
        <v>1390.7225500000002</v>
      </c>
      <c r="Q18" s="769">
        <f t="shared" si="7"/>
        <v>1390.72255</v>
      </c>
      <c r="R18" s="770">
        <f t="shared" si="8"/>
        <v>1.7499999999999998</v>
      </c>
      <c r="S18" s="770">
        <f t="shared" si="8"/>
        <v>1.7499999999999998</v>
      </c>
      <c r="T18" s="771">
        <f t="shared" si="9"/>
        <v>1390.7225500000002</v>
      </c>
      <c r="U18" s="772">
        <f t="shared" si="10"/>
        <v>1.75</v>
      </c>
      <c r="V18" s="769">
        <f t="shared" si="11"/>
        <v>2727.8029445000002</v>
      </c>
      <c r="W18" s="774">
        <f t="shared" si="11"/>
        <v>2781.4451000000004</v>
      </c>
      <c r="X18" s="769">
        <f t="shared" si="12"/>
        <v>37.816692000000003</v>
      </c>
      <c r="Y18" s="774" t="str">
        <f t="shared" si="12"/>
        <v>-</v>
      </c>
      <c r="Z18" s="769">
        <f t="shared" si="13"/>
        <v>2765.6196365000001</v>
      </c>
      <c r="AA18" s="774">
        <f t="shared" si="13"/>
        <v>2819.2617920000002</v>
      </c>
      <c r="AB18" s="775"/>
      <c r="AC18" s="776">
        <f t="shared" si="14"/>
        <v>0.5</v>
      </c>
      <c r="AD18" s="777">
        <f t="shared" si="15"/>
        <v>0.5</v>
      </c>
      <c r="AE18" s="778" t="str">
        <f t="shared" si="16"/>
        <v>TSX:SSRM_2023_NEO2</v>
      </c>
      <c r="AF18" s="778"/>
      <c r="AG18" s="782" t="str" cm="1">
        <f t="array" ref="AG18">IFERROR(INDEX('Import 2023 Data'!$E$4:$I$113,_xlfn.XMATCH('NEO4'!$AE18,'Import 2023 Data'!$C$4:$C$113),_xlfn.XMATCH('NEO4'!AG$5,'Import 2023 Data'!$E$3:$I$3)),"-")</f>
        <v>SSR Mining Inc.</v>
      </c>
      <c r="AH18" s="778" t="str" cm="1">
        <f t="array" ref="AH18">IFERROR(INDEX('Import 2023 Data'!$E$4:$I$113,_xlfn.XMATCH('NEO4'!$AE18,'Import 2023 Data'!$C$4:$C$113),_xlfn.XMATCH('NEO4'!AH$5,'Import 2023 Data'!$E$3:$I$3)),"-")</f>
        <v>Michael J. Sparks</v>
      </c>
      <c r="AI18" s="783" t="str">
        <f>IF(ISNUMBER(_xlfn.XMATCH(C18,'Import 2023 Data'!$E$4:$E$113)),"N","Y")</f>
        <v>N</v>
      </c>
      <c r="AJ18" s="783" t="str">
        <f t="shared" si="18"/>
        <v>Y</v>
      </c>
      <c r="AK18" s="778" t="str" cm="1">
        <f t="array" ref="AK18">IFERROR(INDEX('Import 2023 Data'!$E$4:$I$113,_xlfn.XMATCH('NEO4'!$AE18,'Import 2023 Data'!$C$4:$C$113),_xlfn.XMATCH('NEO4'!AK$5,'Import 2023 Data'!$E$3:$I$3)),"-")</f>
        <v xml:space="preserve">EVP and Chief Legal Administrative Officer </v>
      </c>
      <c r="AL18" s="893" cm="1">
        <f t="array" ref="AL18">IFERROR(INDEX('Import 2023 Data'!$E$4:$I$113,_xlfn.XMATCH('NEO4'!$AE18,'Import 2023 Data'!$C$4:$C$113),_xlfn.XMATCH('NEO4'!AL$5,'Import 2023 Data'!$E$3:$I$3)),"-")</f>
        <v>2270.4552996800003</v>
      </c>
      <c r="AM18" s="894" cm="1">
        <f t="array" ref="AM18">IFERROR(INDEX('Import 2023 Data'!$E$4:$I$113,_xlfn.XMATCH('NEO4'!$AE18,'Import 2023 Data'!$C$4:$C$113),_xlfn.XMATCH('NEO4'!AM$5,'Import 2023 Data'!$E$3:$I$3)),"-")</f>
        <v>2368.4426999999996</v>
      </c>
      <c r="AN18" s="733" t="str">
        <f t="shared" si="17"/>
        <v>-</v>
      </c>
    </row>
    <row r="19" spans="1:42" ht="20.25" customHeight="1">
      <c r="A19" s="12" t="str">
        <f t="shared" si="0"/>
        <v>TSX:OGC
_2024_NEO2</v>
      </c>
      <c r="B19" s="12" t="str">
        <f>'Raw Data'!D16</f>
        <v xml:space="preserve">TSX:OGC
</v>
      </c>
      <c r="C19" s="766" t="str">
        <f t="shared" si="1"/>
        <v>OceanaGold Corporation</v>
      </c>
      <c r="D19" s="767">
        <f>_xll.ciqfunctions.udf.CIQ(B19, "IQ_MARKETCAP", $A$1,$A$2)</f>
        <v>4453.8089300000001</v>
      </c>
      <c r="E19" s="767">
        <f>_xll.ciqfunctions.udf.CIQ($B19, "IQ_TEV", $A$1,$A$2)</f>
        <v>4363.2558799999997</v>
      </c>
      <c r="F19" s="768" t="str">
        <f t="shared" si="2"/>
        <v>David Londoño</v>
      </c>
      <c r="G19" s="768" t="str">
        <f t="shared" si="2"/>
        <v>EVP &amp; COO, Americas</v>
      </c>
      <c r="H19" s="767" t="str">
        <f t="shared" si="3"/>
        <v>-</v>
      </c>
      <c r="I19" s="767">
        <f t="shared" si="3"/>
        <v>530.20372354000006</v>
      </c>
      <c r="J19" s="769">
        <f t="shared" si="3"/>
        <v>265.71021725000003</v>
      </c>
      <c r="K19" s="770">
        <f t="shared" si="4"/>
        <v>0.50114739948625453</v>
      </c>
      <c r="L19" s="770">
        <f t="shared" si="4"/>
        <v>0.55197379544227332</v>
      </c>
      <c r="M19" s="771">
        <f t="shared" si="5"/>
        <v>318.12223412399999</v>
      </c>
      <c r="N19" s="772">
        <f t="shared" si="6"/>
        <v>0.6</v>
      </c>
      <c r="O19" s="769">
        <f t="shared" si="7"/>
        <v>795.91394079000008</v>
      </c>
      <c r="P19" s="773">
        <f t="shared" si="7"/>
        <v>848.32595766400016</v>
      </c>
      <c r="Q19" s="769">
        <f t="shared" si="7"/>
        <v>1098.9270362899999</v>
      </c>
      <c r="R19" s="770">
        <f t="shared" si="8"/>
        <v>2.0726505444979093</v>
      </c>
      <c r="S19" s="770">
        <f t="shared" si="8"/>
        <v>1.6681734487320454</v>
      </c>
      <c r="T19" s="771">
        <f t="shared" si="9"/>
        <v>884.47177402829379</v>
      </c>
      <c r="U19" s="772">
        <f t="shared" si="10"/>
        <v>1.6681734487320454</v>
      </c>
      <c r="V19" s="769">
        <f t="shared" si="11"/>
        <v>1894.8409770800001</v>
      </c>
      <c r="W19" s="774">
        <f t="shared" si="11"/>
        <v>1732.7977316922938</v>
      </c>
      <c r="X19" s="769">
        <f t="shared" si="12"/>
        <v>41.790185000000008</v>
      </c>
      <c r="Y19" s="774">
        <f t="shared" si="12"/>
        <v>29.806678180000002</v>
      </c>
      <c r="Z19" s="769">
        <f t="shared" si="13"/>
        <v>1966.4378402600003</v>
      </c>
      <c r="AA19" s="774">
        <f t="shared" si="13"/>
        <v>1804.394594872294</v>
      </c>
      <c r="AB19" s="775"/>
      <c r="AC19" s="776">
        <f t="shared" si="14"/>
        <v>0.48957009935343332</v>
      </c>
      <c r="AD19" s="777">
        <f t="shared" si="15"/>
        <v>0.51042990064656679</v>
      </c>
      <c r="AE19" s="778" t="str">
        <f t="shared" si="16"/>
        <v>TSX:OGC
_2023_NEO2</v>
      </c>
      <c r="AF19" s="778" t="s">
        <v>770</v>
      </c>
      <c r="AG19" s="782" t="str" cm="1">
        <f t="array" ref="AG19">IFERROR(INDEX('Import 2023 Data'!$E$4:$I$113,_xlfn.XMATCH('NEO4'!$AE19,'Import 2023 Data'!$C$4:$C$113),_xlfn.XMATCH('NEO4'!AG$5,'Import 2023 Data'!$E$3:$I$3)),"-")</f>
        <v>OceanaGold Corporation</v>
      </c>
      <c r="AH19" s="778" t="str" cm="1">
        <f t="array" ref="AH19">IFERROR(INDEX('Import 2023 Data'!$E$4:$I$113,_xlfn.XMATCH('NEO4'!$AE19,'Import 2023 Data'!$C$4:$C$113),_xlfn.XMATCH('NEO4'!AH$5,'Import 2023 Data'!$E$3:$I$3)),"-")</f>
        <v>David Londono</v>
      </c>
      <c r="AI19" s="783" t="str">
        <f>IF(ISNUMBER(_xlfn.XMATCH(C19,'Import 2023 Data'!$E$4:$E$113)),"N","Y")</f>
        <v>N</v>
      </c>
      <c r="AJ19" s="783" t="s">
        <v>720</v>
      </c>
      <c r="AK19" s="778" t="str" cm="1">
        <f t="array" ref="AK19">IFERROR(INDEX('Import 2023 Data'!$E$4:$I$113,_xlfn.XMATCH('NEO4'!$AE19,'Import 2023 Data'!$C$4:$C$113),_xlfn.XMATCH('NEO4'!AK$5,'Import 2023 Data'!$E$3:$I$3)),"-")</f>
        <v>EVP and COO, Americas</v>
      </c>
      <c r="AL19" s="893" cm="1">
        <f t="array" ref="AL19">IFERROR(INDEX('Import 2023 Data'!$E$4:$I$113,_xlfn.XMATCH('NEO4'!$AE19,'Import 2023 Data'!$C$4:$C$113),_xlfn.XMATCH('NEO4'!AL$5,'Import 2023 Data'!$E$3:$I$3)),"-")</f>
        <v>1698.7226786799999</v>
      </c>
      <c r="AM19" s="894" cm="1">
        <f t="array" ref="AM19">IFERROR(INDEX('Import 2023 Data'!$E$4:$I$113,_xlfn.XMATCH('NEO4'!$AE19,'Import 2023 Data'!$C$4:$C$113),_xlfn.XMATCH('NEO4'!AM$5,'Import 2023 Data'!$E$3:$I$3)),"-")</f>
        <v>1951.5433430160001</v>
      </c>
      <c r="AN19" s="733">
        <f t="shared" si="17"/>
        <v>-0.11208852322267526</v>
      </c>
      <c r="AP19" s="12" t="s">
        <v>769</v>
      </c>
    </row>
    <row r="20" spans="1:42" ht="20.25" customHeight="1">
      <c r="A20" s="12" t="str">
        <f t="shared" si="0"/>
        <v>TSX:ERO_2024_NEO2</v>
      </c>
      <c r="B20" s="12" t="str">
        <f>'Raw Data'!D17</f>
        <v>TSX:ERO</v>
      </c>
      <c r="C20" s="766" t="str">
        <f t="shared" si="1"/>
        <v>Ero Copper Corp.</v>
      </c>
      <c r="D20" s="767">
        <f>_xll.ciqfunctions.udf.CIQ(B20, "IQ_MARKETCAP", $A$1,$A$2)</f>
        <v>2080.7628100000002</v>
      </c>
      <c r="E20" s="767">
        <f>_xll.ciqfunctions.udf.CIQ($B20, "IQ_TEV", $A$1,$A$2)</f>
        <v>2927.2829099999999</v>
      </c>
      <c r="F20" s="768" t="str">
        <f t="shared" si="2"/>
        <v>Gelson Batista</v>
      </c>
      <c r="G20" s="768" t="str">
        <f t="shared" si="2"/>
        <v>SVP, Operations</v>
      </c>
      <c r="H20" s="767" t="str">
        <f t="shared" si="3"/>
        <v>-</v>
      </c>
      <c r="I20" s="767">
        <f t="shared" si="3"/>
        <v>616.57650000000001</v>
      </c>
      <c r="J20" s="769">
        <f t="shared" si="3"/>
        <v>300.58098146954552</v>
      </c>
      <c r="K20" s="770">
        <f t="shared" si="4"/>
        <v>0.48749989898989909</v>
      </c>
      <c r="L20" s="770">
        <f t="shared" si="4"/>
        <v>0.48749989898989909</v>
      </c>
      <c r="M20" s="771">
        <f t="shared" si="5"/>
        <v>462.43237499999998</v>
      </c>
      <c r="N20" s="772">
        <f t="shared" si="6"/>
        <v>0.75</v>
      </c>
      <c r="O20" s="769">
        <f t="shared" si="7"/>
        <v>917.15748146954547</v>
      </c>
      <c r="P20" s="773">
        <f t="shared" si="7"/>
        <v>1079.008875</v>
      </c>
      <c r="Q20" s="769">
        <f t="shared" si="7"/>
        <v>894.95667924000008</v>
      </c>
      <c r="R20" s="770">
        <f t="shared" si="8"/>
        <v>1.4514933333333335</v>
      </c>
      <c r="S20" s="770">
        <f t="shared" si="8"/>
        <v>1.4514933333333335</v>
      </c>
      <c r="T20" s="771">
        <f t="shared" si="9"/>
        <v>894.95667924000008</v>
      </c>
      <c r="U20" s="772">
        <f t="shared" si="10"/>
        <v>1.4514933333333335</v>
      </c>
      <c r="V20" s="769">
        <f t="shared" si="11"/>
        <v>1812.1141607095456</v>
      </c>
      <c r="W20" s="774">
        <f t="shared" si="11"/>
        <v>1973.9655542400001</v>
      </c>
      <c r="X20" s="769" t="str">
        <f t="shared" si="12"/>
        <v>-</v>
      </c>
      <c r="Y20" s="774">
        <f t="shared" si="12"/>
        <v>1.7322062822727275</v>
      </c>
      <c r="Z20" s="769">
        <f t="shared" si="13"/>
        <v>1813.8463669918183</v>
      </c>
      <c r="AA20" s="774">
        <f t="shared" si="13"/>
        <v>1975.6977605222726</v>
      </c>
      <c r="AB20" s="775"/>
      <c r="AC20" s="776">
        <f t="shared" si="14"/>
        <v>0.54661991070833604</v>
      </c>
      <c r="AD20" s="777">
        <f t="shared" si="15"/>
        <v>0.4533800892916639</v>
      </c>
      <c r="AE20" s="778" t="str">
        <f t="shared" si="16"/>
        <v>TSX:ERO_2023_NEO2</v>
      </c>
      <c r="AF20" s="778"/>
      <c r="AG20" s="782" t="str" cm="1">
        <f t="array" ref="AG20">IFERROR(INDEX('Import 2023 Data'!$E$4:$I$113,_xlfn.XMATCH('NEO4'!$AE20,'Import 2023 Data'!$C$4:$C$113),_xlfn.XMATCH('NEO4'!AG$5,'Import 2023 Data'!$E$3:$I$3)),"-")</f>
        <v>Ero Copper Corp.</v>
      </c>
      <c r="AH20" s="778" t="str" cm="1">
        <f t="array" ref="AH20">IFERROR(INDEX('Import 2023 Data'!$E$4:$I$113,_xlfn.XMATCH('NEO4'!$AE20,'Import 2023 Data'!$C$4:$C$113),_xlfn.XMATCH('NEO4'!AH$5,'Import 2023 Data'!$E$3:$I$3)),"-")</f>
        <v xml:space="preserve">Michael Richard </v>
      </c>
      <c r="AI20" s="783" t="str">
        <f>IF(ISNUMBER(_xlfn.XMATCH(C20,'Import 2023 Data'!$E$4:$E$113)),"N","Y")</f>
        <v>N</v>
      </c>
      <c r="AJ20" s="783" t="str">
        <f t="shared" si="18"/>
        <v>Y</v>
      </c>
      <c r="AK20" s="778" t="str" cm="1">
        <f t="array" ref="AK20">IFERROR(INDEX('Import 2023 Data'!$E$4:$I$113,_xlfn.XMATCH('NEO4'!$AE20,'Import 2023 Data'!$C$4:$C$113),_xlfn.XMATCH('NEO4'!AK$5,'Import 2023 Data'!$E$3:$I$3)),"-")</f>
        <v>Chief Geological Officer</v>
      </c>
      <c r="AL20" s="893" cm="1">
        <f t="array" ref="AL20">IFERROR(INDEX('Import 2023 Data'!$E$4:$I$113,_xlfn.XMATCH('NEO4'!$AE20,'Import 2023 Data'!$C$4:$C$113),_xlfn.XMATCH('NEO4'!AL$5,'Import 2023 Data'!$E$3:$I$3)),"-")</f>
        <v>1951.1001540800003</v>
      </c>
      <c r="AM20" s="894" cm="1">
        <f t="array" ref="AM20">IFERROR(INDEX('Import 2023 Data'!$E$4:$I$113,_xlfn.XMATCH('NEO4'!$AE20,'Import 2023 Data'!$C$4:$C$113),_xlfn.XMATCH('NEO4'!AM$5,'Import 2023 Data'!$E$3:$I$3)),"-")</f>
        <v>1695.0709615429266</v>
      </c>
      <c r="AN20" s="733" t="str">
        <f t="shared" si="17"/>
        <v>-</v>
      </c>
    </row>
    <row r="21" spans="1:42" ht="20.25" customHeight="1">
      <c r="A21" s="12" t="str">
        <f t="shared" si="0"/>
        <v>TSX:CG_2024_NEO2</v>
      </c>
      <c r="B21" s="12" t="str">
        <f>'Raw Data'!D18</f>
        <v>TSX:CG</v>
      </c>
      <c r="C21" s="766" t="str">
        <f t="shared" si="1"/>
        <v>Centerra Gold Inc.</v>
      </c>
      <c r="D21" s="767">
        <f>_xll.ciqfunctions.udf.CIQ(B21, "IQ_MARKETCAP", $A$1,$A$2)</f>
        <v>2054.8528000000001</v>
      </c>
      <c r="E21" s="767">
        <f>_xll.ciqfunctions.udf.CIQ($B21, "IQ_TEV", $A$1,$A$2)</f>
        <v>1190.4233200000001</v>
      </c>
      <c r="F21" s="768" t="str">
        <f t="shared" si="2"/>
        <v>Yousef Rehman</v>
      </c>
      <c r="G21" s="768" t="str">
        <f t="shared" si="2"/>
        <v>EVP, Legal &amp; Public Affairs</v>
      </c>
      <c r="H21" s="767" t="str">
        <f t="shared" si="3"/>
        <v>-</v>
      </c>
      <c r="I21" s="767">
        <f t="shared" si="3"/>
        <v>445</v>
      </c>
      <c r="J21" s="769">
        <f t="shared" si="3"/>
        <v>279.12599999999998</v>
      </c>
      <c r="K21" s="770">
        <f t="shared" si="4"/>
        <v>0.62724943820224721</v>
      </c>
      <c r="L21" s="770">
        <f t="shared" si="4"/>
        <v>0.69366217228464411</v>
      </c>
      <c r="M21" s="771">
        <f t="shared" si="5"/>
        <v>289.25</v>
      </c>
      <c r="N21" s="772">
        <f t="shared" si="6"/>
        <v>0.65</v>
      </c>
      <c r="O21" s="769">
        <f t="shared" si="7"/>
        <v>724.12599999999998</v>
      </c>
      <c r="P21" s="773">
        <f t="shared" si="7"/>
        <v>734.25</v>
      </c>
      <c r="Q21" s="769">
        <f t="shared" si="7"/>
        <v>712.00000000000023</v>
      </c>
      <c r="R21" s="770">
        <f t="shared" si="8"/>
        <v>1.6000000000000005</v>
      </c>
      <c r="S21" s="770">
        <f t="shared" si="8"/>
        <v>1.6000000000000005</v>
      </c>
      <c r="T21" s="771">
        <f t="shared" si="9"/>
        <v>712</v>
      </c>
      <c r="U21" s="772">
        <f t="shared" si="10"/>
        <v>1.6</v>
      </c>
      <c r="V21" s="769">
        <f t="shared" si="11"/>
        <v>1436.1260000000002</v>
      </c>
      <c r="W21" s="774">
        <f t="shared" si="11"/>
        <v>1446.25</v>
      </c>
      <c r="X21" s="769">
        <f t="shared" si="12"/>
        <v>86.894999999999996</v>
      </c>
      <c r="Y21" s="774">
        <f t="shared" si="12"/>
        <v>72.695999999999998</v>
      </c>
      <c r="Z21" s="769">
        <f t="shared" si="13"/>
        <v>1595.7170000000003</v>
      </c>
      <c r="AA21" s="774">
        <f t="shared" si="13"/>
        <v>1605.8409999999999</v>
      </c>
      <c r="AB21" s="775"/>
      <c r="AC21" s="776">
        <f t="shared" si="14"/>
        <v>0.50769230769230766</v>
      </c>
      <c r="AD21" s="777">
        <f t="shared" si="15"/>
        <v>0.49230769230769234</v>
      </c>
      <c r="AE21" s="778" t="str">
        <f t="shared" si="16"/>
        <v>TSX:CG_2023_NEO2</v>
      </c>
      <c r="AF21" s="778"/>
      <c r="AG21" s="784" t="str" cm="1">
        <f t="array" ref="AG21">IFERROR(INDEX('Import 2023 Data'!$E$4:$I$113,_xlfn.XMATCH('NEO4'!$AE21,'Import 2023 Data'!$C$4:$C$113),_xlfn.XMATCH('NEO4'!AG$5,'Import 2023 Data'!$E$3:$I$3)),"-")</f>
        <v>Centerra Gold Inc.</v>
      </c>
      <c r="AH21" s="785" t="str" cm="1">
        <f t="array" ref="AH21">IFERROR(INDEX('Import 2023 Data'!$E$4:$I$113,_xlfn.XMATCH('NEO4'!$AE21,'Import 2023 Data'!$C$4:$C$113),_xlfn.XMATCH('NEO4'!AH$5,'Import 2023 Data'!$E$3:$I$3)),"-")</f>
        <v xml:space="preserve">Yousef Rehman </v>
      </c>
      <c r="AI21" s="786" t="str">
        <f>IF(ISNUMBER(_xlfn.XMATCH(C21,'Import 2023 Data'!$E$4:$E$113)),"N","Y")</f>
        <v>N</v>
      </c>
      <c r="AJ21" s="786" t="str">
        <f t="shared" si="18"/>
        <v>N</v>
      </c>
      <c r="AK21" s="785" t="str" cm="1">
        <f t="array" ref="AK21">IFERROR(INDEX('Import 2023 Data'!$E$4:$I$113,_xlfn.XMATCH('NEO4'!$AE21,'Import 2023 Data'!$C$4:$C$113),_xlfn.XMATCH('NEO4'!AK$5,'Import 2023 Data'!$E$3:$I$3)),"-")</f>
        <v xml:space="preserve">EVP and General Counsel </v>
      </c>
      <c r="AL21" s="897" cm="1">
        <f t="array" ref="AL21">IFERROR(INDEX('Import 2023 Data'!$E$4:$I$113,_xlfn.XMATCH('NEO4'!$AE21,'Import 2023 Data'!$C$4:$C$113),_xlfn.XMATCH('NEO4'!AL$5,'Import 2023 Data'!$E$3:$I$3)),"-")</f>
        <v>1448.8530000000001</v>
      </c>
      <c r="AM21" s="898" cm="1">
        <f t="array" ref="AM21">IFERROR(INDEX('Import 2023 Data'!$E$4:$I$113,_xlfn.XMATCH('NEO4'!$AE21,'Import 2023 Data'!$C$4:$C$113),_xlfn.XMATCH('NEO4'!AM$5,'Import 2023 Data'!$E$3:$I$3)),"-")</f>
        <v>1446.25</v>
      </c>
      <c r="AN21" s="884">
        <f t="shared" si="17"/>
        <v>0</v>
      </c>
    </row>
    <row r="22" spans="1:42" ht="20.25" hidden="1" customHeight="1" outlineLevel="1">
      <c r="A22" s="12" t="str">
        <f t="shared" ref="A22:A27" si="19">$B22&amp;"_"&amp;$C$3&amp;"_"&amp;$C$2</f>
        <v>0_2024_NEO2</v>
      </c>
      <c r="B22" s="12">
        <f>'Raw Data'!D19</f>
        <v>0</v>
      </c>
      <c r="C22" s="766" t="str">
        <f t="shared" ref="C22:C27" si="20">IFERROR(INDEX(Raw_Data,MATCH($A22,Look_Up,0),MATCH(C$4,Component,0)),"-")</f>
        <v>(Invalid Identifier)</v>
      </c>
      <c r="D22" s="767" t="str">
        <f>_xll.ciqfunctions.udf.CIQ(B22, "IQ_MARKETCAP", $A$1,$A$2)</f>
        <v>(Invalid Identifier)</v>
      </c>
      <c r="E22" s="767" t="str">
        <f>_xll.ciqfunctions.udf.CIQ($B22, "IQ_TEV", $A$1,$A$2)</f>
        <v>(Invalid Identifier)</v>
      </c>
      <c r="F22" s="768" t="str">
        <f t="shared" ref="F22:G27" si="21">IFERROR(INDEX(Raw_Data,MATCH($A22,Look_Up,0),MATCH(F$4,Component,0)),"-")</f>
        <v>-</v>
      </c>
      <c r="G22" s="768" t="str">
        <f t="shared" si="21"/>
        <v>-</v>
      </c>
      <c r="H22" s="767" t="str">
        <f t="shared" ref="H22:J27" si="22">IFERROR(INDEX(Raw_Data,MATCH($A22,Look_Up,0),MATCH(H$4,Component,0))/1000,"-")</f>
        <v>-</v>
      </c>
      <c r="I22" s="767" t="str">
        <f t="shared" si="22"/>
        <v>-</v>
      </c>
      <c r="J22" s="769" t="str">
        <f t="shared" si="22"/>
        <v>-</v>
      </c>
      <c r="K22" s="770" t="str">
        <f t="shared" ref="K22:L27" si="23">IFERROR(INDEX(Raw_Data,MATCH($A22,Look_Up,0),MATCH(K$4,Component,0)),"-")</f>
        <v>-</v>
      </c>
      <c r="L22" s="770" t="str">
        <f t="shared" si="23"/>
        <v>N/A</v>
      </c>
      <c r="M22" s="771" t="str">
        <f t="shared" ref="M22:M27" si="24">IFERROR(INDEX(Raw_Data,MATCH($A22,Look_Up,0),MATCH(M$4,Component,0))/1000,"-")</f>
        <v>-</v>
      </c>
      <c r="N22" s="772" t="str">
        <f t="shared" ref="N22:N27" si="25">IFERROR(IF(INDEX(Raw_Data,MATCH($A22,Look_Up,0),MATCH(N$4,Component,0))="-",L22,INDEX(Raw_Data,MATCH($A22,Look_Up,0),MATCH(N$4,Component,0))),"-")</f>
        <v>N/A</v>
      </c>
      <c r="O22" s="769" t="str">
        <f t="shared" ref="O22:Q27" si="26">IFERROR(INDEX(Raw_Data,MATCH($A22,Look_Up,0),MATCH(O$4,Component,0))/1000,"-")</f>
        <v>-</v>
      </c>
      <c r="P22" s="773" t="str">
        <f t="shared" si="26"/>
        <v>-</v>
      </c>
      <c r="Q22" s="769" t="str">
        <f t="shared" si="26"/>
        <v>-</v>
      </c>
      <c r="R22" s="770" t="str">
        <f t="shared" ref="R22:S27" si="27">IFERROR(INDEX(Raw_Data,MATCH($A22,Look_Up,0),MATCH(R$4,Component,0)),"-")</f>
        <v>-</v>
      </c>
      <c r="S22" s="770" t="str">
        <f t="shared" si="27"/>
        <v>N/A</v>
      </c>
      <c r="T22" s="771" t="str">
        <f t="shared" ref="T22:T27" si="28">IFERROR(INDEX(Raw_Data,MATCH($A22,Look_Up,0),MATCH(T$4,Component,0))/1000,"-")</f>
        <v>-</v>
      </c>
      <c r="U22" s="772" t="str">
        <f t="shared" ref="U22:U27" si="29">IFERROR(IF(INDEX(Raw_Data,MATCH($A22,Look_Up,0),MATCH(U$4,Component,0))="-",S22,INDEX(Raw_Data,MATCH($A22,Look_Up,0),MATCH(U$4,Component,0))),"-")</f>
        <v>N/A</v>
      </c>
      <c r="V22" s="769" t="str">
        <f t="shared" ref="V22:AA27" si="30">IFERROR(INDEX(Raw_Data,MATCH($A22,Look_Up,0),MATCH(V$4,Component,0))/1000,"-")</f>
        <v>-</v>
      </c>
      <c r="W22" s="774" t="str">
        <f t="shared" si="30"/>
        <v>-</v>
      </c>
      <c r="X22" s="769" t="str">
        <f t="shared" ref="X22:Y27" si="31">IFERROR((INDEX(Raw_Data,MATCH($A22,Look_Up,0),MATCH(X$4,Component,0))/1000),"-")</f>
        <v>-</v>
      </c>
      <c r="Y22" s="774" t="str">
        <f t="shared" si="31"/>
        <v>-</v>
      </c>
      <c r="Z22" s="769" t="str">
        <f t="shared" si="30"/>
        <v>-</v>
      </c>
      <c r="AA22" s="774" t="str">
        <f t="shared" si="30"/>
        <v>-</v>
      </c>
      <c r="AB22" s="775"/>
      <c r="AC22" s="776"/>
      <c r="AD22" s="777"/>
      <c r="AE22" s="778" t="str">
        <f t="shared" ref="AE22:AE27" si="32">B22&amp;"_"&amp;$AE$6&amp;"_"&amp;$C$2</f>
        <v>0_2023_NEO2</v>
      </c>
      <c r="AF22" s="778"/>
      <c r="AG22" s="782" t="str" cm="1">
        <f t="array" ref="AG22">IFERROR(INDEX('Import 2023 Data'!$E$4:$I$113,_xlfn.XMATCH('NEO4'!$AE22,'Import 2023 Data'!$C$4:$C$113),_xlfn.XMATCH('NEO4'!AG$5,'Import 2023 Data'!$E$3:$I$3)),"-")</f>
        <v>-</v>
      </c>
      <c r="AH22" s="778" t="str" cm="1">
        <f t="array" ref="AH22">IFERROR(INDEX('Import 2023 Data'!$E$4:$I$113,_xlfn.XMATCH('NEO4'!$AE22,'Import 2023 Data'!$C$4:$C$113),_xlfn.XMATCH('NEO4'!AH$5,'Import 2023 Data'!$E$3:$I$3)),"-")</f>
        <v>-</v>
      </c>
      <c r="AI22" s="778"/>
      <c r="AJ22" s="783" t="str">
        <f t="shared" ref="AJ22:AJ27" si="33">IFERROR(IF(TRIM(LOWER(AH22))=TRIM(LOWER(F22)),"N","Y"),"-")</f>
        <v>N</v>
      </c>
      <c r="AK22" s="778" t="str" cm="1">
        <f t="array" ref="AK22">IFERROR(INDEX('Import 2023 Data'!$E$4:$I$113,_xlfn.XMATCH('NEO4'!$AE22,'Import 2023 Data'!$C$4:$C$113),_xlfn.XMATCH('NEO4'!AK$5,'Import 2023 Data'!$E$3:$I$3)),"-")</f>
        <v>-</v>
      </c>
      <c r="AL22" s="775" t="str" cm="1">
        <f t="array" ref="AL22">IFERROR(INDEX('Import 2023 Data'!$E$4:$I$113,_xlfn.XMATCH('NEO4'!$AE22,'Import 2023 Data'!$C$4:$C$113),_xlfn.XMATCH('NEO4'!AL$5,'Import 2023 Data'!$E$3:$I$3)),"-")</f>
        <v>-</v>
      </c>
      <c r="AM22" s="775" t="str" cm="1">
        <f t="array" ref="AM22">IFERROR(INDEX('Import 2023 Data'!$E$4:$I$113,_xlfn.XMATCH('NEO4'!$AE22,'Import 2023 Data'!$C$4:$C$113),_xlfn.XMATCH('NEO4'!AM$5,'Import 2023 Data'!$E$3:$I$3)),"-")</f>
        <v>-</v>
      </c>
      <c r="AN22" s="505" t="str">
        <f t="shared" ref="AN22:AN27" si="34">IFERROR(IF(AJ22="Y","New Incumbent",W22/AM22-1),"-")</f>
        <v>-</v>
      </c>
    </row>
    <row r="23" spans="1:42" ht="20.25" hidden="1" customHeight="1" outlineLevel="1">
      <c r="A23" s="12" t="str">
        <f t="shared" si="19"/>
        <v>0_2024_NEO2</v>
      </c>
      <c r="B23" s="12">
        <f>'Raw Data'!D20</f>
        <v>0</v>
      </c>
      <c r="C23" s="766" t="str">
        <f t="shared" si="20"/>
        <v>(Invalid Identifier)</v>
      </c>
      <c r="D23" s="767" t="str">
        <f>_xll.ciqfunctions.udf.CIQ(B23, "IQ_MARKETCAP", $A$1,$A$2)</f>
        <v>(Invalid Identifier)</v>
      </c>
      <c r="E23" s="767" t="str">
        <f>_xll.ciqfunctions.udf.CIQ($B23, "IQ_TEV", $A$1,$A$2)</f>
        <v>(Invalid Identifier)</v>
      </c>
      <c r="F23" s="768" t="str">
        <f t="shared" si="21"/>
        <v>-</v>
      </c>
      <c r="G23" s="768" t="str">
        <f t="shared" si="21"/>
        <v>-</v>
      </c>
      <c r="H23" s="767" t="str">
        <f t="shared" si="22"/>
        <v>-</v>
      </c>
      <c r="I23" s="767" t="str">
        <f t="shared" si="22"/>
        <v>-</v>
      </c>
      <c r="J23" s="769" t="str">
        <f t="shared" si="22"/>
        <v>-</v>
      </c>
      <c r="K23" s="770" t="str">
        <f t="shared" si="23"/>
        <v>-</v>
      </c>
      <c r="L23" s="770" t="str">
        <f t="shared" si="23"/>
        <v>N/A</v>
      </c>
      <c r="M23" s="771" t="str">
        <f t="shared" si="24"/>
        <v>-</v>
      </c>
      <c r="N23" s="772" t="str">
        <f t="shared" si="25"/>
        <v>N/A</v>
      </c>
      <c r="O23" s="769" t="str">
        <f t="shared" si="26"/>
        <v>-</v>
      </c>
      <c r="P23" s="773" t="str">
        <f t="shared" si="26"/>
        <v>-</v>
      </c>
      <c r="Q23" s="769" t="str">
        <f t="shared" si="26"/>
        <v>-</v>
      </c>
      <c r="R23" s="770" t="str">
        <f t="shared" si="27"/>
        <v>-</v>
      </c>
      <c r="S23" s="770" t="str">
        <f t="shared" si="27"/>
        <v>N/A</v>
      </c>
      <c r="T23" s="771" t="str">
        <f t="shared" si="28"/>
        <v>-</v>
      </c>
      <c r="U23" s="772" t="str">
        <f t="shared" si="29"/>
        <v>N/A</v>
      </c>
      <c r="V23" s="769" t="str">
        <f t="shared" si="30"/>
        <v>-</v>
      </c>
      <c r="W23" s="774" t="str">
        <f t="shared" si="30"/>
        <v>-</v>
      </c>
      <c r="X23" s="769" t="str">
        <f t="shared" si="31"/>
        <v>-</v>
      </c>
      <c r="Y23" s="774" t="str">
        <f t="shared" si="31"/>
        <v>-</v>
      </c>
      <c r="Z23" s="769" t="str">
        <f t="shared" si="30"/>
        <v>-</v>
      </c>
      <c r="AA23" s="774" t="str">
        <f t="shared" si="30"/>
        <v>-</v>
      </c>
      <c r="AB23" s="775"/>
      <c r="AC23" s="776"/>
      <c r="AD23" s="777"/>
      <c r="AE23" s="778" t="str">
        <f t="shared" si="32"/>
        <v>0_2023_NEO2</v>
      </c>
      <c r="AF23" s="778"/>
      <c r="AG23" s="782" t="str" cm="1">
        <f t="array" ref="AG23">IFERROR(INDEX('Import 2023 Data'!$E$4:$I$113,_xlfn.XMATCH('NEO4'!$AE23,'Import 2023 Data'!$C$4:$C$113),_xlfn.XMATCH('NEO4'!AG$5,'Import 2023 Data'!$E$3:$I$3)),"-")</f>
        <v>-</v>
      </c>
      <c r="AH23" s="778" t="str" cm="1">
        <f t="array" ref="AH23">IFERROR(INDEX('Import 2023 Data'!$E$4:$I$113,_xlfn.XMATCH('NEO4'!$AE23,'Import 2023 Data'!$C$4:$C$113),_xlfn.XMATCH('NEO4'!AH$5,'Import 2023 Data'!$E$3:$I$3)),"-")</f>
        <v>-</v>
      </c>
      <c r="AI23" s="778"/>
      <c r="AJ23" s="783" t="str">
        <f t="shared" si="33"/>
        <v>N</v>
      </c>
      <c r="AK23" s="778" t="str" cm="1">
        <f t="array" ref="AK23">IFERROR(INDEX('Import 2023 Data'!$E$4:$I$113,_xlfn.XMATCH('NEO4'!$AE23,'Import 2023 Data'!$C$4:$C$113),_xlfn.XMATCH('NEO4'!AK$5,'Import 2023 Data'!$E$3:$I$3)),"-")</f>
        <v>-</v>
      </c>
      <c r="AL23" s="775" t="str" cm="1">
        <f t="array" ref="AL23">IFERROR(INDEX('Import 2023 Data'!$E$4:$I$113,_xlfn.XMATCH('NEO4'!$AE23,'Import 2023 Data'!$C$4:$C$113),_xlfn.XMATCH('NEO4'!AL$5,'Import 2023 Data'!$E$3:$I$3)),"-")</f>
        <v>-</v>
      </c>
      <c r="AM23" s="775" t="str" cm="1">
        <f t="array" ref="AM23">IFERROR(INDEX('Import 2023 Data'!$E$4:$I$113,_xlfn.XMATCH('NEO4'!$AE23,'Import 2023 Data'!$C$4:$C$113),_xlfn.XMATCH('NEO4'!AM$5,'Import 2023 Data'!$E$3:$I$3)),"-")</f>
        <v>-</v>
      </c>
      <c r="AN23" s="505" t="str">
        <f t="shared" si="34"/>
        <v>-</v>
      </c>
    </row>
    <row r="24" spans="1:42" ht="20.25" hidden="1" customHeight="1" outlineLevel="1">
      <c r="A24" s="12" t="str">
        <f t="shared" si="19"/>
        <v>0_2024_NEO2</v>
      </c>
      <c r="B24" s="12">
        <f>'Raw Data'!D21</f>
        <v>0</v>
      </c>
      <c r="C24" s="766" t="str">
        <f t="shared" si="20"/>
        <v>(Invalid Identifier)</v>
      </c>
      <c r="D24" s="767" t="str">
        <f>_xll.ciqfunctions.udf.CIQ(B24, "IQ_MARKETCAP", $A$1,$A$2)</f>
        <v>(Invalid Identifier)</v>
      </c>
      <c r="E24" s="767" t="str">
        <f>_xll.ciqfunctions.udf.CIQ($B24, "IQ_TEV", $A$1,$A$2)</f>
        <v>(Invalid Identifier)</v>
      </c>
      <c r="F24" s="768" t="str">
        <f t="shared" si="21"/>
        <v>-</v>
      </c>
      <c r="G24" s="768" t="str">
        <f t="shared" si="21"/>
        <v>-</v>
      </c>
      <c r="H24" s="767" t="str">
        <f t="shared" si="22"/>
        <v>-</v>
      </c>
      <c r="I24" s="767" t="str">
        <f t="shared" si="22"/>
        <v>-</v>
      </c>
      <c r="J24" s="769" t="str">
        <f t="shared" si="22"/>
        <v>-</v>
      </c>
      <c r="K24" s="770" t="str">
        <f t="shared" si="23"/>
        <v>-</v>
      </c>
      <c r="L24" s="770" t="str">
        <f t="shared" si="23"/>
        <v>N/A</v>
      </c>
      <c r="M24" s="771" t="str">
        <f t="shared" si="24"/>
        <v>-</v>
      </c>
      <c r="N24" s="772" t="str">
        <f t="shared" si="25"/>
        <v>N/A</v>
      </c>
      <c r="O24" s="769" t="str">
        <f t="shared" si="26"/>
        <v>-</v>
      </c>
      <c r="P24" s="773" t="str">
        <f t="shared" si="26"/>
        <v>-</v>
      </c>
      <c r="Q24" s="769" t="str">
        <f t="shared" si="26"/>
        <v>-</v>
      </c>
      <c r="R24" s="770" t="str">
        <f t="shared" si="27"/>
        <v>-</v>
      </c>
      <c r="S24" s="770" t="str">
        <f t="shared" si="27"/>
        <v>N/A</v>
      </c>
      <c r="T24" s="771" t="str">
        <f t="shared" si="28"/>
        <v>-</v>
      </c>
      <c r="U24" s="772" t="str">
        <f t="shared" si="29"/>
        <v>N/A</v>
      </c>
      <c r="V24" s="769" t="str">
        <f t="shared" si="30"/>
        <v>-</v>
      </c>
      <c r="W24" s="774" t="str">
        <f t="shared" si="30"/>
        <v>-</v>
      </c>
      <c r="X24" s="769" t="str">
        <f t="shared" si="31"/>
        <v>-</v>
      </c>
      <c r="Y24" s="774" t="str">
        <f t="shared" si="31"/>
        <v>-</v>
      </c>
      <c r="Z24" s="769" t="str">
        <f t="shared" si="30"/>
        <v>-</v>
      </c>
      <c r="AA24" s="774" t="str">
        <f t="shared" si="30"/>
        <v>-</v>
      </c>
      <c r="AB24" s="775"/>
      <c r="AC24" s="776"/>
      <c r="AD24" s="777"/>
      <c r="AE24" s="778" t="str">
        <f t="shared" si="32"/>
        <v>0_2023_NEO2</v>
      </c>
      <c r="AF24" s="778"/>
      <c r="AG24" s="782" t="str" cm="1">
        <f t="array" ref="AG24">IFERROR(INDEX('Import 2023 Data'!$E$4:$I$113,_xlfn.XMATCH('NEO4'!$AE24,'Import 2023 Data'!$C$4:$C$113),_xlfn.XMATCH('NEO4'!AG$5,'Import 2023 Data'!$E$3:$I$3)),"-")</f>
        <v>-</v>
      </c>
      <c r="AH24" s="778" t="str" cm="1">
        <f t="array" ref="AH24">IFERROR(INDEX('Import 2023 Data'!$E$4:$I$113,_xlfn.XMATCH('NEO4'!$AE24,'Import 2023 Data'!$C$4:$C$113),_xlfn.XMATCH('NEO4'!AH$5,'Import 2023 Data'!$E$3:$I$3)),"-")</f>
        <v>-</v>
      </c>
      <c r="AI24" s="778"/>
      <c r="AJ24" s="783" t="str">
        <f t="shared" si="33"/>
        <v>N</v>
      </c>
      <c r="AK24" s="778" t="str" cm="1">
        <f t="array" ref="AK24">IFERROR(INDEX('Import 2023 Data'!$E$4:$I$113,_xlfn.XMATCH('NEO4'!$AE24,'Import 2023 Data'!$C$4:$C$113),_xlfn.XMATCH('NEO4'!AK$5,'Import 2023 Data'!$E$3:$I$3)),"-")</f>
        <v>-</v>
      </c>
      <c r="AL24" s="775" t="str" cm="1">
        <f t="array" ref="AL24">IFERROR(INDEX('Import 2023 Data'!$E$4:$I$113,_xlfn.XMATCH('NEO4'!$AE24,'Import 2023 Data'!$C$4:$C$113),_xlfn.XMATCH('NEO4'!AL$5,'Import 2023 Data'!$E$3:$I$3)),"-")</f>
        <v>-</v>
      </c>
      <c r="AM24" s="775" t="str" cm="1">
        <f t="array" ref="AM24">IFERROR(INDEX('Import 2023 Data'!$E$4:$I$113,_xlfn.XMATCH('NEO4'!$AE24,'Import 2023 Data'!$C$4:$C$113),_xlfn.XMATCH('NEO4'!AM$5,'Import 2023 Data'!$E$3:$I$3)),"-")</f>
        <v>-</v>
      </c>
      <c r="AN24" s="505" t="str">
        <f t="shared" si="34"/>
        <v>-</v>
      </c>
    </row>
    <row r="25" spans="1:42" ht="20.25" hidden="1" customHeight="1" outlineLevel="1">
      <c r="A25" s="12" t="str">
        <f t="shared" si="19"/>
        <v>0_2024_NEO2</v>
      </c>
      <c r="B25" s="12">
        <f>'Raw Data'!D22</f>
        <v>0</v>
      </c>
      <c r="C25" s="766" t="str">
        <f t="shared" si="20"/>
        <v>(Invalid Identifier)</v>
      </c>
      <c r="D25" s="767" t="str">
        <f>_xll.ciqfunctions.udf.CIQ(B25, "IQ_MARKETCAP", $A$1,$A$2)</f>
        <v>(Invalid Identifier)</v>
      </c>
      <c r="E25" s="767" t="str">
        <f>_xll.ciqfunctions.udf.CIQ($B25, "IQ_TEV", $A$1,$A$2)</f>
        <v>(Invalid Identifier)</v>
      </c>
      <c r="F25" s="768" t="str">
        <f t="shared" si="21"/>
        <v>-</v>
      </c>
      <c r="G25" s="768" t="str">
        <f t="shared" si="21"/>
        <v>-</v>
      </c>
      <c r="H25" s="767" t="str">
        <f t="shared" si="22"/>
        <v>-</v>
      </c>
      <c r="I25" s="767" t="str">
        <f t="shared" si="22"/>
        <v>-</v>
      </c>
      <c r="J25" s="769" t="str">
        <f t="shared" si="22"/>
        <v>-</v>
      </c>
      <c r="K25" s="770" t="str">
        <f t="shared" si="23"/>
        <v>-</v>
      </c>
      <c r="L25" s="770" t="str">
        <f t="shared" si="23"/>
        <v>N/A</v>
      </c>
      <c r="M25" s="771" t="str">
        <f t="shared" si="24"/>
        <v>-</v>
      </c>
      <c r="N25" s="772" t="str">
        <f t="shared" si="25"/>
        <v>N/A</v>
      </c>
      <c r="O25" s="769" t="str">
        <f t="shared" si="26"/>
        <v>-</v>
      </c>
      <c r="P25" s="773" t="str">
        <f t="shared" si="26"/>
        <v>-</v>
      </c>
      <c r="Q25" s="769" t="str">
        <f t="shared" si="26"/>
        <v>-</v>
      </c>
      <c r="R25" s="770" t="str">
        <f t="shared" si="27"/>
        <v>-</v>
      </c>
      <c r="S25" s="770" t="str">
        <f t="shared" si="27"/>
        <v>N/A</v>
      </c>
      <c r="T25" s="771" t="str">
        <f t="shared" si="28"/>
        <v>-</v>
      </c>
      <c r="U25" s="772" t="str">
        <f t="shared" si="29"/>
        <v>N/A</v>
      </c>
      <c r="V25" s="769" t="str">
        <f t="shared" si="30"/>
        <v>-</v>
      </c>
      <c r="W25" s="774" t="str">
        <f t="shared" si="30"/>
        <v>-</v>
      </c>
      <c r="X25" s="769" t="str">
        <f t="shared" si="31"/>
        <v>-</v>
      </c>
      <c r="Y25" s="774" t="str">
        <f t="shared" si="31"/>
        <v>-</v>
      </c>
      <c r="Z25" s="769" t="str">
        <f t="shared" si="30"/>
        <v>-</v>
      </c>
      <c r="AA25" s="774" t="str">
        <f t="shared" si="30"/>
        <v>-</v>
      </c>
      <c r="AB25" s="775"/>
      <c r="AC25" s="776"/>
      <c r="AD25" s="777"/>
      <c r="AE25" s="778" t="str">
        <f t="shared" si="32"/>
        <v>0_2023_NEO2</v>
      </c>
      <c r="AF25" s="778"/>
      <c r="AG25" s="782" t="str" cm="1">
        <f t="array" ref="AG25">IFERROR(INDEX('Import 2023 Data'!$E$4:$I$113,_xlfn.XMATCH('NEO4'!$AE25,'Import 2023 Data'!$C$4:$C$113),_xlfn.XMATCH('NEO4'!AG$5,'Import 2023 Data'!$E$3:$I$3)),"-")</f>
        <v>-</v>
      </c>
      <c r="AH25" s="778" t="str" cm="1">
        <f t="array" ref="AH25">IFERROR(INDEX('Import 2023 Data'!$E$4:$I$113,_xlfn.XMATCH('NEO4'!$AE25,'Import 2023 Data'!$C$4:$C$113),_xlfn.XMATCH('NEO4'!AH$5,'Import 2023 Data'!$E$3:$I$3)),"-")</f>
        <v>-</v>
      </c>
      <c r="AI25" s="778"/>
      <c r="AJ25" s="783" t="str">
        <f t="shared" si="33"/>
        <v>N</v>
      </c>
      <c r="AK25" s="778" t="str" cm="1">
        <f t="array" ref="AK25">IFERROR(INDEX('Import 2023 Data'!$E$4:$I$113,_xlfn.XMATCH('NEO4'!$AE25,'Import 2023 Data'!$C$4:$C$113),_xlfn.XMATCH('NEO4'!AK$5,'Import 2023 Data'!$E$3:$I$3)),"-")</f>
        <v>-</v>
      </c>
      <c r="AL25" s="775" t="str" cm="1">
        <f t="array" ref="AL25">IFERROR(INDEX('Import 2023 Data'!$E$4:$I$113,_xlfn.XMATCH('NEO4'!$AE25,'Import 2023 Data'!$C$4:$C$113),_xlfn.XMATCH('NEO4'!AL$5,'Import 2023 Data'!$E$3:$I$3)),"-")</f>
        <v>-</v>
      </c>
      <c r="AM25" s="775" t="str" cm="1">
        <f t="array" ref="AM25">IFERROR(INDEX('Import 2023 Data'!$E$4:$I$113,_xlfn.XMATCH('NEO4'!$AE25,'Import 2023 Data'!$C$4:$C$113),_xlfn.XMATCH('NEO4'!AM$5,'Import 2023 Data'!$E$3:$I$3)),"-")</f>
        <v>-</v>
      </c>
      <c r="AN25" s="505" t="str">
        <f t="shared" si="34"/>
        <v>-</v>
      </c>
    </row>
    <row r="26" spans="1:42" ht="20.25" hidden="1" customHeight="1" outlineLevel="1">
      <c r="A26" s="12" t="str">
        <f t="shared" si="19"/>
        <v>0_2024_NEO2</v>
      </c>
      <c r="B26" s="12">
        <f>'Raw Data'!D23</f>
        <v>0</v>
      </c>
      <c r="C26" s="766" t="str">
        <f t="shared" si="20"/>
        <v>(Invalid Identifier)</v>
      </c>
      <c r="D26" s="767" t="str">
        <f>_xll.ciqfunctions.udf.CIQ(B26, "IQ_MARKETCAP", $A$1,$A$2)</f>
        <v>(Invalid Identifier)</v>
      </c>
      <c r="E26" s="767" t="str">
        <f>_xll.ciqfunctions.udf.CIQ($B26, "IQ_TEV", $A$1,$A$2)</f>
        <v>(Invalid Identifier)</v>
      </c>
      <c r="F26" s="768" t="str">
        <f t="shared" si="21"/>
        <v>-</v>
      </c>
      <c r="G26" s="768" t="str">
        <f t="shared" si="21"/>
        <v>-</v>
      </c>
      <c r="H26" s="767" t="str">
        <f t="shared" si="22"/>
        <v>-</v>
      </c>
      <c r="I26" s="767" t="str">
        <f t="shared" si="22"/>
        <v>-</v>
      </c>
      <c r="J26" s="769" t="str">
        <f t="shared" si="22"/>
        <v>-</v>
      </c>
      <c r="K26" s="770" t="str">
        <f t="shared" si="23"/>
        <v>-</v>
      </c>
      <c r="L26" s="770" t="str">
        <f t="shared" si="23"/>
        <v>N/A</v>
      </c>
      <c r="M26" s="771" t="str">
        <f t="shared" si="24"/>
        <v>-</v>
      </c>
      <c r="N26" s="772" t="str">
        <f t="shared" si="25"/>
        <v>N/A</v>
      </c>
      <c r="O26" s="769" t="str">
        <f t="shared" si="26"/>
        <v>-</v>
      </c>
      <c r="P26" s="773" t="str">
        <f t="shared" si="26"/>
        <v>-</v>
      </c>
      <c r="Q26" s="769" t="str">
        <f t="shared" si="26"/>
        <v>-</v>
      </c>
      <c r="R26" s="770" t="str">
        <f t="shared" si="27"/>
        <v>-</v>
      </c>
      <c r="S26" s="770" t="str">
        <f t="shared" si="27"/>
        <v>N/A</v>
      </c>
      <c r="T26" s="771" t="str">
        <f t="shared" si="28"/>
        <v>-</v>
      </c>
      <c r="U26" s="772" t="str">
        <f t="shared" si="29"/>
        <v>N/A</v>
      </c>
      <c r="V26" s="769" t="str">
        <f t="shared" si="30"/>
        <v>-</v>
      </c>
      <c r="W26" s="774" t="str">
        <f t="shared" si="30"/>
        <v>-</v>
      </c>
      <c r="X26" s="769" t="str">
        <f t="shared" si="31"/>
        <v>-</v>
      </c>
      <c r="Y26" s="774" t="str">
        <f t="shared" si="31"/>
        <v>-</v>
      </c>
      <c r="Z26" s="769" t="str">
        <f t="shared" si="30"/>
        <v>-</v>
      </c>
      <c r="AA26" s="774" t="str">
        <f t="shared" si="30"/>
        <v>-</v>
      </c>
      <c r="AB26" s="775"/>
      <c r="AC26" s="776"/>
      <c r="AD26" s="777"/>
      <c r="AE26" s="778" t="str">
        <f t="shared" si="32"/>
        <v>0_2023_NEO2</v>
      </c>
      <c r="AF26" s="778"/>
      <c r="AG26" s="782" t="str" cm="1">
        <f t="array" ref="AG26">IFERROR(INDEX('Import 2023 Data'!$E$4:$I$113,_xlfn.XMATCH('NEO4'!$AE26,'Import 2023 Data'!$C$4:$C$113),_xlfn.XMATCH('NEO4'!AG$5,'Import 2023 Data'!$E$3:$I$3)),"-")</f>
        <v>-</v>
      </c>
      <c r="AH26" s="778" t="str" cm="1">
        <f t="array" ref="AH26">IFERROR(INDEX('Import 2023 Data'!$E$4:$I$113,_xlfn.XMATCH('NEO4'!$AE26,'Import 2023 Data'!$C$4:$C$113),_xlfn.XMATCH('NEO4'!AH$5,'Import 2023 Data'!$E$3:$I$3)),"-")</f>
        <v>-</v>
      </c>
      <c r="AI26" s="778"/>
      <c r="AJ26" s="783" t="str">
        <f t="shared" si="33"/>
        <v>N</v>
      </c>
      <c r="AK26" s="778" t="str" cm="1">
        <f t="array" ref="AK26">IFERROR(INDEX('Import 2023 Data'!$E$4:$I$113,_xlfn.XMATCH('NEO4'!$AE26,'Import 2023 Data'!$C$4:$C$113),_xlfn.XMATCH('NEO4'!AK$5,'Import 2023 Data'!$E$3:$I$3)),"-")</f>
        <v>-</v>
      </c>
      <c r="AL26" s="775" t="str" cm="1">
        <f t="array" ref="AL26">IFERROR(INDEX('Import 2023 Data'!$E$4:$I$113,_xlfn.XMATCH('NEO4'!$AE26,'Import 2023 Data'!$C$4:$C$113),_xlfn.XMATCH('NEO4'!AL$5,'Import 2023 Data'!$E$3:$I$3)),"-")</f>
        <v>-</v>
      </c>
      <c r="AM26" s="775" t="str" cm="1">
        <f t="array" ref="AM26">IFERROR(INDEX('Import 2023 Data'!$E$4:$I$113,_xlfn.XMATCH('NEO4'!$AE26,'Import 2023 Data'!$C$4:$C$113),_xlfn.XMATCH('NEO4'!AM$5,'Import 2023 Data'!$E$3:$I$3)),"-")</f>
        <v>-</v>
      </c>
      <c r="AN26" s="505" t="str">
        <f t="shared" si="34"/>
        <v>-</v>
      </c>
    </row>
    <row r="27" spans="1:42" ht="20.25" hidden="1" customHeight="1" outlineLevel="1">
      <c r="A27" s="12" t="str">
        <f t="shared" si="19"/>
        <v>0_2024_NEO2</v>
      </c>
      <c r="B27" s="12">
        <f>'Raw Data'!D24</f>
        <v>0</v>
      </c>
      <c r="C27" s="766" t="str">
        <f t="shared" si="20"/>
        <v>(Invalid Identifier)</v>
      </c>
      <c r="D27" s="767" t="str">
        <f>_xll.ciqfunctions.udf.CIQ(B27, "IQ_MARKETCAP", $A$1,$A$2)</f>
        <v>(Invalid Identifier)</v>
      </c>
      <c r="E27" s="767" t="str">
        <f>_xll.ciqfunctions.udf.CIQ($B27, "IQ_TEV", $A$1,$A$2)</f>
        <v>(Invalid Identifier)</v>
      </c>
      <c r="F27" s="768" t="str">
        <f t="shared" si="21"/>
        <v>-</v>
      </c>
      <c r="G27" s="768" t="str">
        <f t="shared" si="21"/>
        <v>-</v>
      </c>
      <c r="H27" s="767" t="str">
        <f t="shared" si="22"/>
        <v>-</v>
      </c>
      <c r="I27" s="767" t="str">
        <f t="shared" si="22"/>
        <v>-</v>
      </c>
      <c r="J27" s="769" t="str">
        <f t="shared" si="22"/>
        <v>-</v>
      </c>
      <c r="K27" s="770" t="str">
        <f t="shared" si="23"/>
        <v>-</v>
      </c>
      <c r="L27" s="770" t="str">
        <f t="shared" si="23"/>
        <v>N/A</v>
      </c>
      <c r="M27" s="771" t="str">
        <f t="shared" si="24"/>
        <v>-</v>
      </c>
      <c r="N27" s="772" t="str">
        <f t="shared" si="25"/>
        <v>N/A</v>
      </c>
      <c r="O27" s="769" t="str">
        <f t="shared" si="26"/>
        <v>-</v>
      </c>
      <c r="P27" s="773" t="str">
        <f t="shared" si="26"/>
        <v>-</v>
      </c>
      <c r="Q27" s="769" t="str">
        <f t="shared" si="26"/>
        <v>-</v>
      </c>
      <c r="R27" s="770" t="str">
        <f t="shared" si="27"/>
        <v>-</v>
      </c>
      <c r="S27" s="770" t="str">
        <f t="shared" si="27"/>
        <v>N/A</v>
      </c>
      <c r="T27" s="771" t="str">
        <f t="shared" si="28"/>
        <v>-</v>
      </c>
      <c r="U27" s="772" t="str">
        <f t="shared" si="29"/>
        <v>N/A</v>
      </c>
      <c r="V27" s="769" t="str">
        <f t="shared" si="30"/>
        <v>-</v>
      </c>
      <c r="W27" s="774" t="str">
        <f t="shared" si="30"/>
        <v>-</v>
      </c>
      <c r="X27" s="769" t="str">
        <f t="shared" si="31"/>
        <v>-</v>
      </c>
      <c r="Y27" s="774" t="str">
        <f t="shared" si="31"/>
        <v>-</v>
      </c>
      <c r="Z27" s="769" t="str">
        <f t="shared" si="30"/>
        <v>-</v>
      </c>
      <c r="AA27" s="774" t="str">
        <f t="shared" si="30"/>
        <v>-</v>
      </c>
      <c r="AB27" s="775"/>
      <c r="AC27" s="776"/>
      <c r="AD27" s="777"/>
      <c r="AE27" s="778" t="str">
        <f t="shared" si="32"/>
        <v>0_2023_NEO2</v>
      </c>
      <c r="AF27" s="778"/>
      <c r="AG27" s="784" t="str" cm="1">
        <f t="array" ref="AG27">IFERROR(INDEX('Import 2023 Data'!$E$4:$I$113,_xlfn.XMATCH('NEO4'!$AE27,'Import 2023 Data'!$C$4:$C$113),_xlfn.XMATCH('NEO4'!AG$5,'Import 2023 Data'!$E$3:$I$3)),"-")</f>
        <v>-</v>
      </c>
      <c r="AH27" s="785" t="str" cm="1">
        <f t="array" ref="AH27">IFERROR(INDEX('Import 2023 Data'!$E$4:$I$113,_xlfn.XMATCH('NEO4'!$AE27,'Import 2023 Data'!$C$4:$C$113),_xlfn.XMATCH('NEO4'!AH$5,'Import 2023 Data'!$E$3:$I$3)),"-")</f>
        <v>-</v>
      </c>
      <c r="AI27" s="785"/>
      <c r="AJ27" s="786" t="str">
        <f t="shared" si="33"/>
        <v>N</v>
      </c>
      <c r="AK27" s="785" t="str" cm="1">
        <f t="array" ref="AK27">IFERROR(INDEX('Import 2023 Data'!$E$4:$I$113,_xlfn.XMATCH('NEO4'!$AE27,'Import 2023 Data'!$C$4:$C$113),_xlfn.XMATCH('NEO4'!AK$5,'Import 2023 Data'!$E$3:$I$3)),"-")</f>
        <v>-</v>
      </c>
      <c r="AL27" s="787" t="str" cm="1">
        <f t="array" ref="AL27">IFERROR(INDEX('Import 2023 Data'!$E$4:$I$113,_xlfn.XMATCH('NEO4'!$AE27,'Import 2023 Data'!$C$4:$C$113),_xlfn.XMATCH('NEO4'!AL$5,'Import 2023 Data'!$E$3:$I$3)),"-")</f>
        <v>-</v>
      </c>
      <c r="AM27" s="787" t="str" cm="1">
        <f t="array" ref="AM27">IFERROR(INDEX('Import 2023 Data'!$E$4:$I$113,_xlfn.XMATCH('NEO4'!$AE27,'Import 2023 Data'!$C$4:$C$113),_xlfn.XMATCH('NEO4'!AM$5,'Import 2023 Data'!$E$3:$I$3)),"-")</f>
        <v>-</v>
      </c>
      <c r="AN27" s="509" t="str">
        <f t="shared" si="34"/>
        <v>-</v>
      </c>
    </row>
    <row r="28" spans="1:42" ht="20.25" customHeight="1" collapsed="1">
      <c r="C28" s="788" t="str">
        <f>$C$3&amp;" Summary Statistics"</f>
        <v>2024 Summary Statistics</v>
      </c>
      <c r="D28" s="789"/>
      <c r="E28" s="789"/>
      <c r="F28" s="789"/>
      <c r="G28" s="789"/>
      <c r="H28" s="789"/>
      <c r="I28" s="789"/>
      <c r="J28" s="789"/>
      <c r="K28" s="790"/>
      <c r="L28" s="790"/>
      <c r="M28" s="789"/>
      <c r="N28" s="790"/>
      <c r="O28" s="789"/>
      <c r="P28" s="789"/>
      <c r="Q28" s="789"/>
      <c r="R28" s="790"/>
      <c r="S28" s="790"/>
      <c r="T28" s="789"/>
      <c r="U28" s="790"/>
      <c r="V28" s="789"/>
      <c r="W28" s="791"/>
      <c r="X28" s="789"/>
      <c r="Y28" s="791"/>
      <c r="Z28" s="789"/>
      <c r="AA28" s="791"/>
      <c r="AB28" s="775"/>
      <c r="AC28" s="792"/>
      <c r="AD28" s="793"/>
      <c r="AE28" s="778"/>
      <c r="AF28" s="778"/>
      <c r="AG28" s="778"/>
      <c r="AH28" s="778"/>
      <c r="AI28" s="778"/>
      <c r="AJ28" s="778"/>
      <c r="AK28" s="778"/>
      <c r="AL28" s="794"/>
      <c r="AM28" s="795"/>
    </row>
    <row r="29" spans="1:42" s="17" customFormat="1" ht="20.25" customHeight="1">
      <c r="B29" s="17">
        <v>0.75</v>
      </c>
      <c r="C29" s="796" t="s">
        <v>9</v>
      </c>
      <c r="D29" s="797">
        <f t="shared" ref="D29:E31" si="35">PERCENTILE(D$8:D$27,$B29)</f>
        <v>10464.1094025</v>
      </c>
      <c r="E29" s="797">
        <f t="shared" si="35"/>
        <v>13103.839205</v>
      </c>
      <c r="F29" s="798"/>
      <c r="G29" s="798"/>
      <c r="H29" s="798"/>
      <c r="I29" s="797">
        <f t="shared" ref="I29:X31" si="36">PERCENTILE(I$8:I$27,$B29)</f>
        <v>632.04999999999995</v>
      </c>
      <c r="J29" s="799">
        <f t="shared" si="36"/>
        <v>567.79</v>
      </c>
      <c r="K29" s="800">
        <f t="shared" si="36"/>
        <v>1.158749308245711</v>
      </c>
      <c r="L29" s="800">
        <f t="shared" si="36"/>
        <v>0.89725478608047105</v>
      </c>
      <c r="M29" s="801">
        <f t="shared" si="36"/>
        <v>504.95249999999999</v>
      </c>
      <c r="N29" s="777">
        <f t="shared" si="36"/>
        <v>0.8</v>
      </c>
      <c r="O29" s="799">
        <f t="shared" si="36"/>
        <v>1200.15825</v>
      </c>
      <c r="P29" s="802">
        <f t="shared" si="36"/>
        <v>1155.6675</v>
      </c>
      <c r="Q29" s="799">
        <f t="shared" si="36"/>
        <v>1350.4189994500002</v>
      </c>
      <c r="R29" s="800">
        <f t="shared" si="36"/>
        <v>2.094487908373432</v>
      </c>
      <c r="S29" s="800">
        <f t="shared" si="36"/>
        <v>1.7354460803059273</v>
      </c>
      <c r="T29" s="801">
        <f t="shared" si="36"/>
        <v>1276.0281456775201</v>
      </c>
      <c r="U29" s="777">
        <f t="shared" si="36"/>
        <v>1.9295652173913043</v>
      </c>
      <c r="V29" s="799">
        <f t="shared" si="36"/>
        <v>2495.5432499999997</v>
      </c>
      <c r="W29" s="802">
        <f t="shared" si="36"/>
        <v>2486.1915196150203</v>
      </c>
      <c r="X29" s="799">
        <f t="shared" si="36"/>
        <v>176.40938750000001</v>
      </c>
      <c r="Y29" s="802">
        <f t="shared" ref="X29:AA31" si="37">PERCENTILE(Y$8:Y$27,$B29)</f>
        <v>54.715499999999999</v>
      </c>
      <c r="Z29" s="799">
        <f t="shared" si="37"/>
        <v>2532.6042500000003</v>
      </c>
      <c r="AA29" s="802">
        <f t="shared" si="37"/>
        <v>2737.4770175313561</v>
      </c>
      <c r="AB29" s="803"/>
      <c r="AC29" s="776">
        <f t="shared" ref="AC29:AD31" si="38">PERCENTILE(AC$8:AC$27,$B29)</f>
        <v>0.54484126671939759</v>
      </c>
      <c r="AD29" s="777">
        <f t="shared" si="38"/>
        <v>0.50782242548492507</v>
      </c>
      <c r="AE29" s="778"/>
      <c r="AF29" s="778"/>
      <c r="AG29" s="778"/>
      <c r="AH29" s="778"/>
      <c r="AI29" s="778"/>
      <c r="AJ29" s="778"/>
      <c r="AK29" s="778"/>
      <c r="AL29" s="804">
        <v>2409.639770195</v>
      </c>
      <c r="AM29" s="805">
        <v>2379.4356749999997</v>
      </c>
    </row>
    <row r="30" spans="1:42" s="17" customFormat="1" ht="20.25" customHeight="1">
      <c r="B30" s="17">
        <v>0.5</v>
      </c>
      <c r="C30" s="806" t="s">
        <v>8</v>
      </c>
      <c r="D30" s="807">
        <f t="shared" si="35"/>
        <v>5657.4490150000001</v>
      </c>
      <c r="E30" s="807">
        <f t="shared" si="35"/>
        <v>6231.8004299999993</v>
      </c>
      <c r="F30" s="808"/>
      <c r="G30" s="808"/>
      <c r="H30" s="808"/>
      <c r="I30" s="807">
        <f t="shared" si="36"/>
        <v>573.39011176999998</v>
      </c>
      <c r="J30" s="809">
        <f t="shared" si="36"/>
        <v>531.06299999999999</v>
      </c>
      <c r="K30" s="810">
        <f t="shared" si="36"/>
        <v>0.84567200303370793</v>
      </c>
      <c r="L30" s="810">
        <f t="shared" si="36"/>
        <v>0.74583941707523116</v>
      </c>
      <c r="M30" s="811">
        <f t="shared" si="36"/>
        <v>459.21618749999999</v>
      </c>
      <c r="N30" s="812">
        <f t="shared" si="36"/>
        <v>0.75</v>
      </c>
      <c r="O30" s="809">
        <f t="shared" si="36"/>
        <v>988.92000000000007</v>
      </c>
      <c r="P30" s="813">
        <f t="shared" si="36"/>
        <v>1007.5044375</v>
      </c>
      <c r="Q30" s="809">
        <f t="shared" si="36"/>
        <v>944.72833962000004</v>
      </c>
      <c r="R30" s="810">
        <f t="shared" si="36"/>
        <v>1.6458921606118548</v>
      </c>
      <c r="S30" s="810">
        <f t="shared" si="36"/>
        <v>1.5500000000000003</v>
      </c>
      <c r="T30" s="811">
        <f t="shared" si="36"/>
        <v>892.98346813313412</v>
      </c>
      <c r="U30" s="812">
        <f t="shared" si="36"/>
        <v>1.5750000000000002</v>
      </c>
      <c r="V30" s="809">
        <f t="shared" si="36"/>
        <v>1877.1516252500001</v>
      </c>
      <c r="W30" s="813">
        <f t="shared" si="36"/>
        <v>1880.3622243831342</v>
      </c>
      <c r="X30" s="809">
        <f t="shared" si="37"/>
        <v>87.84</v>
      </c>
      <c r="Y30" s="813">
        <f t="shared" si="37"/>
        <v>29.806678180000002</v>
      </c>
      <c r="Z30" s="809">
        <f t="shared" si="37"/>
        <v>1982.8917546600001</v>
      </c>
      <c r="AA30" s="813">
        <f t="shared" si="37"/>
        <v>1991.0186794542706</v>
      </c>
      <c r="AB30" s="803"/>
      <c r="AC30" s="814">
        <f t="shared" si="38"/>
        <v>0.51538461538461533</v>
      </c>
      <c r="AD30" s="812">
        <f t="shared" si="38"/>
        <v>0.48461538461538467</v>
      </c>
      <c r="AE30" s="778"/>
      <c r="AF30" s="778"/>
      <c r="AG30" s="778"/>
      <c r="AH30" s="778"/>
      <c r="AI30" s="778"/>
      <c r="AJ30" s="778"/>
      <c r="AK30" s="778">
        <f>W30/AM30</f>
        <v>1.1660904499810063</v>
      </c>
      <c r="AL30" s="809">
        <v>1629.6473393399999</v>
      </c>
      <c r="AM30" s="813">
        <v>1612.5354807714634</v>
      </c>
      <c r="AN30" s="17">
        <f>W30/AM30-1</f>
        <v>0.16609044998100631</v>
      </c>
    </row>
    <row r="31" spans="1:42" s="17" customFormat="1" ht="20.25" customHeight="1">
      <c r="B31" s="17">
        <v>0.25</v>
      </c>
      <c r="C31" s="796" t="s">
        <v>7</v>
      </c>
      <c r="D31" s="797">
        <f t="shared" si="35"/>
        <v>4590.7197175000001</v>
      </c>
      <c r="E31" s="797">
        <f t="shared" si="35"/>
        <v>4910.1473049999995</v>
      </c>
      <c r="F31" s="798"/>
      <c r="G31" s="798"/>
      <c r="H31" s="798"/>
      <c r="I31" s="797">
        <f t="shared" si="36"/>
        <v>457.428</v>
      </c>
      <c r="J31" s="799">
        <f t="shared" si="36"/>
        <v>309.375</v>
      </c>
      <c r="K31" s="800">
        <f t="shared" si="36"/>
        <v>0.62724943820224721</v>
      </c>
      <c r="L31" s="800">
        <f t="shared" si="36"/>
        <v>0.69223011871691753</v>
      </c>
      <c r="M31" s="801">
        <f t="shared" si="36"/>
        <v>336.19167559300001</v>
      </c>
      <c r="N31" s="777">
        <f t="shared" si="36"/>
        <v>0.71249999999999991</v>
      </c>
      <c r="O31" s="799">
        <f t="shared" si="36"/>
        <v>845.28240137988632</v>
      </c>
      <c r="P31" s="802">
        <f t="shared" si="36"/>
        <v>855.84446824800011</v>
      </c>
      <c r="Q31" s="799">
        <f t="shared" si="36"/>
        <v>728.98725000000002</v>
      </c>
      <c r="R31" s="800">
        <f t="shared" si="36"/>
        <v>1.4999871157786886</v>
      </c>
      <c r="S31" s="800">
        <f t="shared" si="36"/>
        <v>1.3671520679909561</v>
      </c>
      <c r="T31" s="801">
        <f t="shared" si="36"/>
        <v>723</v>
      </c>
      <c r="U31" s="777">
        <f t="shared" si="36"/>
        <v>1.5</v>
      </c>
      <c r="V31" s="799">
        <f t="shared" si="36"/>
        <v>1691.92725</v>
      </c>
      <c r="W31" s="802">
        <f t="shared" si="36"/>
        <v>1621.8000000000002</v>
      </c>
      <c r="X31" s="799">
        <f t="shared" si="37"/>
        <v>41.790185000000008</v>
      </c>
      <c r="Y31" s="802">
        <f t="shared" si="37"/>
        <v>16.826499999999999</v>
      </c>
      <c r="Z31" s="799">
        <f t="shared" si="37"/>
        <v>1761.75225</v>
      </c>
      <c r="AA31" s="802">
        <f t="shared" si="37"/>
        <v>1678.395</v>
      </c>
      <c r="AB31" s="803"/>
      <c r="AC31" s="776">
        <f t="shared" si="38"/>
        <v>0.49217757451507499</v>
      </c>
      <c r="AD31" s="777">
        <f t="shared" si="38"/>
        <v>0.45515873328060236</v>
      </c>
      <c r="AE31" s="778"/>
      <c r="AF31" s="778"/>
      <c r="AG31" s="778"/>
      <c r="AH31" s="778"/>
      <c r="AI31" s="778"/>
      <c r="AJ31" s="778"/>
      <c r="AK31" s="778"/>
      <c r="AL31" s="799">
        <v>1386.627</v>
      </c>
      <c r="AM31" s="802">
        <v>1455.9375</v>
      </c>
    </row>
    <row r="32" spans="1:42" s="17" customFormat="1" ht="20.25" customHeight="1">
      <c r="A32" s="12"/>
      <c r="B32" s="12"/>
      <c r="C32" s="815" t="s">
        <v>6</v>
      </c>
      <c r="D32" s="816">
        <f>AVERAGE(D8:D27)</f>
        <v>8142.9421314285719</v>
      </c>
      <c r="E32" s="816">
        <f>AVERAGE(E8:E27)</f>
        <v>8937.7154271428553</v>
      </c>
      <c r="F32" s="815"/>
      <c r="G32" s="815"/>
      <c r="H32" s="815"/>
      <c r="I32" s="816">
        <f t="shared" ref="I32:N32" si="39">AVERAGE(I8:I27)</f>
        <v>570.61653141357147</v>
      </c>
      <c r="J32" s="817">
        <f t="shared" si="39"/>
        <v>519.12900108611893</v>
      </c>
      <c r="K32" s="818">
        <f t="shared" si="39"/>
        <v>0.90102918270561905</v>
      </c>
      <c r="L32" s="818">
        <f t="shared" si="39"/>
        <v>0.82126197875866225</v>
      </c>
      <c r="M32" s="819">
        <f t="shared" si="39"/>
        <v>439.79552468742855</v>
      </c>
      <c r="N32" s="820">
        <f t="shared" si="39"/>
        <v>0.77142857142857146</v>
      </c>
      <c r="O32" s="817">
        <f>AVERAGE(O8:O27)</f>
        <v>1052.6648895649676</v>
      </c>
      <c r="P32" s="821">
        <f t="shared" ref="P32:W32" si="40">AVERAGE(P8:P27)</f>
        <v>1010.4120561009998</v>
      </c>
      <c r="Q32" s="817">
        <f t="shared" si="40"/>
        <v>1031.5231927233335</v>
      </c>
      <c r="R32" s="818">
        <f t="shared" si="40"/>
        <v>1.7995768710441045</v>
      </c>
      <c r="S32" s="818">
        <f t="shared" si="40"/>
        <v>1.6567596845999881</v>
      </c>
      <c r="T32" s="819">
        <f t="shared" si="40"/>
        <v>1001.7631271924978</v>
      </c>
      <c r="U32" s="820">
        <f t="shared" si="40"/>
        <v>1.7393453273562502</v>
      </c>
      <c r="V32" s="817">
        <f t="shared" si="40"/>
        <v>1936.8276261849674</v>
      </c>
      <c r="W32" s="821">
        <f t="shared" si="40"/>
        <v>2012.1751832934981</v>
      </c>
      <c r="X32" s="817">
        <f>AVERAGE(X8:X27)</f>
        <v>113.69676026666667</v>
      </c>
      <c r="Y32" s="821">
        <f>AVERAGE(Y8:Y27)</f>
        <v>46.759787595661152</v>
      </c>
      <c r="Z32" s="817">
        <f>AVERAGE(Z8:Z27)</f>
        <v>2046.6582337529869</v>
      </c>
      <c r="AA32" s="821">
        <f>AVERAGE(AA8:AA27)</f>
        <v>2122.0057908615172</v>
      </c>
      <c r="AB32" s="803"/>
      <c r="AC32" s="822">
        <f>AVERAGE(AC8:AC27)</f>
        <v>0.50931172747428533</v>
      </c>
      <c r="AD32" s="820">
        <f>AVERAGE(AD8:AD27)</f>
        <v>0.49068827252571462</v>
      </c>
      <c r="AE32" s="778"/>
      <c r="AF32" s="778"/>
      <c r="AG32" s="778"/>
      <c r="AH32" s="778"/>
      <c r="AI32" s="778"/>
      <c r="AJ32" s="778"/>
      <c r="AK32" s="778"/>
      <c r="AL32" s="817">
        <v>1863.7291424957143</v>
      </c>
      <c r="AM32" s="821">
        <v>1863.5116129900366</v>
      </c>
    </row>
    <row r="33" spans="1:39" s="17" customFormat="1" ht="20.25" customHeight="1" outlineLevel="1">
      <c r="A33" s="12"/>
      <c r="B33" s="12"/>
      <c r="C33" s="788" t="str">
        <f>$C$3+1&amp;" Estimated Summary Statistics "</f>
        <v xml:space="preserve">2025 Estimated Summary Statistics </v>
      </c>
      <c r="D33" s="789"/>
      <c r="E33" s="789"/>
      <c r="F33" s="789"/>
      <c r="G33" s="789"/>
      <c r="H33" s="789"/>
      <c r="I33" s="789"/>
      <c r="J33" s="789"/>
      <c r="K33" s="790"/>
      <c r="L33" s="790"/>
      <c r="M33" s="789"/>
      <c r="N33" s="790"/>
      <c r="O33" s="789"/>
      <c r="P33" s="789"/>
      <c r="Q33" s="789"/>
      <c r="R33" s="790"/>
      <c r="S33" s="790"/>
      <c r="T33" s="789"/>
      <c r="U33" s="790"/>
      <c r="V33" s="789"/>
      <c r="W33" s="791"/>
      <c r="X33" s="788"/>
      <c r="Y33" s="788"/>
      <c r="Z33" s="788"/>
      <c r="AA33" s="788"/>
      <c r="AB33" s="803"/>
      <c r="AC33" s="824"/>
      <c r="AD33" s="824"/>
      <c r="AE33" s="778"/>
      <c r="AF33" s="778"/>
      <c r="AG33" s="778"/>
      <c r="AH33" s="778"/>
      <c r="AI33" s="778"/>
      <c r="AJ33" s="778"/>
      <c r="AK33" s="778"/>
      <c r="AL33" s="823"/>
      <c r="AM33" s="720"/>
    </row>
    <row r="34" spans="1:39" s="17" customFormat="1" ht="20.25" customHeight="1" outlineLevel="1">
      <c r="A34" s="12"/>
      <c r="B34" s="17">
        <v>0.75</v>
      </c>
      <c r="C34" s="796" t="s">
        <v>9</v>
      </c>
      <c r="D34" s="797">
        <f t="shared" ref="D34:E36" si="41">PERCENTILE(D$8:D$27,$B34)</f>
        <v>10464.1094025</v>
      </c>
      <c r="E34" s="797">
        <f t="shared" si="41"/>
        <v>13103.839205</v>
      </c>
      <c r="F34" s="798"/>
      <c r="G34" s="798"/>
      <c r="H34" s="798"/>
      <c r="I34" s="797">
        <f>I68</f>
        <v>665.85799999999995</v>
      </c>
      <c r="J34" s="799">
        <f>J68</f>
        <v>0</v>
      </c>
      <c r="K34" s="800">
        <f>K68</f>
        <v>0</v>
      </c>
      <c r="L34" s="800">
        <f>L68</f>
        <v>0</v>
      </c>
      <c r="M34" s="801">
        <f>M68</f>
        <v>520.10107500000004</v>
      </c>
      <c r="N34" s="777">
        <f>PERCENTILE(N$8:N$27,$B34)</f>
        <v>0.8</v>
      </c>
      <c r="O34" s="799" t="s">
        <v>78</v>
      </c>
      <c r="P34" s="797">
        <f>P68</f>
        <v>1190.3375249999999</v>
      </c>
      <c r="Q34" s="799">
        <f>Q68</f>
        <v>0</v>
      </c>
      <c r="R34" s="800">
        <f>R68</f>
        <v>0</v>
      </c>
      <c r="S34" s="800">
        <f>S68</f>
        <v>0</v>
      </c>
      <c r="T34" s="801">
        <f>T68</f>
        <v>1358.7730011564722</v>
      </c>
      <c r="U34" s="777">
        <f>PERCENTILE(U$8:U$27,$B34)</f>
        <v>1.9295652173913043</v>
      </c>
      <c r="V34" s="799" t="s">
        <v>78</v>
      </c>
      <c r="W34" s="802">
        <f>W68</f>
        <v>2582.7045812814722</v>
      </c>
      <c r="X34" s="984">
        <f>X29</f>
        <v>176.40938750000001</v>
      </c>
      <c r="Y34" s="988">
        <f>Y29</f>
        <v>54.715499999999999</v>
      </c>
      <c r="Z34" s="799" t="s">
        <v>78</v>
      </c>
      <c r="AA34" s="802">
        <f>AA68</f>
        <v>2818.3957825899965</v>
      </c>
      <c r="AB34" s="803"/>
      <c r="AC34" s="824"/>
      <c r="AD34" s="824"/>
      <c r="AE34" s="778"/>
      <c r="AF34" s="778"/>
      <c r="AG34" s="778"/>
      <c r="AH34" s="778"/>
      <c r="AI34" s="778"/>
      <c r="AJ34" s="778"/>
      <c r="AK34" s="778"/>
      <c r="AL34"/>
      <c r="AM34"/>
    </row>
    <row r="35" spans="1:39" s="17" customFormat="1" ht="20.25" customHeight="1" outlineLevel="1">
      <c r="A35" s="12"/>
      <c r="B35" s="17">
        <v>0.5</v>
      </c>
      <c r="C35" s="806" t="s">
        <v>8</v>
      </c>
      <c r="D35" s="807">
        <f t="shared" si="41"/>
        <v>5657.4490150000001</v>
      </c>
      <c r="E35" s="807">
        <f t="shared" si="41"/>
        <v>6231.8004299999993</v>
      </c>
      <c r="F35" s="808"/>
      <c r="G35" s="808"/>
      <c r="H35" s="808"/>
      <c r="I35" s="807">
        <f t="shared" ref="I35:M37" si="42">I69</f>
        <v>590.5918151231001</v>
      </c>
      <c r="J35" s="809">
        <f t="shared" si="42"/>
        <v>0</v>
      </c>
      <c r="K35" s="810">
        <f t="shared" si="42"/>
        <v>0</v>
      </c>
      <c r="L35" s="810">
        <f t="shared" si="42"/>
        <v>0</v>
      </c>
      <c r="M35" s="811">
        <f t="shared" si="42"/>
        <v>472.99267312500001</v>
      </c>
      <c r="N35" s="812">
        <f>PERCENTILE(N$8:N$27,$B35)</f>
        <v>0.75</v>
      </c>
      <c r="O35" s="809" t="s">
        <v>78</v>
      </c>
      <c r="P35" s="807">
        <f t="shared" ref="P35:T37" si="43">P69</f>
        <v>1037.729570625</v>
      </c>
      <c r="Q35" s="809">
        <f t="shared" si="43"/>
        <v>0</v>
      </c>
      <c r="R35" s="810">
        <f t="shared" si="43"/>
        <v>0</v>
      </c>
      <c r="S35" s="810">
        <f t="shared" si="43"/>
        <v>0</v>
      </c>
      <c r="T35" s="811">
        <f t="shared" si="43"/>
        <v>919.77297217712817</v>
      </c>
      <c r="U35" s="812">
        <f>PERCENTILE(U$8:U$27,$B35)</f>
        <v>1.5750000000000002</v>
      </c>
      <c r="V35" s="809" t="s">
        <v>78</v>
      </c>
      <c r="W35" s="813">
        <f>W69</f>
        <v>1936.7730911146282</v>
      </c>
      <c r="X35" s="992">
        <f t="shared" ref="X35:Y37" si="44">X30</f>
        <v>87.84</v>
      </c>
      <c r="Y35" s="996">
        <f t="shared" si="44"/>
        <v>29.806678180000002</v>
      </c>
      <c r="Z35" s="809" t="s">
        <v>78</v>
      </c>
      <c r="AA35" s="813">
        <f>AA69</f>
        <v>2047.4295461857646</v>
      </c>
      <c r="AB35" s="803"/>
      <c r="AC35" s="824"/>
      <c r="AD35" s="824"/>
      <c r="AE35" s="778"/>
      <c r="AF35" s="778"/>
      <c r="AG35" s="778"/>
      <c r="AH35" s="778"/>
      <c r="AI35" s="778"/>
      <c r="AJ35" s="778"/>
      <c r="AK35" s="778"/>
      <c r="AL35"/>
      <c r="AM35"/>
    </row>
    <row r="36" spans="1:39" s="17" customFormat="1" ht="20.25" customHeight="1" outlineLevel="1">
      <c r="A36" s="12"/>
      <c r="B36" s="17">
        <v>0.25</v>
      </c>
      <c r="C36" s="796" t="s">
        <v>7</v>
      </c>
      <c r="D36" s="797">
        <f t="shared" si="41"/>
        <v>4590.7197175000001</v>
      </c>
      <c r="E36" s="797">
        <f t="shared" si="41"/>
        <v>4910.1473049999995</v>
      </c>
      <c r="F36" s="798"/>
      <c r="G36" s="798"/>
      <c r="H36" s="798"/>
      <c r="I36" s="797">
        <f t="shared" si="42"/>
        <v>471.15084000000002</v>
      </c>
      <c r="J36" s="799">
        <f t="shared" si="42"/>
        <v>0</v>
      </c>
      <c r="K36" s="800">
        <f t="shared" si="42"/>
        <v>0</v>
      </c>
      <c r="L36" s="800">
        <f t="shared" si="42"/>
        <v>0</v>
      </c>
      <c r="M36" s="801">
        <f t="shared" si="42"/>
        <v>346.27742586079</v>
      </c>
      <c r="N36" s="777">
        <f>PERCENTILE(N$8:N$27,$B36)</f>
        <v>0.71249999999999991</v>
      </c>
      <c r="O36" s="799" t="s">
        <v>78</v>
      </c>
      <c r="P36" s="797">
        <f t="shared" si="43"/>
        <v>881.51980229544006</v>
      </c>
      <c r="Q36" s="799">
        <f t="shared" si="43"/>
        <v>0</v>
      </c>
      <c r="R36" s="800">
        <f t="shared" si="43"/>
        <v>0</v>
      </c>
      <c r="S36" s="800">
        <f t="shared" si="43"/>
        <v>0</v>
      </c>
      <c r="T36" s="801">
        <f t="shared" si="43"/>
        <v>744.69</v>
      </c>
      <c r="U36" s="777">
        <f>PERCENTILE(U$8:U$27,$B36)</f>
        <v>1.5</v>
      </c>
      <c r="V36" s="799" t="s">
        <v>78</v>
      </c>
      <c r="W36" s="802">
        <f>W70</f>
        <v>1670.454</v>
      </c>
      <c r="X36" s="984">
        <f t="shared" si="44"/>
        <v>41.790185000000008</v>
      </c>
      <c r="Y36" s="988">
        <f t="shared" si="44"/>
        <v>16.826499999999999</v>
      </c>
      <c r="Z36" s="799" t="s">
        <v>78</v>
      </c>
      <c r="AA36" s="802">
        <f>AA70</f>
        <v>1727.7329999999999</v>
      </c>
      <c r="AB36" s="803"/>
      <c r="AC36" s="824"/>
      <c r="AD36" s="824"/>
      <c r="AE36" s="778"/>
      <c r="AF36" s="778"/>
      <c r="AG36" s="778"/>
      <c r="AH36" s="778"/>
      <c r="AI36" s="778"/>
      <c r="AJ36" s="778"/>
      <c r="AK36" s="778"/>
      <c r="AL36"/>
      <c r="AM36"/>
    </row>
    <row r="37" spans="1:39" s="17" customFormat="1" ht="20.25" customHeight="1" outlineLevel="1">
      <c r="A37" s="12"/>
      <c r="B37" s="12"/>
      <c r="C37" s="815" t="s">
        <v>6</v>
      </c>
      <c r="D37" s="816">
        <f>AVERAGE(D13:D32)</f>
        <v>5293.3213589560437</v>
      </c>
      <c r="E37" s="816">
        <f>AVERAGE(E13:E32)</f>
        <v>5905.9966228571429</v>
      </c>
      <c r="F37" s="815"/>
      <c r="G37" s="815"/>
      <c r="H37" s="815"/>
      <c r="I37" s="816">
        <f t="shared" si="42"/>
        <v>590.05334689705001</v>
      </c>
      <c r="J37" s="817">
        <f t="shared" si="42"/>
        <v>0</v>
      </c>
      <c r="K37" s="818">
        <f t="shared" si="42"/>
        <v>0</v>
      </c>
      <c r="L37" s="818">
        <f t="shared" si="42"/>
        <v>0</v>
      </c>
      <c r="M37" s="819">
        <f t="shared" si="42"/>
        <v>455.0758780150158</v>
      </c>
      <c r="N37" s="820">
        <f>AVERAGE(N13:N32)</f>
        <v>0.76414835164835171</v>
      </c>
      <c r="O37" s="817" t="s">
        <v>78</v>
      </c>
      <c r="P37" s="816">
        <f t="shared" si="43"/>
        <v>1045.1292249120656</v>
      </c>
      <c r="Q37" s="817">
        <f t="shared" si="43"/>
        <v>0</v>
      </c>
      <c r="R37" s="818">
        <f t="shared" si="43"/>
        <v>0</v>
      </c>
      <c r="S37" s="818">
        <f t="shared" si="43"/>
        <v>0</v>
      </c>
      <c r="T37" s="819">
        <f t="shared" si="43"/>
        <v>1036.8092817485042</v>
      </c>
      <c r="U37" s="820">
        <f>AVERAGE(U13:U32)</f>
        <v>1.709083835968501</v>
      </c>
      <c r="V37" s="817" t="s">
        <v>78</v>
      </c>
      <c r="W37" s="821">
        <f>W71</f>
        <v>2081.9385066605696</v>
      </c>
      <c r="X37" s="999">
        <f t="shared" si="44"/>
        <v>113.69676026666667</v>
      </c>
      <c r="Y37" s="1003">
        <f t="shared" si="44"/>
        <v>46.759787595661152</v>
      </c>
      <c r="Z37" s="817" t="s">
        <v>78</v>
      </c>
      <c r="AA37" s="821">
        <f>AA71</f>
        <v>2191.7691142285894</v>
      </c>
      <c r="AB37" s="803"/>
      <c r="AC37" s="824"/>
      <c r="AD37" s="824"/>
      <c r="AE37" s="778"/>
      <c r="AF37" s="778"/>
      <c r="AG37" s="778"/>
      <c r="AH37" s="778"/>
      <c r="AI37" s="778"/>
      <c r="AJ37" s="778"/>
      <c r="AK37" s="778"/>
      <c r="AL37"/>
      <c r="AM37"/>
    </row>
    <row r="38" spans="1:39" ht="7.5" customHeight="1">
      <c r="C38" s="825"/>
      <c r="D38" s="825"/>
      <c r="E38" s="825"/>
      <c r="F38" s="825"/>
      <c r="G38" s="825"/>
      <c r="H38" s="825"/>
      <c r="I38" s="826"/>
      <c r="J38" s="827"/>
      <c r="K38" s="828"/>
      <c r="L38" s="828"/>
      <c r="M38" s="826"/>
      <c r="N38" s="829"/>
      <c r="O38" s="827"/>
      <c r="P38" s="826"/>
      <c r="Q38" s="826"/>
      <c r="R38" s="829"/>
      <c r="S38" s="829"/>
      <c r="T38" s="827"/>
      <c r="U38" s="828"/>
      <c r="V38" s="827"/>
      <c r="W38" s="826"/>
      <c r="X38" s="828"/>
      <c r="Y38" s="827"/>
      <c r="Z38" s="826"/>
      <c r="AA38" s="826"/>
      <c r="AB38" s="775"/>
      <c r="AC38" s="825"/>
      <c r="AD38" s="825"/>
      <c r="AE38" s="778"/>
      <c r="AF38" s="778"/>
      <c r="AG38" s="778"/>
      <c r="AH38" s="778"/>
      <c r="AI38" s="778"/>
      <c r="AJ38" s="778"/>
      <c r="AK38" s="778"/>
      <c r="AL38"/>
      <c r="AM38"/>
    </row>
    <row r="39" spans="1:39" s="35" customFormat="1" ht="20.25" customHeight="1">
      <c r="A39" s="35" t="str">
        <f>$B39&amp;"_"&amp;$C$3&amp;"_"&amp;$C$2</f>
        <v>TSX:HBM_2024_NEO2</v>
      </c>
      <c r="B39" s="35" t="str">
        <f>'Raw Data'!G6</f>
        <v>TSX:HBM</v>
      </c>
      <c r="C39" s="830" t="str">
        <f>IFERROR(INDEX(Raw_Data,MATCH($A39,Look_Up,0),MATCH(C$4,Component,0)),"-")</f>
        <v>Hudbay Minerals Inc.</v>
      </c>
      <c r="D39" s="831">
        <f>_xll.ciqfunctions.udf.CIQ(B39, "IQ_MARKETCAP", $A$1,$A$2)</f>
        <v>5664.3295799999996</v>
      </c>
      <c r="E39" s="831">
        <f>_xll.ciqfunctions.udf.CIQ($B39, "IQ_TEV", $A$1,$A$2)</f>
        <v>6773.8200500000003</v>
      </c>
      <c r="F39" s="832" t="str">
        <f>IFERROR(INDEX(Raw_Data,MATCH($A39,Look_Up,0),MATCH(F$4,Component,0)),"-")</f>
        <v>Patrick Donnelly</v>
      </c>
      <c r="G39" s="832" t="str">
        <f>IFERROR(INDEX(Raw_Data,MATCH($A39,Look_Up,0),MATCH(G$4,Component,0)),"-")</f>
        <v>SVP, Legal and Organizational Effectiveness</v>
      </c>
      <c r="H39" s="832" t="str">
        <f>IFERROR(INDEX(Raw_Data,MATCH($A39,Look_Up,0),MATCH(H$4,Component,0))/1000,"-")</f>
        <v>-</v>
      </c>
      <c r="I39" s="831">
        <f>IFERROR(INDEX(Raw_Data,MATCH($A39,Look_Up,0),MATCH(I$4,Component,0))/1000,"-")</f>
        <v>501.65899999999999</v>
      </c>
      <c r="J39" s="831">
        <f>IFERROR(INDEX(Raw_Data,MATCH($A39,Look_Up,0),MATCH(J$4,Component,0))/1000,"-")</f>
        <v>479.25599999999997</v>
      </c>
      <c r="K39" s="833">
        <f>IFERROR(INDEX(Raw_Data,MATCH($A39,Look_Up,0),MATCH(K$4,Component,0)),"-")</f>
        <v>0.95534217466446336</v>
      </c>
      <c r="L39" s="833">
        <f>IFERROR(INDEX(Raw_Data,MATCH($A39,Look_Up,0),MATCH(L$4,Component,0)),"-")</f>
        <v>0.95534217466446336</v>
      </c>
      <c r="M39" s="831">
        <f>IFERROR(INDEX(Raw_Data,MATCH($A39,Look_Up,0),MATCH(M$4,Component,0))/1000,"-")</f>
        <v>376.24425000000002</v>
      </c>
      <c r="N39" s="833">
        <f>IFERROR(IF(INDEX(Raw_Data,MATCH($A39,Look_Up,0),MATCH(N$4,Component,0))="-",L39,INDEX(Raw_Data,MATCH($A39,Look_Up,0),MATCH(N$4,Component,0))),"-")</f>
        <v>0.75</v>
      </c>
      <c r="O39" s="831" t="s">
        <v>78</v>
      </c>
      <c r="P39" s="831">
        <f>IFERROR(INDEX(Raw_Data,MATCH($A39,Look_Up,0),MATCH(P$4,Component,0))/1000,"-")</f>
        <v>877.90324999999996</v>
      </c>
      <c r="Q39" s="831">
        <f>IFERROR(INDEX(Raw_Data,MATCH($A39,Look_Up,0),MATCH(Q$4,Component,0))/1000,"-")</f>
        <v>730.572</v>
      </c>
      <c r="R39" s="833">
        <f>IFERROR(INDEX(Raw_Data,MATCH($A39,Look_Up,0),MATCH(R$4,Component,0)),"-")</f>
        <v>1.4563119569269165</v>
      </c>
      <c r="S39" s="833">
        <f>IFERROR(INDEX(Raw_Data,MATCH($A39,Look_Up,0),MATCH(S$4,Component,0)),"-")</f>
        <v>1.4563119569269165</v>
      </c>
      <c r="T39" s="831">
        <f>IFERROR(INDEX(Raw_Data,MATCH($A39,Look_Up,0),MATCH(T$4,Component,0))/1000,"-")</f>
        <v>752.48850000000004</v>
      </c>
      <c r="U39" s="833">
        <f>IFERROR(IF(INDEX(Raw_Data,MATCH($A39,Look_Up,0),MATCH(U$4,Component,0))="-",S39,INDEX(Raw_Data,MATCH($A39,Look_Up,0),MATCH(U$4,Component,0))),"-")</f>
        <v>1.5</v>
      </c>
      <c r="V39" s="831" t="s">
        <v>78</v>
      </c>
      <c r="W39" s="831">
        <f>IFERROR(INDEX(Raw_Data,MATCH($A39,Look_Up,0),MATCH(W$4,Component,0))/1000,"-")</f>
        <v>1630.39175</v>
      </c>
      <c r="X39" s="835">
        <f>IFERROR((INDEX(Raw_Data,MATCH($A39,Look_Up,0),MATCH(X$4,Component,0))/1000),"-")</f>
        <v>122.673</v>
      </c>
      <c r="Y39" s="831">
        <f>IFERROR((INDEX(Raw_Data,MATCH($A39,Look_Up,0),MATCH(Y$4,Component,0))/1000),"-")</f>
        <v>84.863</v>
      </c>
      <c r="Z39" s="831">
        <f>IFERROR(INDEX(Raw_Data,MATCH($A39,Look_Up,0),MATCH(Z$4,Component,0))/1000,"-")</f>
        <v>1919.0229999999999</v>
      </c>
      <c r="AA39" s="834">
        <f>IFERROR(INDEX(Raw_Data,MATCH($A39,Look_Up,0),MATCH(AA$4,Component,0))/1000,"-")</f>
        <v>1837.9277500000001</v>
      </c>
      <c r="AB39" s="836"/>
      <c r="AC39" s="837">
        <f>IFERROR(P39/W39,0)</f>
        <v>0.53846153846153844</v>
      </c>
      <c r="AD39" s="838">
        <f>IFERROR(T39/W39,0)</f>
        <v>0.46153846153846156</v>
      </c>
      <c r="AE39" s="778" t="str">
        <f>B39&amp;"_"&amp;$AE$6&amp;"_"&amp;$C$2</f>
        <v>TSX:HBM_2023_NEO2</v>
      </c>
      <c r="AF39" s="778"/>
      <c r="AG39" s="778"/>
      <c r="AH39" s="778"/>
      <c r="AI39" s="778"/>
      <c r="AJ39" s="778"/>
      <c r="AK39" s="778"/>
      <c r="AL39"/>
      <c r="AM39"/>
    </row>
    <row r="40" spans="1:39" ht="20.25" customHeight="1">
      <c r="B40" s="33"/>
      <c r="C40" s="839" t="s">
        <v>5</v>
      </c>
      <c r="D40" s="840">
        <f>IF(D$39&gt;=MAX(D$8:D$27),"max",IF(D$39&lt;=MIN(D$8:D$27),"min",PERCENTRANK(D$8:D$27,D$39)))</f>
        <v>0.502</v>
      </c>
      <c r="E40" s="840">
        <f>IF(E$39&gt;=MAX(E$8:E$27),"max",IF(E$39&lt;=MIN(E$8:E$27),"min",PERCENTRANK(E$8:E$27,E$39)))</f>
        <v>0.60199999999999998</v>
      </c>
      <c r="F40" s="841"/>
      <c r="G40" s="841"/>
      <c r="H40" s="841"/>
      <c r="I40" s="840">
        <f>IF(I$39&gt;=MAX(I$47:I$66),"max",IF(I$39&lt;=MIN(I$47:I$66),"min",PERCENTRANK(I$47:I$66,I$39)))</f>
        <v>0.375</v>
      </c>
      <c r="J40" s="840">
        <f>IF(J$39&gt;=MAX(J$8:J$27),"max",IF(J$39&lt;=MIN(J$8:J$27),"min",PERCENTRANK(J$8:J$27,J$39)))</f>
        <v>0.44700000000000001</v>
      </c>
      <c r="K40" s="840">
        <f>IF(K$39&gt;=MAX(K$8:K$27),"max",IF(K$39&lt;=MIN(K$8:K$27),"min",PERCENTRANK(K$8:K$27,K$39)))</f>
        <v>0.67900000000000005</v>
      </c>
      <c r="L40" s="840">
        <f>IF(L$39&gt;=MAX(L$8:L$27),"max",IF(L$39&lt;=MIN(L$8:L$27),"min",PERCENTRANK(L$8:L$27,L$39)))</f>
        <v>0.873</v>
      </c>
      <c r="M40" s="840">
        <f>IF(M$39&gt;=MAX(M$47:M$66),"max",IF(M$39&lt;=MIN(M$47:M$66),"min",PERCENTRANK(M$47:M$66,M$39)))</f>
        <v>0.28000000000000003</v>
      </c>
      <c r="N40" s="840">
        <f>IF(N$39&gt;=MAX(N$8:N$27),"max",IF(N$39&lt;=MIN(N$8:N$27),"min",PERCENTRANK(N$8:N$27,N$39)))</f>
        <v>0.307</v>
      </c>
      <c r="O40" s="840" t="s">
        <v>78</v>
      </c>
      <c r="P40" s="840">
        <f>IF(P$39&gt;=MAX(P$47:P$66),"max",IF(P$39&lt;=MIN(P$47:P$66),"min",PERCENTRANK(P$47:P$66,P$39)))</f>
        <v>0.24099999999999999</v>
      </c>
      <c r="Q40" s="840">
        <f>IF(Q$39&gt;=MAX(Q$8:Q$27),"max",IF(Q$39&lt;=MIN(Q$8:Q$27),"min",PERCENTRANK(Q$8:Q$27,Q$39)))</f>
        <v>0.26200000000000001</v>
      </c>
      <c r="R40" s="840">
        <f>IF(R$39&gt;=MAX(R$8:R$27),"max",IF(R$39&lt;=MIN(R$8:R$27),"min",PERCENTRANK(R$8:R$27,R$39)))</f>
        <v>9.9000000000000005E-2</v>
      </c>
      <c r="S40" s="840">
        <f>IF(S$39&gt;=MAX(S$8:S$27),"max",IF(S$39&lt;=MIN(S$8:S$27),"min",PERCENTRANK(S$8:S$27,S$39)))</f>
        <v>0.32500000000000001</v>
      </c>
      <c r="T40" s="840">
        <f>IF(T$39&gt;=MAX(T$47:T$66),"max",IF(T$39&lt;=MIN(T$47:T$66),"min",PERCENTRANK(T$47:T$66,T$39)))</f>
        <v>0.29799999999999999</v>
      </c>
      <c r="U40" s="840">
        <f>IF(U$39&gt;=MAX(U$8:U$27),"max",IF(U$39&lt;=MIN(U$8:U$27),"min",PERCENTRANK(U$8:U$27,U$39)))</f>
        <v>0.23</v>
      </c>
      <c r="V40" s="840" t="s">
        <v>78</v>
      </c>
      <c r="W40" s="840">
        <f>IF(W$39&gt;=MAX(W$47:W$66),"max",IF(W$39&lt;=MIN(W$47:W$66),"min",PERCENTRANK(W$47:W$66,W$39)))</f>
        <v>0.217</v>
      </c>
      <c r="X40" s="840">
        <f>IF(X$39&gt;=MAX(X$8:X$27),"max",IF(X$39&lt;=MIN(X$8:X$27),"min",PERCENTRANK(X$8:X$27,X$39)))</f>
        <v>0.66300000000000003</v>
      </c>
      <c r="Y40" s="840">
        <f>IF(Y$39&gt;=MAX(Y$8:Y$27),"max",IF(Y$39&lt;=MIN(Y$8:Y$27),"min",PERCENTRANK(Y$8:Y$27,Y$39)))</f>
        <v>0.82</v>
      </c>
      <c r="Z40" s="840">
        <f>IF(Z$39&gt;=MAX(Z$8:Z$27),"max",IF(Z$39&lt;=MIN(Z$8:Z$27),"min",PERCENTRANK(Z$8:Z$27,Z$39)))</f>
        <v>0.437</v>
      </c>
      <c r="AA40" s="842">
        <f>IF(AA$39&gt;=MAX(AA$47:AA$66),"max",IF(AA$39&lt;=MIN(AA$47:AA$66),"min",PERCENTRANK(AA$47:AA$66,AA$39)))</f>
        <v>0.371</v>
      </c>
      <c r="AB40" s="775"/>
      <c r="AC40" s="843">
        <f>IF(AC$39&gt;=MAX(AC$8:AC27),"max",IF(AC$39&lt;=MIN(AC$8:AC27),"min",PERCENTRANK(AC$8:AC27,AC$39)))</f>
        <v>0.61499999999999999</v>
      </c>
      <c r="AD40" s="844">
        <f>IF(AD$39&gt;=MAX(AD$8:AD27),"max",IF(AD$39&lt;=MIN(AD$8:AD27),"min",PERCENTRANK(AD$8:AD27,AD$39)))</f>
        <v>0.38400000000000001</v>
      </c>
      <c r="AE40" s="778"/>
      <c r="AF40" s="778"/>
      <c r="AG40" s="778"/>
      <c r="AH40" s="778"/>
      <c r="AI40" s="778"/>
      <c r="AJ40" s="778"/>
      <c r="AK40" s="778"/>
      <c r="AL40"/>
      <c r="AM40"/>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t="s">
        <v>724</v>
      </c>
      <c r="W42" s="600">
        <f>W39/W35-1</f>
        <v>-0.15819165524356971</v>
      </c>
      <c r="X42" s="275"/>
      <c r="Y42" s="275"/>
      <c r="Z42" s="275"/>
      <c r="AA42" s="275"/>
      <c r="AC42" s="259"/>
      <c r="AD42" s="259"/>
      <c r="AE42" s="316"/>
      <c r="AF42" s="316"/>
      <c r="AG42" s="316"/>
      <c r="AH42" s="316"/>
      <c r="AI42" s="316"/>
      <c r="AJ42" s="316"/>
      <c r="AK42" s="316"/>
    </row>
    <row r="43" spans="1:39" ht="14.5">
      <c r="B43" s="15"/>
      <c r="C43" s="284"/>
      <c r="D43" s="284"/>
      <c r="E43" s="284"/>
      <c r="F43" s="284"/>
      <c r="G43" s="284"/>
      <c r="H43" s="284"/>
      <c r="I43" s="284"/>
      <c r="J43" s="284"/>
      <c r="K43" s="284"/>
      <c r="L43" s="284"/>
      <c r="M43" s="284"/>
      <c r="N43" s="284"/>
      <c r="O43" s="284"/>
      <c r="P43" s="284"/>
      <c r="Q43" s="284"/>
      <c r="R43" s="284"/>
      <c r="S43" s="284"/>
      <c r="T43" s="284"/>
      <c r="U43" s="284"/>
      <c r="V43" s="275" t="s">
        <v>725</v>
      </c>
      <c r="W43" s="604">
        <f>W39-W35</f>
        <v>-306.38134111462819</v>
      </c>
      <c r="X43" s="284"/>
      <c r="Y43" s="284"/>
      <c r="Z43" s="284"/>
      <c r="AA43" s="284"/>
      <c r="AC43" s="258"/>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6" si="45">A8</f>
        <v>TSX:K_2024_NEO2</v>
      </c>
      <c r="B47" s="295" t="str">
        <f t="shared" si="45"/>
        <v>TSX:K</v>
      </c>
      <c r="C47" s="296" t="str">
        <f>_xll.ciqfunctions.udf.CIQ(B47,"IQ_COMPANY_NAME")</f>
        <v>Kinross Gold Corporation</v>
      </c>
      <c r="E47" s="14"/>
      <c r="F47" s="14"/>
      <c r="G47" s="294" t="s">
        <v>661</v>
      </c>
      <c r="H47" s="303">
        <f t="shared" ref="H47:H66" si="46">IFERROR(INDEX(Raw_Data,MATCH($A47,Look_Up,0),MATCH(H$4,Component,0))/1000,"-")</f>
        <v>670</v>
      </c>
      <c r="I47" s="303">
        <f>IFERROR(IF(G47="y",IF(H47&lt;&gt;"-",H47,INDEX(Raw_Data,MATCH($A47,Look_Up,0),MATCH(I$4,Component,0))/1000*(1+'Raw Data'!$G$13)),(INDEX(Raw_Data,MATCH($A47,Look_Up,0),MATCH(I$4,Component,0))/1000)),"-")</f>
        <v>670</v>
      </c>
      <c r="J47" s="361"/>
      <c r="K47" s="361"/>
      <c r="L47" s="361"/>
      <c r="M47" s="303">
        <f t="shared" ref="M47:M66" si="47">IFERROR(I47*N8,"-")</f>
        <v>603</v>
      </c>
      <c r="N47" s="362"/>
      <c r="O47" s="361"/>
      <c r="P47" s="303">
        <f>IFERROR(IF(SUM(M47,I47)=0,"-",SUM(M47,I47)),"-")</f>
        <v>1273</v>
      </c>
      <c r="Q47" s="361"/>
      <c r="R47" s="361"/>
      <c r="S47" s="361"/>
      <c r="T47" s="303">
        <f t="shared" ref="T47:T66" si="48">IFERROR(I47*U8,"-")</f>
        <v>1443.0645287184013</v>
      </c>
      <c r="U47" s="362"/>
      <c r="V47" s="361"/>
      <c r="W47" s="303">
        <f>IFERROR(IF(SUM(T47,P47)=0,"-",SUM(T47,P47)),"-")</f>
        <v>2716.0645287184016</v>
      </c>
      <c r="X47" s="362"/>
      <c r="Y47" s="361"/>
      <c r="Z47" s="361"/>
      <c r="AA47" s="303">
        <f t="shared" ref="AA47:AA66" si="49">IFERROR(IF(SUM(W47,X8,Y8)=0,"-",SUM(W47,X8,Y8)),"-")</f>
        <v>3025.9599881284016</v>
      </c>
      <c r="AB47" s="362"/>
    </row>
    <row r="48" spans="1:39" ht="14.5">
      <c r="A48" s="295" t="str">
        <f t="shared" si="45"/>
        <v>TSX:LUN_2024_NEO2</v>
      </c>
      <c r="B48" s="295" t="str">
        <f t="shared" si="45"/>
        <v>TSX:LUN</v>
      </c>
      <c r="C48" s="296" t="str">
        <f>_xll.ciqfunctions.udf.CIQ(B48,"IQ_COMPANY_NAME")</f>
        <v>Lundin Mining Corporation</v>
      </c>
      <c r="E48" s="14"/>
      <c r="F48" s="14"/>
      <c r="G48" s="294" t="s">
        <v>661</v>
      </c>
      <c r="H48" s="262" t="str">
        <f t="shared" si="46"/>
        <v>-</v>
      </c>
      <c r="I48" s="262">
        <f>IFERROR(IF(G48="y",IF(H48&lt;&gt;"-",H48,INDEX(Raw_Data,MATCH($A48,Look_Up,0),MATCH(I$4,Component,0))/1000*(1+'Raw Data'!$G$13)),(INDEX(Raw_Data,MATCH($A48,Look_Up,0),MATCH(I$4,Component,0))/1000)),"-")</f>
        <v>772.5</v>
      </c>
      <c r="J48" s="361"/>
      <c r="K48" s="361"/>
      <c r="L48" s="361"/>
      <c r="M48" s="262">
        <f t="shared" si="47"/>
        <v>579.375</v>
      </c>
      <c r="N48" s="362"/>
      <c r="O48" s="361"/>
      <c r="P48" s="262">
        <f t="shared" ref="P48:P66" si="50">IFERROR(IF(SUM(M48,I48)=0,"-",SUM(M48,I48)),"-")</f>
        <v>1351.875</v>
      </c>
      <c r="Q48" s="361"/>
      <c r="R48" s="361"/>
      <c r="S48" s="361"/>
      <c r="T48" s="262">
        <f t="shared" si="48"/>
        <v>1137.7593251258884</v>
      </c>
      <c r="U48" s="362"/>
      <c r="V48" s="361"/>
      <c r="W48" s="262">
        <f t="shared" ref="W48:W66" si="51">IFERROR(IF(SUM(T48,P48)=0,"-",SUM(T48,P48)),"-")</f>
        <v>2489.6343251258886</v>
      </c>
      <c r="X48" s="362"/>
      <c r="Y48" s="361"/>
      <c r="Z48" s="361"/>
      <c r="AA48" s="262">
        <f t="shared" si="49"/>
        <v>2629.5177207658885</v>
      </c>
      <c r="AB48" s="362"/>
    </row>
    <row r="49" spans="1:30" ht="14.5">
      <c r="A49" s="295" t="str">
        <f t="shared" si="45"/>
        <v>TSX:AGI_2024_NEO2</v>
      </c>
      <c r="B49" s="295" t="str">
        <f t="shared" si="45"/>
        <v>TSX:AGI</v>
      </c>
      <c r="C49" s="296" t="str">
        <f>_xll.ciqfunctions.udf.CIQ(B49,"IQ_COMPANY_NAME")</f>
        <v>Alamos Gold Inc.</v>
      </c>
      <c r="E49" s="14"/>
      <c r="F49" s="14"/>
      <c r="G49" s="294" t="s">
        <v>661</v>
      </c>
      <c r="H49" s="262" t="str">
        <f t="shared" si="46"/>
        <v>-</v>
      </c>
      <c r="I49" s="262">
        <f>IFERROR(IF(G49="y",IF(H49&lt;&gt;"-",H49,INDEX(Raw_Data,MATCH($A49,Look_Up,0),MATCH(I$4,Component,0))/1000*(1+'Raw Data'!$G$13)),(INDEX(Raw_Data,MATCH($A49,Look_Up,0),MATCH(I$4,Component,0))/1000)),"-")</f>
        <v>458.35</v>
      </c>
      <c r="J49" s="361"/>
      <c r="K49" s="361"/>
      <c r="L49" s="361"/>
      <c r="M49" s="262">
        <f t="shared" si="47"/>
        <v>320.84499999999997</v>
      </c>
      <c r="N49" s="362"/>
      <c r="O49" s="361"/>
      <c r="P49" s="262">
        <f t="shared" si="50"/>
        <v>779.19499999999994</v>
      </c>
      <c r="Q49" s="361"/>
      <c r="R49" s="361"/>
      <c r="S49" s="361"/>
      <c r="T49" s="262">
        <f t="shared" si="48"/>
        <v>710.44250000000011</v>
      </c>
      <c r="U49" s="362"/>
      <c r="V49" s="361"/>
      <c r="W49" s="262">
        <f t="shared" si="51"/>
        <v>1489.6375</v>
      </c>
      <c r="X49" s="362"/>
      <c r="Y49" s="361"/>
      <c r="Z49" s="361"/>
      <c r="AA49" s="262">
        <f t="shared" si="49"/>
        <v>1617.02768558</v>
      </c>
      <c r="AB49" s="362"/>
    </row>
    <row r="50" spans="1:30" ht="14.5">
      <c r="A50" s="295" t="str">
        <f t="shared" si="45"/>
        <v>TSX:PAAS_2024_NEO2</v>
      </c>
      <c r="B50" s="295" t="str">
        <f t="shared" si="45"/>
        <v>TSX:PAAS</v>
      </c>
      <c r="C50" s="296" t="str">
        <f>_xll.ciqfunctions.udf.CIQ(B50,"IQ_COMPANY_NAME")</f>
        <v>Pan American Silver Corp.</v>
      </c>
      <c r="G50" s="294" t="s">
        <v>661</v>
      </c>
      <c r="H50" s="262" t="str">
        <f t="shared" si="46"/>
        <v>-</v>
      </c>
      <c r="I50" s="262">
        <f>IFERROR(IF(G50="y",IF(H50&lt;&gt;"-",H50,INDEX(Raw_Data,MATCH($A50,Look_Up,0),MATCH(I$4,Component,0))/1000*(1+'Raw Data'!$G$13)),(INDEX(Raw_Data,MATCH($A50,Look_Up,0),MATCH(I$4,Component,0))/1000)),"-")</f>
        <v>653.43200000000002</v>
      </c>
      <c r="J50" s="362"/>
      <c r="K50" s="362"/>
      <c r="L50" s="362"/>
      <c r="M50" s="262">
        <f t="shared" si="47"/>
        <v>522.74560000000008</v>
      </c>
      <c r="N50" s="362"/>
      <c r="O50" s="362"/>
      <c r="P50" s="262">
        <f t="shared" si="50"/>
        <v>1176.1776</v>
      </c>
      <c r="Q50" s="362"/>
      <c r="R50" s="362"/>
      <c r="S50" s="362"/>
      <c r="T50" s="262">
        <f t="shared" si="48"/>
        <v>1437.5504000000001</v>
      </c>
      <c r="U50" s="362"/>
      <c r="V50" s="362"/>
      <c r="W50" s="262">
        <f t="shared" si="51"/>
        <v>2613.7280000000001</v>
      </c>
      <c r="X50" s="362"/>
      <c r="Y50" s="362"/>
      <c r="Z50" s="362"/>
      <c r="AA50" s="262">
        <f t="shared" si="49"/>
        <v>2899.2080000000001</v>
      </c>
      <c r="AB50" s="362"/>
    </row>
    <row r="51" spans="1:30" ht="14.5">
      <c r="A51" s="295" t="str">
        <f t="shared" si="45"/>
        <v>TSX:CS_2024_NEO2</v>
      </c>
      <c r="B51" s="295" t="str">
        <f t="shared" si="45"/>
        <v>TSX:CS</v>
      </c>
      <c r="C51" s="296" t="str">
        <f>_xll.ciqfunctions.udf.CIQ(B51,"IQ_COMPANY_NAME")</f>
        <v>Capstone Copper Corp.</v>
      </c>
      <c r="G51" s="294" t="s">
        <v>661</v>
      </c>
      <c r="H51" s="262" t="str">
        <f t="shared" si="46"/>
        <v>-</v>
      </c>
      <c r="I51" s="262">
        <f>IFERROR(IF(G51="y",IF(H51&lt;&gt;"-",H51,INDEX(Raw_Data,MATCH($A51,Look_Up,0),MATCH(I$4,Component,0))/1000*(1+'Raw Data'!$G$13)),(INDEX(Raw_Data,MATCH($A51,Look_Up,0),MATCH(I$4,Component,0))/1000)),"-")</f>
        <v>682.89</v>
      </c>
      <c r="J51" s="362"/>
      <c r="K51" s="362"/>
      <c r="L51" s="362"/>
      <c r="M51" s="262">
        <f t="shared" si="47"/>
        <v>512.16750000000002</v>
      </c>
      <c r="N51" s="362"/>
      <c r="O51" s="362"/>
      <c r="P51" s="262">
        <f t="shared" si="50"/>
        <v>1195.0574999999999</v>
      </c>
      <c r="Q51" s="362"/>
      <c r="R51" s="362"/>
      <c r="S51" s="362"/>
      <c r="T51" s="262">
        <f t="shared" si="48"/>
        <v>1024.335</v>
      </c>
      <c r="U51" s="362"/>
      <c r="V51" s="362"/>
      <c r="W51" s="262">
        <f t="shared" si="51"/>
        <v>2219.3924999999999</v>
      </c>
      <c r="X51" s="362"/>
      <c r="Y51" s="362"/>
      <c r="Z51" s="362"/>
      <c r="AA51" s="262">
        <f t="shared" si="49"/>
        <v>2237.2655</v>
      </c>
      <c r="AB51" s="362"/>
    </row>
    <row r="52" spans="1:30" ht="14.5">
      <c r="A52" s="295" t="str">
        <f t="shared" si="45"/>
        <v>TSX:IMG_2024_NEO2</v>
      </c>
      <c r="B52" s="295" t="str">
        <f t="shared" si="45"/>
        <v>TSX:IMG</v>
      </c>
      <c r="C52" s="296" t="str">
        <f>_xll.ciqfunctions.udf.CIQ(B52,"IQ_COMPANY_NAME")</f>
        <v>IAMGOLD Corporation</v>
      </c>
      <c r="G52" s="294" t="s">
        <v>661</v>
      </c>
      <c r="H52" s="262" t="str">
        <f t="shared" si="46"/>
        <v>-</v>
      </c>
      <c r="I52" s="262">
        <f>IFERROR(IF(G52="y",IF(H52&lt;&gt;"-",H52,INDEX(Raw_Data,MATCH($A52,Look_Up,0),MATCH(I$4,Component,0))/1000*(1+'Raw Data'!$G$13)),(INDEX(Raw_Data,MATCH($A52,Look_Up,0),MATCH(I$4,Component,0))/1000)),"-")</f>
        <v>463.40111999999999</v>
      </c>
      <c r="J52" s="362"/>
      <c r="K52" s="362"/>
      <c r="L52" s="362"/>
      <c r="M52" s="262">
        <f t="shared" si="47"/>
        <v>301.21072800000002</v>
      </c>
      <c r="N52" s="362"/>
      <c r="O52" s="362"/>
      <c r="P52" s="262">
        <f t="shared" si="50"/>
        <v>764.61184800000001</v>
      </c>
      <c r="Q52" s="362"/>
      <c r="R52" s="362"/>
      <c r="S52" s="362"/>
      <c r="T52" s="262">
        <f t="shared" si="48"/>
        <v>602.42145600000003</v>
      </c>
      <c r="U52" s="362"/>
      <c r="V52" s="362"/>
      <c r="W52" s="262">
        <f t="shared" si="51"/>
        <v>1367.033304</v>
      </c>
      <c r="X52" s="362"/>
      <c r="Y52" s="362"/>
      <c r="Z52" s="362"/>
      <c r="AA52" s="262">
        <f t="shared" si="49"/>
        <v>1423.2503039999999</v>
      </c>
      <c r="AB52" s="362"/>
    </row>
    <row r="53" spans="1:30" ht="14.5">
      <c r="A53" s="295" t="str">
        <f t="shared" si="45"/>
        <v>TSX:BTO_2024_NEO2</v>
      </c>
      <c r="B53" s="295" t="str">
        <f t="shared" si="45"/>
        <v>TSX:BTO</v>
      </c>
      <c r="C53" s="296" t="str">
        <f>_xll.ciqfunctions.udf.CIQ(B53,"IQ_COMPANY_NAME")</f>
        <v>B2Gold Corp.</v>
      </c>
      <c r="G53" s="294" t="s">
        <v>661</v>
      </c>
      <c r="H53" s="262" t="str">
        <f t="shared" si="46"/>
        <v>-</v>
      </c>
      <c r="I53" s="262">
        <f>IFERROR(IF(G53="y",IF(H53&lt;&gt;"-",H53,INDEX(Raw_Data,MATCH($A53,Look_Up,0),MATCH(I$4,Component,0))/1000*(1+'Raw Data'!$G$13)),(INDEX(Raw_Data,MATCH($A53,Look_Up,0),MATCH(I$4,Component,0))/1000)),"-")</f>
        <v>643.75</v>
      </c>
      <c r="J53" s="362"/>
      <c r="K53" s="362"/>
      <c r="L53" s="362"/>
      <c r="M53" s="262">
        <f t="shared" si="47"/>
        <v>482.8125</v>
      </c>
      <c r="N53" s="362"/>
      <c r="O53" s="362"/>
      <c r="P53" s="262">
        <f t="shared" si="50"/>
        <v>1126.5625</v>
      </c>
      <c r="Q53" s="362"/>
      <c r="R53" s="362"/>
      <c r="S53" s="362"/>
      <c r="T53" s="262">
        <f t="shared" si="48"/>
        <v>1747.8406365313656</v>
      </c>
      <c r="U53" s="362"/>
      <c r="V53" s="362"/>
      <c r="W53" s="262">
        <f t="shared" si="51"/>
        <v>2874.4031365313658</v>
      </c>
      <c r="X53" s="362"/>
      <c r="Y53" s="362"/>
      <c r="Z53" s="362"/>
      <c r="AA53" s="262">
        <f t="shared" si="49"/>
        <v>2881.355136531366</v>
      </c>
      <c r="AB53" s="362"/>
    </row>
    <row r="54" spans="1:30" s="17" customFormat="1" ht="14.5">
      <c r="A54" s="295" t="str">
        <f t="shared" si="45"/>
        <v>NYSE:HL_2024_NEO2</v>
      </c>
      <c r="B54" s="295" t="str">
        <f t="shared" si="45"/>
        <v>NYSE:HL</v>
      </c>
      <c r="C54" s="296" t="str">
        <f>_xll.ciqfunctions.udf.CIQ(B54,"IQ_COMPANY_NAME")</f>
        <v>Hecla Mining Company</v>
      </c>
      <c r="E54" s="22"/>
      <c r="F54" s="20"/>
      <c r="G54" s="294" t="s">
        <v>661</v>
      </c>
      <c r="H54" s="262" t="str">
        <f t="shared" si="46"/>
        <v>-</v>
      </c>
      <c r="I54" s="262">
        <f>IFERROR(IF(G54="y",IF(H54&lt;&gt;"-",H54,INDEX(Raw_Data,MATCH($A54,Look_Up,0),MATCH(I$4,Component,0))/1000*(1+'Raw Data'!$G$13)),(INDEX(Raw_Data,MATCH($A54,Look_Up,0),MATCH(I$4,Component,0))/1000)),"-")</f>
        <v>461.31054831250003</v>
      </c>
      <c r="J54" s="22"/>
      <c r="K54" s="363"/>
      <c r="L54" s="363"/>
      <c r="M54" s="262">
        <f t="shared" si="47"/>
        <v>461.31054831250003</v>
      </c>
      <c r="N54" s="364"/>
      <c r="O54" s="22"/>
      <c r="P54" s="262">
        <f t="shared" si="50"/>
        <v>922.62109662500006</v>
      </c>
      <c r="Q54" s="21"/>
      <c r="R54" s="365"/>
      <c r="S54" s="365"/>
      <c r="T54" s="262">
        <f t="shared" si="48"/>
        <v>917.74056473705616</v>
      </c>
      <c r="U54" s="364"/>
      <c r="V54" s="22"/>
      <c r="W54" s="262">
        <f t="shared" si="51"/>
        <v>1840.3616613620561</v>
      </c>
      <c r="X54" s="364"/>
      <c r="Y54" s="22"/>
      <c r="Z54" s="22"/>
      <c r="AA54" s="262">
        <f t="shared" si="49"/>
        <v>2059.9423652220562</v>
      </c>
      <c r="AB54" s="364"/>
      <c r="AC54" s="19"/>
      <c r="AD54" s="19"/>
    </row>
    <row r="55" spans="1:30" ht="14.5">
      <c r="A55" s="295" t="str">
        <f t="shared" si="45"/>
        <v>TSX:NGD_2024_NEO2</v>
      </c>
      <c r="B55" s="295" t="str">
        <f t="shared" si="45"/>
        <v>TSX:NGD</v>
      </c>
      <c r="C55" s="296" t="str">
        <f>_xll.ciqfunctions.udf.CIQ(B55,"IQ_COMPANY_NAME")</f>
        <v>New Gold Inc.</v>
      </c>
      <c r="G55" s="294" t="s">
        <v>661</v>
      </c>
      <c r="H55" s="262" t="str">
        <f t="shared" si="46"/>
        <v>-</v>
      </c>
      <c r="I55" s="262">
        <f>IFERROR(IF(G55="y",IF(H55&lt;&gt;"-",H55,INDEX(Raw_Data,MATCH($A55,Look_Up,0),MATCH(I$4,Component,0))/1000*(1+'Raw Data'!$G$13)),(INDEX(Raw_Data,MATCH($A55,Look_Up,0),MATCH(I$4,Component,0))/1000)),"-")</f>
        <v>494.40000000000003</v>
      </c>
      <c r="J55" s="366"/>
      <c r="K55" s="366"/>
      <c r="L55" s="366"/>
      <c r="M55" s="262">
        <f t="shared" si="47"/>
        <v>469.68</v>
      </c>
      <c r="N55" s="362"/>
      <c r="O55" s="366"/>
      <c r="P55" s="262">
        <f t="shared" si="50"/>
        <v>964.08</v>
      </c>
      <c r="Q55" s="366"/>
      <c r="R55" s="366"/>
      <c r="S55" s="366"/>
      <c r="T55" s="262">
        <f t="shared" si="48"/>
        <v>741.6</v>
      </c>
      <c r="U55" s="362"/>
      <c r="V55" s="366"/>
      <c r="W55" s="262">
        <f t="shared" si="51"/>
        <v>1705.68</v>
      </c>
      <c r="X55" s="362"/>
      <c r="Y55" s="366"/>
      <c r="Z55" s="366"/>
      <c r="AA55" s="262">
        <f t="shared" si="49"/>
        <v>1721.46</v>
      </c>
      <c r="AB55" s="362"/>
    </row>
    <row r="56" spans="1:30" ht="14.5">
      <c r="A56" s="295" t="str">
        <f t="shared" si="45"/>
        <v>TSX:ELD_2024_NEO2</v>
      </c>
      <c r="B56" s="295" t="str">
        <f t="shared" si="45"/>
        <v>TSX:ELD</v>
      </c>
      <c r="C56" s="296" t="str">
        <f>_xll.ciqfunctions.udf.CIQ(B56,"IQ_COMPANY_NAME")</f>
        <v>Eldorado Gold Corporation</v>
      </c>
      <c r="G56" s="294" t="s">
        <v>661</v>
      </c>
      <c r="H56" s="262" t="str">
        <f t="shared" si="46"/>
        <v>-</v>
      </c>
      <c r="I56" s="262">
        <f>IFERROR(IF(G56="y",IF(H56&lt;&gt;"-",H56,INDEX(Raw_Data,MATCH($A56,Look_Up,0),MATCH(I$4,Component,0))/1000*(1+'Raw Data'!$G$13)),(INDEX(Raw_Data,MATCH($A56,Look_Up,0),MATCH(I$4,Component,0))/1000)),"-")</f>
        <v>502.64</v>
      </c>
      <c r="J56" s="362"/>
      <c r="K56" s="362"/>
      <c r="L56" s="362"/>
      <c r="M56" s="262">
        <f t="shared" si="47"/>
        <v>402.11200000000002</v>
      </c>
      <c r="N56" s="362"/>
      <c r="O56" s="362"/>
      <c r="P56" s="262">
        <f t="shared" si="50"/>
        <v>904.75199999999995</v>
      </c>
      <c r="Q56" s="362"/>
      <c r="R56" s="362"/>
      <c r="S56" s="362"/>
      <c r="T56" s="262">
        <f t="shared" si="48"/>
        <v>753.96</v>
      </c>
      <c r="U56" s="362"/>
      <c r="V56" s="362"/>
      <c r="W56" s="262">
        <f t="shared" si="51"/>
        <v>1658.712</v>
      </c>
      <c r="X56" s="362"/>
      <c r="Y56" s="362"/>
      <c r="Z56" s="362"/>
      <c r="AA56" s="262">
        <f t="shared" si="49"/>
        <v>1746.5519999999999</v>
      </c>
      <c r="AB56" s="362"/>
    </row>
    <row r="57" spans="1:30" ht="14.5">
      <c r="A57" s="295" t="str">
        <f t="shared" si="45"/>
        <v>TSX:SSRM_2024_NEO2</v>
      </c>
      <c r="B57" s="295" t="str">
        <f t="shared" si="45"/>
        <v>TSX:SSRM</v>
      </c>
      <c r="C57" s="296" t="str">
        <f>_xll.ciqfunctions.udf.CIQ(B57,"IQ_COMPANY_NAME")</f>
        <v>SSR Mining Inc.</v>
      </c>
      <c r="G57" s="294" t="s">
        <v>661</v>
      </c>
      <c r="H57" s="262" t="str">
        <f t="shared" si="46"/>
        <v>-</v>
      </c>
      <c r="I57" s="262">
        <f>IFERROR(IF(G57="y",IF(H57&lt;&gt;"-",H57,INDEX(Raw_Data,MATCH($A57,Look_Up,0),MATCH(I$4,Component,0))/1000*(1+'Raw Data'!$G$13)),(INDEX(Raw_Data,MATCH($A57,Look_Up,0),MATCH(I$4,Component,0))/1000)),"-")</f>
        <v>818.53955800000006</v>
      </c>
      <c r="J57" s="362"/>
      <c r="K57" s="362"/>
      <c r="L57" s="362"/>
      <c r="M57" s="262">
        <f t="shared" si="47"/>
        <v>613.90466850000007</v>
      </c>
      <c r="N57" s="362"/>
      <c r="O57" s="362"/>
      <c r="P57" s="262">
        <f t="shared" si="50"/>
        <v>1432.4442265000002</v>
      </c>
      <c r="Q57" s="362"/>
      <c r="R57" s="362"/>
      <c r="S57" s="362"/>
      <c r="T57" s="262">
        <f t="shared" si="48"/>
        <v>1432.4442265</v>
      </c>
      <c r="U57" s="362"/>
      <c r="V57" s="362"/>
      <c r="W57" s="262">
        <f t="shared" si="51"/>
        <v>2864.8884530000005</v>
      </c>
      <c r="X57" s="362"/>
      <c r="Y57" s="362"/>
      <c r="Z57" s="362"/>
      <c r="AA57" s="262">
        <f t="shared" si="49"/>
        <v>2902.7051450000004</v>
      </c>
      <c r="AB57" s="362"/>
    </row>
    <row r="58" spans="1:30" ht="14.5">
      <c r="A58" s="295" t="str">
        <f t="shared" si="45"/>
        <v>TSX:OGC
_2024_NEO2</v>
      </c>
      <c r="B58" s="295" t="str">
        <f t="shared" si="45"/>
        <v xml:space="preserve">TSX:OGC
</v>
      </c>
      <c r="C58" s="296" t="str">
        <f>_xll.ciqfunctions.udf.CIQ(B58,"IQ_COMPANY_NAME")</f>
        <v>OceanaGold Corporation</v>
      </c>
      <c r="G58" s="294" t="s">
        <v>661</v>
      </c>
      <c r="H58" s="262" t="str">
        <f t="shared" si="46"/>
        <v>-</v>
      </c>
      <c r="I58" s="262">
        <f>IFERROR(IF(G58="y",IF(H58&lt;&gt;"-",H58,INDEX(Raw_Data,MATCH($A58,Look_Up,0),MATCH(I$4,Component,0))/1000*(1+'Raw Data'!$G$13)),(INDEX(Raw_Data,MATCH($A58,Look_Up,0),MATCH(I$4,Component,0))/1000)),"-")</f>
        <v>546.10983524620008</v>
      </c>
      <c r="J58" s="362"/>
      <c r="K58" s="362"/>
      <c r="L58" s="362"/>
      <c r="M58" s="262">
        <f t="shared" si="47"/>
        <v>327.66590114772004</v>
      </c>
      <c r="N58" s="362"/>
      <c r="O58" s="362"/>
      <c r="P58" s="262">
        <f t="shared" si="50"/>
        <v>873.77573639392017</v>
      </c>
      <c r="Q58" s="362"/>
      <c r="R58" s="362"/>
      <c r="S58" s="362"/>
      <c r="T58" s="262">
        <f t="shared" si="48"/>
        <v>911.0059272491427</v>
      </c>
      <c r="U58" s="362"/>
      <c r="V58" s="362"/>
      <c r="W58" s="262">
        <f t="shared" si="51"/>
        <v>1784.781663643063</v>
      </c>
      <c r="X58" s="362"/>
      <c r="Y58" s="362"/>
      <c r="Z58" s="362"/>
      <c r="AA58" s="262">
        <f t="shared" si="49"/>
        <v>1856.3785268230631</v>
      </c>
      <c r="AB58" s="362"/>
    </row>
    <row r="59" spans="1:30" ht="14.5">
      <c r="A59" s="295" t="str">
        <f t="shared" si="45"/>
        <v>TSX:ERO_2024_NEO2</v>
      </c>
      <c r="B59" s="295" t="str">
        <f t="shared" si="45"/>
        <v>TSX:ERO</v>
      </c>
      <c r="C59" s="296" t="str">
        <f>_xll.ciqfunctions.udf.CIQ(B59,"IQ_COMPANY_NAME")</f>
        <v>Ero Copper Corp.</v>
      </c>
      <c r="G59" s="294" t="s">
        <v>661</v>
      </c>
      <c r="H59" s="262" t="str">
        <f t="shared" si="46"/>
        <v>-</v>
      </c>
      <c r="I59" s="262">
        <f>IFERROR(IF(G59="y",IF(H59&lt;&gt;"-",H59,INDEX(Raw_Data,MATCH($A59,Look_Up,0),MATCH(I$4,Component,0))/1000*(1+'Raw Data'!$G$13)),(INDEX(Raw_Data,MATCH($A59,Look_Up,0),MATCH(I$4,Component,0))/1000)),"-")</f>
        <v>635.07379500000002</v>
      </c>
      <c r="J59" s="362"/>
      <c r="K59" s="362"/>
      <c r="L59" s="362"/>
      <c r="M59" s="262">
        <f t="shared" si="47"/>
        <v>476.30534625000001</v>
      </c>
      <c r="N59" s="362"/>
      <c r="O59" s="362"/>
      <c r="P59" s="262">
        <f t="shared" si="50"/>
        <v>1111.37914125</v>
      </c>
      <c r="Q59" s="362"/>
      <c r="R59" s="362"/>
      <c r="S59" s="362"/>
      <c r="T59" s="262">
        <f t="shared" si="48"/>
        <v>921.80537961720017</v>
      </c>
      <c r="U59" s="362"/>
      <c r="V59" s="362"/>
      <c r="W59" s="262">
        <f t="shared" si="51"/>
        <v>2033.1845208672003</v>
      </c>
      <c r="X59" s="362"/>
      <c r="Y59" s="362"/>
      <c r="Z59" s="362"/>
      <c r="AA59" s="262">
        <f t="shared" si="49"/>
        <v>2034.916727149473</v>
      </c>
      <c r="AB59" s="362"/>
    </row>
    <row r="60" spans="1:30" ht="14.5">
      <c r="A60" s="295" t="str">
        <f t="shared" si="45"/>
        <v>TSX:CG_2024_NEO2</v>
      </c>
      <c r="B60" s="295" t="str">
        <f t="shared" si="45"/>
        <v>TSX:CG</v>
      </c>
      <c r="C60" s="296" t="str">
        <f>_xll.ciqfunctions.udf.CIQ(B60,"IQ_COMPANY_NAME")</f>
        <v>Centerra Gold Inc.</v>
      </c>
      <c r="G60" s="294" t="s">
        <v>661</v>
      </c>
      <c r="H60" s="262" t="str">
        <f t="shared" si="46"/>
        <v>-</v>
      </c>
      <c r="I60" s="262">
        <f>IFERROR(IF(G60="y",IF(H60&lt;&gt;"-",H60,INDEX(Raw_Data,MATCH($A60,Look_Up,0),MATCH(I$4,Component,0))/1000*(1+'Raw Data'!$G$13)),(INDEX(Raw_Data,MATCH($A60,Look_Up,0),MATCH(I$4,Component,0))/1000)),"-")</f>
        <v>458.35</v>
      </c>
      <c r="J60" s="362"/>
      <c r="K60" s="362"/>
      <c r="L60" s="362"/>
      <c r="M60" s="262">
        <f t="shared" si="47"/>
        <v>297.92750000000001</v>
      </c>
      <c r="N60" s="362"/>
      <c r="O60" s="362"/>
      <c r="P60" s="262">
        <f t="shared" si="50"/>
        <v>756.27750000000003</v>
      </c>
      <c r="Q60" s="362"/>
      <c r="R60" s="362"/>
      <c r="S60" s="362"/>
      <c r="T60" s="262">
        <f t="shared" si="48"/>
        <v>733.36000000000013</v>
      </c>
      <c r="U60" s="362"/>
      <c r="V60" s="362"/>
      <c r="W60" s="262">
        <f t="shared" si="51"/>
        <v>1489.6375000000003</v>
      </c>
      <c r="X60" s="362"/>
      <c r="Y60" s="362"/>
      <c r="Z60" s="362"/>
      <c r="AA60" s="262">
        <f t="shared" si="49"/>
        <v>1649.2285000000002</v>
      </c>
      <c r="AB60" s="362"/>
    </row>
    <row r="61" spans="1:30" ht="14.5">
      <c r="A61" s="295" t="str">
        <f t="shared" si="45"/>
        <v>0_2024_NEO2</v>
      </c>
      <c r="B61" s="295">
        <f t="shared" si="45"/>
        <v>0</v>
      </c>
      <c r="C61" s="296" t="str">
        <f>_xll.ciqfunctions.udf.CIQ(B61,"IQ_COMPANY_NAME")</f>
        <v>(Invalid Identifier)</v>
      </c>
      <c r="G61" s="294" t="s">
        <v>661</v>
      </c>
      <c r="H61" s="262" t="str">
        <f t="shared" si="46"/>
        <v>-</v>
      </c>
      <c r="I61" s="262" t="str">
        <f>IFERROR(IF(G61="y",IF(H61&lt;&gt;"-",H61,INDEX(Raw_Data,MATCH($A61,Look_Up,0),MATCH(I$4,Component,0))/1000*(1+'Raw Data'!$G$13)),(INDEX(Raw_Data,MATCH($A61,Look_Up,0),MATCH(I$4,Component,0))/1000)),"-")</f>
        <v>-</v>
      </c>
      <c r="J61" s="362"/>
      <c r="K61" s="362"/>
      <c r="L61" s="362"/>
      <c r="M61" s="262" t="str">
        <f t="shared" si="47"/>
        <v>-</v>
      </c>
      <c r="N61" s="362"/>
      <c r="O61" s="362"/>
      <c r="P61" s="262" t="str">
        <f t="shared" si="50"/>
        <v>-</v>
      </c>
      <c r="Q61" s="362"/>
      <c r="R61" s="362"/>
      <c r="S61" s="362"/>
      <c r="T61" s="262" t="str">
        <f t="shared" si="48"/>
        <v>-</v>
      </c>
      <c r="U61" s="362"/>
      <c r="V61" s="362"/>
      <c r="W61" s="262" t="str">
        <f t="shared" si="51"/>
        <v>-</v>
      </c>
      <c r="X61" s="362"/>
      <c r="Y61" s="362"/>
      <c r="Z61" s="362"/>
      <c r="AA61" s="262" t="str">
        <f t="shared" si="49"/>
        <v>-</v>
      </c>
      <c r="AB61" s="362"/>
    </row>
    <row r="62" spans="1:30" ht="14.5">
      <c r="A62" s="295" t="str">
        <f t="shared" si="45"/>
        <v>0_2024_NEO2</v>
      </c>
      <c r="B62" s="295">
        <f t="shared" si="45"/>
        <v>0</v>
      </c>
      <c r="C62" s="296" t="str">
        <f>_xll.ciqfunctions.udf.CIQ(B62,"IQ_COMPANY_NAME")</f>
        <v>(Invalid Identifier)</v>
      </c>
      <c r="G62" s="294" t="s">
        <v>661</v>
      </c>
      <c r="H62" s="262" t="str">
        <f t="shared" si="46"/>
        <v>-</v>
      </c>
      <c r="I62" s="262" t="str">
        <f>IFERROR(IF(G62="y",IF(H62&lt;&gt;"-",H62,INDEX(Raw_Data,MATCH($A62,Look_Up,0),MATCH(I$4,Component,0))/1000*(1+'Raw Data'!$G$13)),(INDEX(Raw_Data,MATCH($A62,Look_Up,0),MATCH(I$4,Component,0))/1000)),"-")</f>
        <v>-</v>
      </c>
      <c r="J62" s="362"/>
      <c r="K62" s="362"/>
      <c r="L62" s="362"/>
      <c r="M62" s="262" t="str">
        <f t="shared" si="47"/>
        <v>-</v>
      </c>
      <c r="N62" s="362"/>
      <c r="O62" s="362"/>
      <c r="P62" s="262" t="str">
        <f t="shared" si="50"/>
        <v>-</v>
      </c>
      <c r="Q62" s="362"/>
      <c r="R62" s="362"/>
      <c r="S62" s="362"/>
      <c r="T62" s="262" t="str">
        <f t="shared" si="48"/>
        <v>-</v>
      </c>
      <c r="U62" s="362"/>
      <c r="V62" s="362"/>
      <c r="W62" s="262" t="str">
        <f t="shared" si="51"/>
        <v>-</v>
      </c>
      <c r="X62" s="362"/>
      <c r="Y62" s="362"/>
      <c r="Z62" s="362"/>
      <c r="AA62" s="262" t="str">
        <f t="shared" si="49"/>
        <v>-</v>
      </c>
      <c r="AB62" s="362"/>
    </row>
    <row r="63" spans="1:30" ht="14.5">
      <c r="A63" s="295" t="str">
        <f t="shared" si="45"/>
        <v>0_2024_NEO2</v>
      </c>
      <c r="B63" s="295">
        <f t="shared" si="45"/>
        <v>0</v>
      </c>
      <c r="C63" s="296" t="str">
        <f>_xll.ciqfunctions.udf.CIQ(B63,"IQ_COMPANY_NAME")</f>
        <v>(Invalid Identifier)</v>
      </c>
      <c r="G63" s="294" t="s">
        <v>661</v>
      </c>
      <c r="H63" s="262" t="str">
        <f t="shared" si="46"/>
        <v>-</v>
      </c>
      <c r="I63" s="262" t="str">
        <f>IFERROR(IF(G63="y",IF(H63&lt;&gt;"-",H63,INDEX(Raw_Data,MATCH($A63,Look_Up,0),MATCH(I$4,Component,0))/1000*(1+'Raw Data'!$G$13)),(INDEX(Raw_Data,MATCH($A63,Look_Up,0),MATCH(I$4,Component,0))/1000)),"-")</f>
        <v>-</v>
      </c>
      <c r="J63" s="362"/>
      <c r="K63" s="362"/>
      <c r="L63" s="362"/>
      <c r="M63" s="262" t="str">
        <f t="shared" si="47"/>
        <v>-</v>
      </c>
      <c r="N63" s="362"/>
      <c r="O63" s="362"/>
      <c r="P63" s="262" t="str">
        <f t="shared" si="50"/>
        <v>-</v>
      </c>
      <c r="Q63" s="362"/>
      <c r="R63" s="362"/>
      <c r="S63" s="362"/>
      <c r="T63" s="262" t="str">
        <f t="shared" si="48"/>
        <v>-</v>
      </c>
      <c r="U63" s="362"/>
      <c r="V63" s="362"/>
      <c r="W63" s="262" t="str">
        <f t="shared" si="51"/>
        <v>-</v>
      </c>
      <c r="X63" s="362"/>
      <c r="Y63" s="362"/>
      <c r="Z63" s="362"/>
      <c r="AA63" s="262" t="str">
        <f t="shared" si="49"/>
        <v>-</v>
      </c>
      <c r="AB63" s="362"/>
    </row>
    <row r="64" spans="1:30" ht="14.5">
      <c r="A64" s="295" t="str">
        <f t="shared" si="45"/>
        <v>0_2024_NEO2</v>
      </c>
      <c r="B64" s="295">
        <f t="shared" si="45"/>
        <v>0</v>
      </c>
      <c r="C64" s="296" t="str">
        <f>_xll.ciqfunctions.udf.CIQ(B64,"IQ_COMPANY_NAME")</f>
        <v>(Invalid Identifier)</v>
      </c>
      <c r="G64" s="294" t="s">
        <v>661</v>
      </c>
      <c r="H64" s="262" t="str">
        <f t="shared" si="46"/>
        <v>-</v>
      </c>
      <c r="I64" s="262" t="str">
        <f>IFERROR(IF(G64="y",IF(H64&lt;&gt;"-",H64,INDEX(Raw_Data,MATCH($A64,Look_Up,0),MATCH(I$4,Component,0))/1000*(1+'Raw Data'!$G$13)),(INDEX(Raw_Data,MATCH($A64,Look_Up,0),MATCH(I$4,Component,0))/1000)),"-")</f>
        <v>-</v>
      </c>
      <c r="J64" s="362"/>
      <c r="K64" s="362"/>
      <c r="L64" s="362"/>
      <c r="M64" s="262" t="str">
        <f t="shared" si="47"/>
        <v>-</v>
      </c>
      <c r="N64" s="362"/>
      <c r="O64" s="362"/>
      <c r="P64" s="262" t="str">
        <f t="shared" si="50"/>
        <v>-</v>
      </c>
      <c r="Q64" s="362"/>
      <c r="R64" s="362"/>
      <c r="S64" s="362"/>
      <c r="T64" s="262" t="str">
        <f t="shared" si="48"/>
        <v>-</v>
      </c>
      <c r="U64" s="362"/>
      <c r="V64" s="362"/>
      <c r="W64" s="262" t="str">
        <f t="shared" si="51"/>
        <v>-</v>
      </c>
      <c r="X64" s="362"/>
      <c r="Y64" s="362"/>
      <c r="Z64" s="362"/>
      <c r="AA64" s="262" t="str">
        <f t="shared" si="49"/>
        <v>-</v>
      </c>
      <c r="AB64" s="362"/>
    </row>
    <row r="65" spans="1:28" ht="14.5">
      <c r="A65" s="295" t="str">
        <f t="shared" si="45"/>
        <v>0_2024_NEO2</v>
      </c>
      <c r="B65" s="295">
        <f t="shared" si="45"/>
        <v>0</v>
      </c>
      <c r="C65" s="296" t="str">
        <f>_xll.ciqfunctions.udf.CIQ(B65,"IQ_COMPANY_NAME")</f>
        <v>(Invalid Identifier)</v>
      </c>
      <c r="G65" s="294" t="s">
        <v>661</v>
      </c>
      <c r="H65" s="262" t="str">
        <f t="shared" si="46"/>
        <v>-</v>
      </c>
      <c r="I65" s="262" t="str">
        <f>IFERROR(IF(G65="y",IF(H65&lt;&gt;"-",H65,INDEX(Raw_Data,MATCH($A65,Look_Up,0),MATCH(I$4,Component,0))/1000*(1+'Raw Data'!$G$13)),(INDEX(Raw_Data,MATCH($A65,Look_Up,0),MATCH(I$4,Component,0))/1000)),"-")</f>
        <v>-</v>
      </c>
      <c r="J65" s="362"/>
      <c r="K65" s="362"/>
      <c r="L65" s="362"/>
      <c r="M65" s="262" t="str">
        <f t="shared" si="47"/>
        <v>-</v>
      </c>
      <c r="N65" s="362"/>
      <c r="O65" s="362"/>
      <c r="P65" s="262" t="str">
        <f t="shared" si="50"/>
        <v>-</v>
      </c>
      <c r="Q65" s="362"/>
      <c r="R65" s="362"/>
      <c r="S65" s="362"/>
      <c r="T65" s="262" t="str">
        <f t="shared" si="48"/>
        <v>-</v>
      </c>
      <c r="U65" s="362"/>
      <c r="V65" s="362"/>
      <c r="W65" s="262" t="str">
        <f t="shared" si="51"/>
        <v>-</v>
      </c>
      <c r="X65" s="362"/>
      <c r="Y65" s="362"/>
      <c r="Z65" s="362"/>
      <c r="AA65" s="262" t="str">
        <f t="shared" si="49"/>
        <v>-</v>
      </c>
      <c r="AB65" s="362"/>
    </row>
    <row r="66" spans="1:28" ht="14.5">
      <c r="A66" s="295" t="str">
        <f t="shared" si="45"/>
        <v>0_2024_NEO2</v>
      </c>
      <c r="B66" s="295">
        <f t="shared" si="45"/>
        <v>0</v>
      </c>
      <c r="C66" s="296" t="str">
        <f>_xll.ciqfunctions.udf.CIQ(B66,"IQ_COMPANY_NAME")</f>
        <v>(Invalid Identifier)</v>
      </c>
      <c r="G66" s="294" t="s">
        <v>661</v>
      </c>
      <c r="H66" s="304" t="str">
        <f t="shared" si="46"/>
        <v>-</v>
      </c>
      <c r="I66" s="262" t="str">
        <f>IFERROR(IF(G66="y",IF(H66&lt;&gt;"-",H66,INDEX(Raw_Data,MATCH($A66,Look_Up,0),MATCH(I$4,Component,0))/1000*(1+'Raw Data'!$G$13)),(INDEX(Raw_Data,MATCH($A66,Look_Up,0),MATCH(I$4,Component,0))/1000)),"-")</f>
        <v>-</v>
      </c>
      <c r="J66" s="362"/>
      <c r="K66" s="362"/>
      <c r="L66" s="362"/>
      <c r="M66" s="262" t="str">
        <f t="shared" si="47"/>
        <v>-</v>
      </c>
      <c r="N66" s="362"/>
      <c r="O66" s="362"/>
      <c r="P66" s="304" t="str">
        <f t="shared" si="50"/>
        <v>-</v>
      </c>
      <c r="Q66" s="362"/>
      <c r="R66" s="362"/>
      <c r="S66" s="362"/>
      <c r="T66" s="262" t="str">
        <f t="shared" si="48"/>
        <v>-</v>
      </c>
      <c r="U66" s="362"/>
      <c r="V66" s="362"/>
      <c r="W66" s="304" t="str">
        <f t="shared" si="51"/>
        <v>-</v>
      </c>
      <c r="X66" s="362"/>
      <c r="Y66" s="362"/>
      <c r="Z66" s="362"/>
      <c r="AA66" s="304" t="str">
        <f t="shared" si="49"/>
        <v>-</v>
      </c>
      <c r="AB66" s="362"/>
    </row>
    <row r="67" spans="1:28" ht="14.5">
      <c r="A67" s="15"/>
      <c r="B67" s="15"/>
      <c r="I67" s="288"/>
      <c r="M67" s="288"/>
      <c r="P67" s="288"/>
      <c r="T67" s="288"/>
      <c r="W67" s="288"/>
      <c r="AA67" s="288"/>
    </row>
    <row r="68" spans="1:28" ht="14.5">
      <c r="A68" s="15"/>
      <c r="B68" s="15"/>
      <c r="I68" s="262">
        <f>PERCENTILE(I$47:I$66,$B29)</f>
        <v>665.85799999999995</v>
      </c>
      <c r="M68" s="262">
        <f>PERCENTILE(M$47:M$66,$B29)</f>
        <v>520.10107500000004</v>
      </c>
      <c r="P68" s="262">
        <f>PERCENTILE(P$47:P$66,$B29)</f>
        <v>1190.3375249999999</v>
      </c>
      <c r="T68" s="262">
        <f>PERCENTILE(T$47:T$66,$B29)</f>
        <v>1358.7730011564722</v>
      </c>
      <c r="W68" s="262">
        <f>PERCENTILE(W$47:W$66,$B29)</f>
        <v>2582.7045812814722</v>
      </c>
      <c r="AA68" s="262">
        <f>PERCENTILE(AA$47:AA$66,$B29)</f>
        <v>2818.3957825899965</v>
      </c>
    </row>
    <row r="69" spans="1:28" ht="14.5">
      <c r="A69" s="15"/>
      <c r="B69" s="15"/>
      <c r="I69" s="266">
        <f>PERCENTILE(I$47:I$66,$B30)</f>
        <v>590.5918151231001</v>
      </c>
      <c r="M69" s="266">
        <f>PERCENTILE(M$47:M$66,$B30)</f>
        <v>472.99267312500001</v>
      </c>
      <c r="P69" s="266">
        <f>PERCENTILE(P$47:P$66,$B30)</f>
        <v>1037.729570625</v>
      </c>
      <c r="T69" s="266">
        <f>PERCENTILE(T$47:T$66,$B30)</f>
        <v>919.77297217712817</v>
      </c>
      <c r="W69" s="266">
        <f>PERCENTILE(W$47:W$66,$B30)</f>
        <v>1936.7730911146282</v>
      </c>
      <c r="AA69" s="266">
        <f>PERCENTILE(AA$47:AA$66,$B30)</f>
        <v>2047.4295461857646</v>
      </c>
    </row>
    <row r="70" spans="1:28" ht="14.5">
      <c r="A70" s="15"/>
      <c r="B70" s="15"/>
      <c r="I70" s="262">
        <f>PERCENTILE(I$47:I$66,$B31)</f>
        <v>471.15084000000002</v>
      </c>
      <c r="M70" s="262">
        <f>PERCENTILE(M$47:M$66,$B31)</f>
        <v>346.27742586079</v>
      </c>
      <c r="P70" s="262">
        <f>PERCENTILE(P$47:P$66,$B31)</f>
        <v>881.51980229544006</v>
      </c>
      <c r="T70" s="262">
        <f>PERCENTILE(T$47:T$66,$B31)</f>
        <v>744.69</v>
      </c>
      <c r="W70" s="262">
        <f>PERCENTILE(W$47:W$66,$B31)</f>
        <v>1670.454</v>
      </c>
      <c r="AA70" s="262">
        <f>PERCENTILE(AA$47:AA$66,$B31)</f>
        <v>1727.7329999999999</v>
      </c>
    </row>
    <row r="71" spans="1:28" ht="14.5">
      <c r="A71" s="15"/>
      <c r="B71" s="15"/>
      <c r="I71" s="270">
        <f>AVERAGE(I47:I66)</f>
        <v>590.05334689705001</v>
      </c>
      <c r="M71" s="270">
        <f>AVERAGE(M47:M66)</f>
        <v>455.0758780150158</v>
      </c>
      <c r="P71" s="270">
        <f>AVERAGE(P47:P66)</f>
        <v>1045.1292249120656</v>
      </c>
      <c r="T71" s="270">
        <f>AVERAGE(T47:T66)</f>
        <v>1036.8092817485042</v>
      </c>
      <c r="W71" s="270">
        <f>AVERAGE(W47:W66)</f>
        <v>2081.9385066605696</v>
      </c>
      <c r="AA71" s="270">
        <f>AVERAGE(AA47:AA66)</f>
        <v>2191.7691142285894</v>
      </c>
    </row>
    <row r="72" spans="1:28">
      <c r="A72" s="15"/>
      <c r="B72" s="15"/>
    </row>
  </sheetData>
  <sortState xmlns:xlrd2="http://schemas.microsoft.com/office/spreadsheetml/2017/richdata2" ref="A8:AP21">
    <sortCondition descending="1" ref="E8:E21"/>
  </sortState>
  <mergeCells count="10">
    <mergeCell ref="I6:I7"/>
    <mergeCell ref="X6:X7"/>
    <mergeCell ref="Y6:Y7"/>
    <mergeCell ref="Z6:AA6"/>
    <mergeCell ref="H6:H7"/>
    <mergeCell ref="C6:C7"/>
    <mergeCell ref="D6:D7"/>
    <mergeCell ref="E6:E7"/>
    <mergeCell ref="F6:F7"/>
    <mergeCell ref="G6:G7"/>
  </mergeCells>
  <conditionalFormatting sqref="C8:AA27">
    <cfRule type="expression" dxfId="132" priority="2">
      <formula>MOD(ROW(),2)=0</formula>
    </cfRule>
  </conditionalFormatting>
  <conditionalFormatting sqref="C29:AA32">
    <cfRule type="expression" dxfId="131" priority="3">
      <formula>MOD(ROW(),2)=0</formula>
    </cfRule>
  </conditionalFormatting>
  <conditionalFormatting sqref="C34:AA37">
    <cfRule type="expression" dxfId="130" priority="1">
      <formula>MOD(ROW(),2)=0</formula>
    </cfRule>
  </conditionalFormatting>
  <conditionalFormatting sqref="H47:I66">
    <cfRule type="expression" dxfId="129" priority="94">
      <formula>MOD(ROW(),2)=0</formula>
    </cfRule>
  </conditionalFormatting>
  <conditionalFormatting sqref="I68:I71">
    <cfRule type="expression" dxfId="128" priority="99">
      <formula>MOD(ROW(),2)=0</formula>
    </cfRule>
  </conditionalFormatting>
  <conditionalFormatting sqref="M47:M66">
    <cfRule type="expression" dxfId="127" priority="102">
      <formula>MOD(ROW(),2)=0</formula>
    </cfRule>
  </conditionalFormatting>
  <conditionalFormatting sqref="M68:M71">
    <cfRule type="expression" dxfId="126" priority="98">
      <formula>MOD(ROW(),2)=0</formula>
    </cfRule>
  </conditionalFormatting>
  <conditionalFormatting sqref="P47:P66">
    <cfRule type="expression" dxfId="125" priority="101">
      <formula>MOD(ROW(),2)=0</formula>
    </cfRule>
  </conditionalFormatting>
  <conditionalFormatting sqref="P68:P71">
    <cfRule type="expression" dxfId="124" priority="97">
      <formula>MOD(ROW(),2)=0</formula>
    </cfRule>
  </conditionalFormatting>
  <conditionalFormatting sqref="T47:T66">
    <cfRule type="expression" dxfId="123" priority="100">
      <formula>MOD(ROW(),2)=0</formula>
    </cfRule>
  </conditionalFormatting>
  <conditionalFormatting sqref="T68:T71">
    <cfRule type="expression" dxfId="122" priority="96">
      <formula>MOD(ROW(),2)=0</formula>
    </cfRule>
  </conditionalFormatting>
  <conditionalFormatting sqref="W47:W66">
    <cfRule type="expression" dxfId="121" priority="92">
      <formula>MOD(ROW(),2)=0</formula>
    </cfRule>
  </conditionalFormatting>
  <conditionalFormatting sqref="W68:W71">
    <cfRule type="expression" dxfId="120" priority="95">
      <formula>MOD(ROW(),2)=0</formula>
    </cfRule>
  </conditionalFormatting>
  <conditionalFormatting sqref="AA47:AA66">
    <cfRule type="expression" dxfId="119" priority="89">
      <formula>MOD(ROW(),2)=0</formula>
    </cfRule>
  </conditionalFormatting>
  <conditionalFormatting sqref="AA68:AA71">
    <cfRule type="expression" dxfId="118" priority="90">
      <formula>MOD(ROW(),2)=0</formula>
    </cfRule>
  </conditionalFormatting>
  <conditionalFormatting sqref="AC8:AD27">
    <cfRule type="expression" dxfId="117" priority="18">
      <formula>MOD(ROW(),2)=0</formula>
    </cfRule>
  </conditionalFormatting>
  <conditionalFormatting sqref="AC29:AD37">
    <cfRule type="expression" dxfId="116" priority="17">
      <formula>MOD(ROW(),2)=0</formula>
    </cfRule>
  </conditionalFormatting>
  <conditionalFormatting sqref="AG8:AK21 AN8:AN21 AG22:AN27">
    <cfRule type="expression" dxfId="115" priority="12">
      <formula>MOD(ROW(),2)=0</formula>
    </cfRule>
  </conditionalFormatting>
  <conditionalFormatting sqref="AL8:AM8 AL9 AL10:AM14 AL15 AL16:AM21">
    <cfRule type="expression" dxfId="114" priority="11">
      <formula>MOD(ROW(),2)=0</formula>
    </cfRule>
  </conditionalFormatting>
  <conditionalFormatting sqref="AL8:AM21">
    <cfRule type="expression" dxfId="113" priority="10">
      <formula>$AJ8="Y"</formula>
    </cfRule>
  </conditionalFormatting>
  <conditionalFormatting sqref="AL29:AM33">
    <cfRule type="expression" dxfId="112" priority="15">
      <formula>MOD(ROW(),2)=0</formula>
    </cfRule>
  </conditionalFormatting>
  <dataValidations disablePrompts="1" count="1">
    <dataValidation type="list" allowBlank="1" showInputMessage="1" showErrorMessage="1" sqref="G47:G66" xr:uid="{DE3C3CA9-2AE3-4B4B-B045-863E67CF573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B567-3106-47EC-B06B-B5D1FE213673}">
  <sheetPr>
    <tabColor theme="3"/>
    <pageSetUpPr fitToPage="1"/>
  </sheetPr>
  <dimension ref="A1:AP78"/>
  <sheetViews>
    <sheetView showGridLines="0" topLeftCell="A34" zoomScale="70" zoomScaleNormal="70" workbookViewId="0">
      <selection activeCell="AA40" sqref="AA40"/>
    </sheetView>
  </sheetViews>
  <sheetFormatPr defaultColWidth="9.1796875" defaultRowHeight="14" outlineLevelRow="1" outlineLevelCol="3"/>
  <cols>
    <col min="1" max="1" width="10.453125" style="12" bestFit="1" customWidth="1"/>
    <col min="2" max="2" width="8.1796875" style="12" customWidth="1"/>
    <col min="3" max="3" width="30.7265625" style="12" customWidth="1"/>
    <col min="4" max="5" width="14.453125" style="12" hidden="1" customWidth="1" outlineLevel="1"/>
    <col min="6" max="6" width="23.453125" style="12" customWidth="1" outlineLevel="1"/>
    <col min="7" max="7" width="55.453125" style="12" bestFit="1"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13.45312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109</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NEO3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11" t="s">
        <v>22</v>
      </c>
      <c r="D6" s="1113" t="s">
        <v>21</v>
      </c>
      <c r="E6" s="1113" t="s">
        <v>20</v>
      </c>
      <c r="F6" s="1113" t="s">
        <v>19</v>
      </c>
      <c r="G6" s="1113" t="s">
        <v>18</v>
      </c>
      <c r="H6" s="1115" t="s">
        <v>114</v>
      </c>
      <c r="I6" s="1115" t="s">
        <v>17</v>
      </c>
      <c r="J6" s="919" t="s">
        <v>16</v>
      </c>
      <c r="K6" s="919"/>
      <c r="L6" s="919"/>
      <c r="M6" s="919" t="s">
        <v>16</v>
      </c>
      <c r="N6" s="919"/>
      <c r="O6" s="919" t="s">
        <v>15</v>
      </c>
      <c r="P6" s="919"/>
      <c r="Q6" s="919" t="s">
        <v>14</v>
      </c>
      <c r="R6" s="919"/>
      <c r="S6" s="919"/>
      <c r="T6" s="919" t="s">
        <v>14</v>
      </c>
      <c r="U6" s="919"/>
      <c r="V6" s="919" t="s">
        <v>656</v>
      </c>
      <c r="W6" s="920"/>
      <c r="X6" s="1117" t="s">
        <v>31</v>
      </c>
      <c r="Y6" s="1119" t="s">
        <v>245</v>
      </c>
      <c r="Z6" s="1119" t="s">
        <v>244</v>
      </c>
      <c r="AA6" s="1121"/>
      <c r="AB6" s="910"/>
      <c r="AC6" s="921" t="s">
        <v>12</v>
      </c>
      <c r="AD6" s="920"/>
      <c r="AE6" s="910">
        <v>2023</v>
      </c>
      <c r="AF6" s="912"/>
      <c r="AG6" s="922" t="s">
        <v>657</v>
      </c>
      <c r="AH6" s="923"/>
      <c r="AI6" s="923"/>
      <c r="AJ6" s="923"/>
      <c r="AK6" s="923"/>
      <c r="AL6" s="922" t="s">
        <v>657</v>
      </c>
      <c r="AM6" s="924"/>
      <c r="AN6" s="682"/>
    </row>
    <row r="7" spans="1:42" ht="20.149999999999999" customHeight="1">
      <c r="A7" s="52" t="s">
        <v>54</v>
      </c>
      <c r="B7" s="52" t="s">
        <v>25</v>
      </c>
      <c r="C7" s="1112"/>
      <c r="D7" s="1114" t="s">
        <v>21</v>
      </c>
      <c r="E7" s="1114" t="s">
        <v>20</v>
      </c>
      <c r="F7" s="1114" t="s">
        <v>19</v>
      </c>
      <c r="G7" s="1114" t="s">
        <v>18</v>
      </c>
      <c r="H7" s="1116" t="s">
        <v>17</v>
      </c>
      <c r="I7" s="1116" t="s">
        <v>17</v>
      </c>
      <c r="J7" s="925" t="s">
        <v>40</v>
      </c>
      <c r="K7" s="926" t="s">
        <v>51</v>
      </c>
      <c r="L7" s="926" t="s">
        <v>104</v>
      </c>
      <c r="M7" s="926" t="s">
        <v>42</v>
      </c>
      <c r="N7" s="925" t="s">
        <v>41</v>
      </c>
      <c r="O7" s="925" t="s">
        <v>53</v>
      </c>
      <c r="P7" s="925" t="s">
        <v>42</v>
      </c>
      <c r="Q7" s="926" t="s">
        <v>40</v>
      </c>
      <c r="R7" s="927" t="s">
        <v>52</v>
      </c>
      <c r="S7" s="927" t="s">
        <v>105</v>
      </c>
      <c r="T7" s="926" t="s">
        <v>42</v>
      </c>
      <c r="U7" s="928" t="s">
        <v>41</v>
      </c>
      <c r="V7" s="925" t="s">
        <v>40</v>
      </c>
      <c r="W7" s="929" t="s">
        <v>42</v>
      </c>
      <c r="X7" s="1118"/>
      <c r="Y7" s="1120"/>
      <c r="Z7" s="925" t="s">
        <v>40</v>
      </c>
      <c r="AA7" s="929" t="s">
        <v>42</v>
      </c>
      <c r="AB7" s="910"/>
      <c r="AC7" s="930" t="s">
        <v>11</v>
      </c>
      <c r="AD7" s="931" t="s">
        <v>10</v>
      </c>
      <c r="AE7" s="912" t="str">
        <f>AE6&amp;" Lookup"</f>
        <v>2023 Lookup</v>
      </c>
      <c r="AF7" s="912"/>
      <c r="AG7" s="932" t="s">
        <v>22</v>
      </c>
      <c r="AH7" s="933" t="s">
        <v>19</v>
      </c>
      <c r="AI7" s="933" t="s">
        <v>660</v>
      </c>
      <c r="AJ7" s="934" t="s">
        <v>658</v>
      </c>
      <c r="AK7" s="933" t="s">
        <v>18</v>
      </c>
      <c r="AL7" s="935" t="s">
        <v>40</v>
      </c>
      <c r="AM7" s="936" t="s">
        <v>42</v>
      </c>
      <c r="AN7" s="502" t="s">
        <v>659</v>
      </c>
    </row>
    <row r="8" spans="1:42" ht="19.5" customHeight="1">
      <c r="A8" s="12" t="str">
        <f t="shared" ref="A8:A21" si="0">$B8&amp;"_"&amp;$C$3&amp;"_"&amp;$C$2</f>
        <v>TSX:K_2024_NEO3</v>
      </c>
      <c r="B8" s="12" t="str">
        <f>'Raw Data'!D5</f>
        <v>TSX:K</v>
      </c>
      <c r="C8" s="766" t="str">
        <f t="shared" ref="C8:C21" si="1">IFERROR(INDEX(Raw_Data,MATCH($A8,Look_Up,0),MATCH(C$4,Component,0)),"-")</f>
        <v>Kinross Gold Corporation</v>
      </c>
      <c r="D8" s="767">
        <f>_xll.ciqfunctions.udf.CIQ(B8, "IQ_MARKETCAP", $A$1,$A$2)</f>
        <v>26179.912</v>
      </c>
      <c r="E8" s="767">
        <f>_xll.ciqfunctions.udf.CIQ($B8, "IQ_TEV", $A$1,$A$2)</f>
        <v>27159.32229</v>
      </c>
      <c r="F8" s="768" t="str">
        <f t="shared" ref="F8:G21" si="2">IFERROR(INDEX(Raw_Data,MATCH($A8,Look_Up,0),MATCH(F$4,Component,0)),"-")</f>
        <v>William D. Dunford</v>
      </c>
      <c r="G8" s="768" t="str">
        <f t="shared" si="2"/>
        <v>SVP, Technical Services</v>
      </c>
      <c r="H8" s="767">
        <f t="shared" ref="H8:J21" si="3">IFERROR(INDEX(Raw_Data,MATCH($A8,Look_Up,0),MATCH(H$4,Component,0))/1000,"-")</f>
        <v>535</v>
      </c>
      <c r="I8" s="767">
        <f t="shared" si="3"/>
        <v>485.65675650000003</v>
      </c>
      <c r="J8" s="769">
        <f t="shared" si="3"/>
        <v>464.40953031000004</v>
      </c>
      <c r="K8" s="770">
        <f t="shared" ref="K8:L21" si="4">IFERROR(INDEX(Raw_Data,MATCH($A8,Look_Up,0),MATCH(K$4,Component,0)),"-")</f>
        <v>0.95625052898857399</v>
      </c>
      <c r="L8" s="770">
        <f t="shared" si="4"/>
        <v>0.95625052898857399</v>
      </c>
      <c r="M8" s="771">
        <f t="shared" ref="M8:M21" si="5">IFERROR(INDEX(Raw_Data,MATCH($A8,Look_Up,0),MATCH(M$4,Component,0))/1000,"-")</f>
        <v>364.24256737499996</v>
      </c>
      <c r="N8" s="772">
        <f t="shared" ref="N8:N21" si="6">IFERROR(IF(INDEX(Raw_Data,MATCH($A8,Look_Up,0),MATCH(N$4,Component,0))="-",L8,INDEX(Raw_Data,MATCH($A8,Look_Up,0),MATCH(N$4,Component,0))),"-")</f>
        <v>0.75</v>
      </c>
      <c r="O8" s="769">
        <f t="shared" ref="O8:Q21" si="7">IFERROR(INDEX(Raw_Data,MATCH($A8,Look_Up,0),MATCH(O$4,Component,0))/1000,"-")</f>
        <v>950.06628681000007</v>
      </c>
      <c r="P8" s="773">
        <f t="shared" si="7"/>
        <v>849.89932387500005</v>
      </c>
      <c r="Q8" s="769">
        <f t="shared" si="7"/>
        <v>1029.59232378</v>
      </c>
      <c r="R8" s="770">
        <f t="shared" ref="R8:S21" si="8">IFERROR(INDEX(Raw_Data,MATCH($A8,Look_Up,0),MATCH(R$4,Component,0)),"-")</f>
        <v>2.12</v>
      </c>
      <c r="S8" s="770">
        <f t="shared" si="8"/>
        <v>2.12</v>
      </c>
      <c r="T8" s="771">
        <f t="shared" ref="T8:T21" si="9">IFERROR(INDEX(Raw_Data,MATCH($A8,Look_Up,0),MATCH(T$4,Component,0))/1000,"-")</f>
        <v>1029.59232378</v>
      </c>
      <c r="U8" s="772">
        <f t="shared" ref="U8:U21" si="10">IFERROR(IF(INDEX(Raw_Data,MATCH($A8,Look_Up,0),MATCH(U$4,Component,0))="-",S8,INDEX(Raw_Data,MATCH($A8,Look_Up,0),MATCH(U$4,Component,0))),"-")</f>
        <v>2.12</v>
      </c>
      <c r="V8" s="769">
        <f t="shared" ref="V8:W21" si="11">IFERROR(INDEX(Raw_Data,MATCH($A8,Look_Up,0),MATCH(V$4,Component,0))/1000,"-")</f>
        <v>1979.6586105900001</v>
      </c>
      <c r="W8" s="774">
        <f t="shared" si="11"/>
        <v>1879.491647655</v>
      </c>
      <c r="X8" s="1059">
        <f t="shared" ref="X8:Y21" si="12">IFERROR((INDEX(Raw_Data,MATCH($A8,Look_Up,0),MATCH(X$4,Component,0))/1000),"-")</f>
        <v>127.48609748000001</v>
      </c>
      <c r="Y8" s="774">
        <f t="shared" si="12"/>
        <v>122.13421346000001</v>
      </c>
      <c r="Z8" s="769">
        <f t="shared" ref="Z8:AA21" si="13">IFERROR(INDEX(Raw_Data,MATCH($A8,Look_Up,0),MATCH(Z$4,Component,0))/1000,"-")</f>
        <v>2229.2789215300004</v>
      </c>
      <c r="AA8" s="774">
        <f t="shared" si="13"/>
        <v>2129.111958595</v>
      </c>
      <c r="AB8" s="775"/>
      <c r="AC8" s="776">
        <f t="shared" ref="AC8:AC21" si="14">IFERROR(P8/W8,0)</f>
        <v>0.45219638242894061</v>
      </c>
      <c r="AD8" s="777">
        <f t="shared" ref="AD8:AD21" si="15">IFERROR(T8/W8,0)</f>
        <v>0.54780361757105944</v>
      </c>
      <c r="AE8" s="778" t="str">
        <f t="shared" ref="AE8:AE21" si="16">B8&amp;"_"&amp;$AE$6&amp;"_"&amp;$C$2</f>
        <v>TSX:K_2023_NEO3</v>
      </c>
      <c r="AF8" s="778"/>
      <c r="AG8" s="779" t="str" cm="1">
        <f t="array" ref="AG8">IFERROR(INDEX('Import 2023 Data'!$E$4:$I$113,_xlfn.XMATCH('NEO5'!$AE8,'Import 2023 Data'!$C$4:$C$113),_xlfn.XMATCH('NEO5'!AG$5,'Import 2023 Data'!$E$3:$I$3)),"-")</f>
        <v>Kinross Gold Corporation</v>
      </c>
      <c r="AH8" s="780" t="str" cm="1">
        <f t="array" ref="AH8">IFERROR(INDEX('Import 2023 Data'!$E$4:$I$113,_xlfn.XMATCH('NEO5'!$AE8,'Import 2023 Data'!$C$4:$C$113),_xlfn.XMATCH('NEO5'!AH$5,'Import 2023 Data'!$E$3:$I$3)),"-")</f>
        <v>William D. Dunford</v>
      </c>
      <c r="AI8" s="781" t="str">
        <f>IF(ISNUMBER(_xlfn.XMATCH(C8,'Import 2023 Data'!$E$4:$E$113)),"N","Y")</f>
        <v>N</v>
      </c>
      <c r="AJ8" s="781" t="str">
        <f t="shared" ref="AJ8:AJ21" si="17">IFERROR(IF(TRIM(LOWER(AH8))=TRIM(LOWER(F8)),"N","Y"),"-")</f>
        <v>N</v>
      </c>
      <c r="AK8" s="780" t="str" cm="1">
        <f t="array" ref="AK8">IFERROR(INDEX('Import 2023 Data'!$E$4:$I$113,_xlfn.XMATCH('NEO5'!$AE8,'Import 2023 Data'!$C$4:$C$113),_xlfn.XMATCH('NEO5'!AK$5,'Import 2023 Data'!$E$3:$I$3)),"-")</f>
        <v>SVP and Chief Technical Officer</v>
      </c>
      <c r="AL8" s="889" cm="1">
        <f t="array" ref="AL8">IFERROR(INDEX('Import 2023 Data'!$E$4:$I$113,_xlfn.XMATCH('NEO5'!$AE8,'Import 2023 Data'!$C$4:$C$113),_xlfn.XMATCH('NEO5'!AL$5,'Import 2023 Data'!$E$3:$I$3)),"-")</f>
        <v>1425.83894298</v>
      </c>
      <c r="AM8" s="890" cm="1">
        <f t="array" ref="AM8">IFERROR(INDEX('Import 2023 Data'!$E$4:$I$113,_xlfn.XMATCH('NEO5'!$AE8,'Import 2023 Data'!$C$4:$C$113),_xlfn.XMATCH('NEO5'!AM$5,'Import 2023 Data'!$E$3:$I$3)),"-")</f>
        <v>1282.47393493</v>
      </c>
      <c r="AN8" s="733">
        <f>IF(AJ8="N",IFERROR(W8/AM8-1,"-"),"-")</f>
        <v>0.46552034818359589</v>
      </c>
      <c r="AP8" s="12" t="s">
        <v>771</v>
      </c>
    </row>
    <row r="9" spans="1:42" ht="19.5" customHeight="1">
      <c r="A9" s="12" t="str">
        <f t="shared" si="0"/>
        <v>TSX:LUN_2024_NEO3</v>
      </c>
      <c r="B9" s="12" t="str">
        <f>'Raw Data'!D6</f>
        <v>TSX:LUN</v>
      </c>
      <c r="C9" s="766" t="str">
        <f t="shared" si="1"/>
        <v>Lundin Mining Corporation</v>
      </c>
      <c r="D9" s="767">
        <f>_xll.ciqfunctions.udf.CIQ(B9, "IQ_MARKETCAP", $A$1,$A$2)</f>
        <v>11855.56763</v>
      </c>
      <c r="E9" s="767">
        <f>_xll.ciqfunctions.udf.CIQ($B9, "IQ_TEV", $A$1,$A$2)</f>
        <v>16005.2402</v>
      </c>
      <c r="F9" s="768" t="str">
        <f t="shared" si="2"/>
        <v>Peter Brady</v>
      </c>
      <c r="G9" s="768" t="str">
        <f t="shared" si="2"/>
        <v>General Counsel</v>
      </c>
      <c r="H9" s="767">
        <f t="shared" si="3"/>
        <v>630</v>
      </c>
      <c r="I9" s="767">
        <f t="shared" si="3"/>
        <v>615</v>
      </c>
      <c r="J9" s="769">
        <f t="shared" si="3"/>
        <v>1114.4647640900002</v>
      </c>
      <c r="K9" s="770">
        <f t="shared" si="4"/>
        <v>1.8121378277886182</v>
      </c>
      <c r="L9" s="770">
        <f t="shared" si="4"/>
        <v>1.3288333403015002</v>
      </c>
      <c r="M9" s="771">
        <f t="shared" si="5"/>
        <v>461.25</v>
      </c>
      <c r="N9" s="772">
        <f t="shared" si="6"/>
        <v>0.75</v>
      </c>
      <c r="O9" s="769">
        <f t="shared" si="7"/>
        <v>1729.4647640900002</v>
      </c>
      <c r="P9" s="773">
        <f t="shared" si="7"/>
        <v>1076.25</v>
      </c>
      <c r="Q9" s="769">
        <f t="shared" si="7"/>
        <v>930.50848023000015</v>
      </c>
      <c r="R9" s="770">
        <f t="shared" si="8"/>
        <v>1.5130219190731709</v>
      </c>
      <c r="S9" s="770">
        <f t="shared" si="8"/>
        <v>1.4269230749863508</v>
      </c>
      <c r="T9" s="771">
        <f t="shared" si="9"/>
        <v>877.55769111660572</v>
      </c>
      <c r="U9" s="772">
        <f t="shared" si="10"/>
        <v>1.4269230749863508</v>
      </c>
      <c r="V9" s="769">
        <f t="shared" si="11"/>
        <v>2659.9732443200005</v>
      </c>
      <c r="W9" s="774">
        <f t="shared" si="11"/>
        <v>1953.8076911166058</v>
      </c>
      <c r="X9" s="1059" t="str">
        <f t="shared" si="12"/>
        <v>-</v>
      </c>
      <c r="Y9" s="774">
        <f t="shared" si="12"/>
        <v>280.96020935000001</v>
      </c>
      <c r="Z9" s="769">
        <f t="shared" si="13"/>
        <v>2940.9334536700007</v>
      </c>
      <c r="AA9" s="774">
        <f t="shared" si="13"/>
        <v>2234.7679004666061</v>
      </c>
      <c r="AB9" s="775"/>
      <c r="AC9" s="776">
        <f t="shared" si="14"/>
        <v>0.550847457962928</v>
      </c>
      <c r="AD9" s="777">
        <f t="shared" si="15"/>
        <v>0.44915254203707189</v>
      </c>
      <c r="AE9" s="778" t="str">
        <f t="shared" si="16"/>
        <v>TSX:LUN_2023_NEO3</v>
      </c>
      <c r="AF9" s="778"/>
      <c r="AG9" s="782" t="str" cm="1">
        <f t="array" ref="AG9">IFERROR(INDEX('Import 2023 Data'!$E$4:$I$113,_xlfn.XMATCH('NEO5'!$AE9,'Import 2023 Data'!$C$4:$C$113),_xlfn.XMATCH('NEO5'!AG$5,'Import 2023 Data'!$E$3:$I$3)),"-")</f>
        <v>Lundin Mining Corporation</v>
      </c>
      <c r="AH9" s="778" t="str" cm="1">
        <f t="array" ref="AH9">IFERROR(INDEX('Import 2023 Data'!$E$4:$I$113,_xlfn.XMATCH('NEO5'!$AE9,'Import 2023 Data'!$C$4:$C$113),_xlfn.XMATCH('NEO5'!AH$5,'Import 2023 Data'!$E$3:$I$3)),"-")</f>
        <v>Peter Brady</v>
      </c>
      <c r="AI9" s="783" t="str">
        <f>IF(ISNUMBER(_xlfn.XMATCH(C9,'Import 2023 Data'!$E$4:$E$113)),"N","Y")</f>
        <v>N</v>
      </c>
      <c r="AJ9" s="783" t="str">
        <f t="shared" si="17"/>
        <v>N</v>
      </c>
      <c r="AK9" s="778" t="str" cm="1">
        <f t="array" ref="AK9">IFERROR(INDEX('Import 2023 Data'!$E$4:$I$113,_xlfn.XMATCH('NEO5'!$AE9,'Import 2023 Data'!$C$4:$C$113),_xlfn.XMATCH('NEO5'!AK$5,'Import 2023 Data'!$E$3:$I$3)),"-")</f>
        <v xml:space="preserve">General Counsel </v>
      </c>
      <c r="AL9" s="891" cm="1">
        <f t="array" ref="AL9">IFERROR(INDEX('Import 2023 Data'!$E$4:$I$113,_xlfn.XMATCH('NEO5'!$AE9,'Import 2023 Data'!$C$4:$C$113),_xlfn.XMATCH('NEO5'!AL$5,'Import 2023 Data'!$E$3:$I$3)),"-")</f>
        <v>1940.0917381925253</v>
      </c>
      <c r="AM9" s="892" cm="1">
        <f t="array" ref="AM9">IFERROR(INDEX('Import 2023 Data'!$E$4:$I$113,_xlfn.XMATCH('NEO5'!$AE9,'Import 2023 Data'!$C$4:$C$113),_xlfn.XMATCH('NEO5'!AM$5,'Import 2023 Data'!$E$3:$I$3)),"-")</f>
        <v>1851.4828120641209</v>
      </c>
      <c r="AN9" s="733">
        <f t="shared" ref="AN9:AN21" si="18">IF(AJ9="N",IFERROR(W9/AM9-1,"-"),"-")</f>
        <v>5.5266448268244117E-2</v>
      </c>
      <c r="AP9" s="12" t="s">
        <v>764</v>
      </c>
    </row>
    <row r="10" spans="1:42" ht="19.5" customHeight="1">
      <c r="A10" s="12" t="str">
        <f t="shared" si="0"/>
        <v>TSX:AGI_2024_NEO3</v>
      </c>
      <c r="B10" s="12" t="str">
        <f>'Raw Data'!D7</f>
        <v>TSX:AGI</v>
      </c>
      <c r="C10" s="766" t="str">
        <f t="shared" si="1"/>
        <v>Alamos Gold Inc.</v>
      </c>
      <c r="D10" s="767">
        <f>_xll.ciqfunctions.udf.CIQ(B10, "IQ_MARKETCAP", $A$1,$A$2)</f>
        <v>15291.758599999999</v>
      </c>
      <c r="E10" s="767">
        <f>_xll.ciqfunctions.udf.CIQ($B10, "IQ_TEV", $A$1,$A$2)</f>
        <v>15239.87026</v>
      </c>
      <c r="F10" s="768" t="str">
        <f t="shared" si="2"/>
        <v>Luis Chavez</v>
      </c>
      <c r="G10" s="768" t="str">
        <f t="shared" si="2"/>
        <v>SVP, Mexico</v>
      </c>
      <c r="H10" s="767" t="str">
        <f t="shared" si="3"/>
        <v>-</v>
      </c>
      <c r="I10" s="767">
        <f t="shared" si="3"/>
        <v>470.00393442000006</v>
      </c>
      <c r="J10" s="769">
        <f t="shared" si="3"/>
        <v>323.80131474000001</v>
      </c>
      <c r="K10" s="770">
        <f t="shared" si="4"/>
        <v>0.68893320039880346</v>
      </c>
      <c r="L10" s="770">
        <f t="shared" si="4"/>
        <v>0.67945409933489886</v>
      </c>
      <c r="M10" s="771">
        <f t="shared" si="5"/>
        <v>282.00236065199999</v>
      </c>
      <c r="N10" s="772">
        <f t="shared" si="6"/>
        <v>0.6</v>
      </c>
      <c r="O10" s="769">
        <f t="shared" si="7"/>
        <v>793.80524916000013</v>
      </c>
      <c r="P10" s="773">
        <f t="shared" si="7"/>
        <v>752.00629507200006</v>
      </c>
      <c r="Q10" s="769">
        <f t="shared" si="7"/>
        <v>510.25541851000003</v>
      </c>
      <c r="R10" s="770">
        <f t="shared" si="8"/>
        <v>1.0856407386029048</v>
      </c>
      <c r="S10" s="770">
        <f t="shared" si="8"/>
        <v>1.0908179182311339</v>
      </c>
      <c r="T10" s="771">
        <f t="shared" si="9"/>
        <v>512.68871330446689</v>
      </c>
      <c r="U10" s="772">
        <f t="shared" si="10"/>
        <v>1.0908179182311339</v>
      </c>
      <c r="V10" s="769">
        <f t="shared" si="11"/>
        <v>1304.0606676700002</v>
      </c>
      <c r="W10" s="774">
        <f t="shared" si="11"/>
        <v>1264.6950083764668</v>
      </c>
      <c r="X10" s="1059" t="str">
        <f t="shared" si="12"/>
        <v>-</v>
      </c>
      <c r="Y10" s="774">
        <f t="shared" si="12"/>
        <v>37.612536670000004</v>
      </c>
      <c r="Z10" s="769">
        <f t="shared" si="13"/>
        <v>1341.6732043400002</v>
      </c>
      <c r="AA10" s="774">
        <f t="shared" si="13"/>
        <v>1302.3075450464669</v>
      </c>
      <c r="AB10" s="775"/>
      <c r="AC10" s="776">
        <f t="shared" si="14"/>
        <v>0.59461474117572177</v>
      </c>
      <c r="AD10" s="777">
        <f t="shared" si="15"/>
        <v>0.40538525882427834</v>
      </c>
      <c r="AE10" s="778" t="str">
        <f t="shared" si="16"/>
        <v>TSX:AGI_2023_NEO3</v>
      </c>
      <c r="AF10" s="778"/>
      <c r="AG10" s="782" t="str" cm="1">
        <f t="array" ref="AG10">IFERROR(INDEX('Import 2023 Data'!$E$4:$I$113,_xlfn.XMATCH('NEO5'!$AE10,'Import 2023 Data'!$C$4:$C$113),_xlfn.XMATCH('NEO5'!AG$5,'Import 2023 Data'!$E$3:$I$3)),"-")</f>
        <v>-</v>
      </c>
      <c r="AH10" s="778" t="str" cm="1">
        <f t="array" ref="AH10">IFERROR(INDEX('Import 2023 Data'!$E$4:$I$113,_xlfn.XMATCH('NEO5'!$AE10,'Import 2023 Data'!$C$4:$C$113),_xlfn.XMATCH('NEO5'!AH$5,'Import 2023 Data'!$E$3:$I$3)),"-")</f>
        <v>-</v>
      </c>
      <c r="AI10" s="783" t="str">
        <f>IF(ISNUMBER(_xlfn.XMATCH(C10,'Import 2023 Data'!$E$4:$E$113)),"N","Y")</f>
        <v>N</v>
      </c>
      <c r="AJ10" s="783" t="str">
        <f t="shared" si="17"/>
        <v>Y</v>
      </c>
      <c r="AK10" s="778" t="str" cm="1">
        <f t="array" ref="AK10">IFERROR(INDEX('Import 2023 Data'!$E$4:$I$113,_xlfn.XMATCH('NEO5'!$AE10,'Import 2023 Data'!$C$4:$C$113),_xlfn.XMATCH('NEO5'!AK$5,'Import 2023 Data'!$E$3:$I$3)),"-")</f>
        <v>-</v>
      </c>
      <c r="AL10" s="893" t="str" cm="1">
        <f t="array" ref="AL10">IFERROR(INDEX('Import 2023 Data'!$E$4:$I$113,_xlfn.XMATCH('NEO5'!$AE10,'Import 2023 Data'!$C$4:$C$113),_xlfn.XMATCH('NEO5'!AL$5,'Import 2023 Data'!$E$3:$I$3)),"-")</f>
        <v>-</v>
      </c>
      <c r="AM10" s="894" t="str" cm="1">
        <f t="array" ref="AM10">IFERROR(INDEX('Import 2023 Data'!$E$4:$I$113,_xlfn.XMATCH('NEO5'!$AE10,'Import 2023 Data'!$C$4:$C$113),_xlfn.XMATCH('NEO5'!AM$5,'Import 2023 Data'!$E$3:$I$3)),"-")</f>
        <v>-</v>
      </c>
      <c r="AN10" s="733" t="str">
        <f t="shared" si="18"/>
        <v>-</v>
      </c>
    </row>
    <row r="11" spans="1:42" ht="19.5" customHeight="1">
      <c r="A11" s="12" t="str">
        <f t="shared" si="0"/>
        <v>TSX:PAAS_2024_NEO3</v>
      </c>
      <c r="B11" s="12" t="str">
        <f>'Raw Data'!D8</f>
        <v>TSX:PAAS</v>
      </c>
      <c r="C11" s="766" t="str">
        <f t="shared" si="1"/>
        <v>Pan American Silver Corp.</v>
      </c>
      <c r="D11" s="767">
        <f>_xll.ciqfunctions.udf.CIQ(B11, "IQ_MARKETCAP", $A$1,$A$2)</f>
        <v>14762.84492</v>
      </c>
      <c r="E11" s="767">
        <f>_xll.ciqfunctions.udf.CIQ($B11, "IQ_TEV", $A$1,$A$2)</f>
        <v>14643.113660000001</v>
      </c>
      <c r="F11" s="768" t="str">
        <f t="shared" si="2"/>
        <v>Sean McAleer</v>
      </c>
      <c r="G11" s="768" t="str">
        <f t="shared" si="2"/>
        <v>SVP, Strategic Initiatives</v>
      </c>
      <c r="H11" s="767" t="str">
        <f t="shared" si="3"/>
        <v>-</v>
      </c>
      <c r="I11" s="767">
        <f t="shared" si="3"/>
        <v>600</v>
      </c>
      <c r="J11" s="769">
        <f t="shared" si="3"/>
        <v>520.20000000000005</v>
      </c>
      <c r="K11" s="770">
        <f t="shared" si="4"/>
        <v>0.86699999999999999</v>
      </c>
      <c r="L11" s="770">
        <f t="shared" si="4"/>
        <v>0.8017709938051687</v>
      </c>
      <c r="M11" s="771">
        <f t="shared" si="5"/>
        <v>480</v>
      </c>
      <c r="N11" s="772">
        <f t="shared" si="6"/>
        <v>0.8</v>
      </c>
      <c r="O11" s="769">
        <f t="shared" si="7"/>
        <v>1120.2</v>
      </c>
      <c r="P11" s="773">
        <f t="shared" si="7"/>
        <v>1080</v>
      </c>
      <c r="Q11" s="769">
        <f t="shared" si="7"/>
        <v>1080</v>
      </c>
      <c r="R11" s="770">
        <f t="shared" si="8"/>
        <v>1.8</v>
      </c>
      <c r="S11" s="770">
        <f t="shared" si="8"/>
        <v>1.6744123087854759</v>
      </c>
      <c r="T11" s="771">
        <f t="shared" si="9"/>
        <v>1080</v>
      </c>
      <c r="U11" s="772">
        <f t="shared" si="10"/>
        <v>1.8</v>
      </c>
      <c r="V11" s="769">
        <f t="shared" si="11"/>
        <v>2200.1999999999998</v>
      </c>
      <c r="W11" s="774">
        <f t="shared" si="11"/>
        <v>2160</v>
      </c>
      <c r="X11" s="1059">
        <f t="shared" si="12"/>
        <v>150</v>
      </c>
      <c r="Y11" s="774">
        <f t="shared" si="12"/>
        <v>79.486999999999995</v>
      </c>
      <c r="Z11" s="769">
        <f t="shared" si="13"/>
        <v>2429.6869999999999</v>
      </c>
      <c r="AA11" s="774">
        <f t="shared" si="13"/>
        <v>2389.4870000000001</v>
      </c>
      <c r="AB11" s="775"/>
      <c r="AC11" s="776">
        <f t="shared" si="14"/>
        <v>0.5</v>
      </c>
      <c r="AD11" s="777">
        <f t="shared" si="15"/>
        <v>0.5</v>
      </c>
      <c r="AE11" s="778" t="str">
        <f t="shared" si="16"/>
        <v>TSX:PAAS_2023_NEO3</v>
      </c>
      <c r="AF11" s="778"/>
      <c r="AG11" s="782" t="str" cm="1">
        <f t="array" ref="AG11">IFERROR(INDEX('Import 2023 Data'!$E$4:$I$113,_xlfn.XMATCH('NEO5'!$AE11,'Import 2023 Data'!$C$4:$C$113),_xlfn.XMATCH('NEO5'!AG$5,'Import 2023 Data'!$E$3:$I$3)),"-")</f>
        <v>Pan American Silver Corp.</v>
      </c>
      <c r="AH11" s="778" t="str" cm="1">
        <f t="array" ref="AH11">IFERROR(INDEX('Import 2023 Data'!$E$4:$I$113,_xlfn.XMATCH('NEO5'!$AE11,'Import 2023 Data'!$C$4:$C$113),_xlfn.XMATCH('NEO5'!AH$5,'Import 2023 Data'!$E$3:$I$3)),"-")</f>
        <v>Sean McAleer</v>
      </c>
      <c r="AI11" s="783" t="str">
        <f>IF(ISNUMBER(_xlfn.XMATCH(C11,'Import 2023 Data'!$E$4:$E$113)),"N","Y")</f>
        <v>N</v>
      </c>
      <c r="AJ11" s="783" t="str">
        <f t="shared" si="17"/>
        <v>N</v>
      </c>
      <c r="AK11" s="778" t="str" cm="1">
        <f t="array" ref="AK11">IFERROR(INDEX('Import 2023 Data'!$E$4:$I$113,_xlfn.XMATCH('NEO5'!$AE11,'Import 2023 Data'!$C$4:$C$113),_xlfn.XMATCH('NEO5'!AK$5,'Import 2023 Data'!$E$3:$I$3)),"-")</f>
        <v>SVP, Strategic Initiatives</v>
      </c>
      <c r="AL11" s="893" cm="1">
        <f t="array" ref="AL11">IFERROR(INDEX('Import 2023 Data'!$E$4:$I$113,_xlfn.XMATCH('NEO5'!$AE11,'Import 2023 Data'!$C$4:$C$113),_xlfn.XMATCH('NEO5'!AL$5,'Import 2023 Data'!$E$3:$I$3)),"-")</f>
        <v>2225.7289999999998</v>
      </c>
      <c r="AM11" s="894" cm="1">
        <f t="array" ref="AM11">IFERROR(INDEX('Import 2023 Data'!$E$4:$I$113,_xlfn.XMATCH('NEO5'!$AE11,'Import 2023 Data'!$C$4:$C$113),_xlfn.XMATCH('NEO5'!AM$5,'Import 2023 Data'!$E$3:$I$3)),"-")</f>
        <v>2157.1574999999998</v>
      </c>
      <c r="AN11" s="733">
        <f t="shared" si="18"/>
        <v>1.3177062870932676E-3</v>
      </c>
      <c r="AP11" s="12" t="s">
        <v>772</v>
      </c>
    </row>
    <row r="12" spans="1:42" ht="19.5" customHeight="1">
      <c r="A12" s="12" t="str">
        <f t="shared" si="0"/>
        <v>TSX:CS_2024_NEO3</v>
      </c>
      <c r="B12" s="12" t="str">
        <f>'Raw Data'!D9</f>
        <v>TSX:CS</v>
      </c>
      <c r="C12" s="766" t="str">
        <f t="shared" si="1"/>
        <v>Capstone Copper Corp.</v>
      </c>
      <c r="D12" s="767">
        <f>_xll.ciqfunctions.udf.CIQ(B12, "IQ_MARKETCAP", $A$1,$A$2)</f>
        <v>5953.1492900000003</v>
      </c>
      <c r="E12" s="767">
        <f>_xll.ciqfunctions.udf.CIQ($B12, "IQ_TEV", $A$1,$A$2)</f>
        <v>8486.01584</v>
      </c>
      <c r="F12" s="768" t="str">
        <f t="shared" si="2"/>
        <v>Wendy King</v>
      </c>
      <c r="G12" s="768" t="str">
        <f t="shared" si="2"/>
        <v>SVP, Risk, ESG, General Counsel &amp; Corporate Secretary</v>
      </c>
      <c r="H12" s="767" t="str">
        <f t="shared" si="3"/>
        <v>-</v>
      </c>
      <c r="I12" s="767">
        <f t="shared" si="3"/>
        <v>451.56799999999998</v>
      </c>
      <c r="J12" s="769">
        <f t="shared" si="3"/>
        <v>306.50200000000001</v>
      </c>
      <c r="K12" s="770">
        <f t="shared" si="4"/>
        <v>0.67875048719129782</v>
      </c>
      <c r="L12" s="770">
        <f t="shared" si="4"/>
        <v>0.66025013168928404</v>
      </c>
      <c r="M12" s="771">
        <f t="shared" si="5"/>
        <v>338.67599999999999</v>
      </c>
      <c r="N12" s="772">
        <f t="shared" si="6"/>
        <v>0.75</v>
      </c>
      <c r="O12" s="769">
        <f t="shared" si="7"/>
        <v>758.07</v>
      </c>
      <c r="P12" s="773">
        <f t="shared" si="7"/>
        <v>790.24400000000003</v>
      </c>
      <c r="Q12" s="769">
        <f t="shared" si="7"/>
        <v>677.35199999999998</v>
      </c>
      <c r="R12" s="770">
        <f t="shared" si="8"/>
        <v>1.5</v>
      </c>
      <c r="S12" s="770">
        <f t="shared" si="8"/>
        <v>1.545632734530938</v>
      </c>
      <c r="T12" s="771">
        <f t="shared" si="9"/>
        <v>677.35199999999998</v>
      </c>
      <c r="U12" s="772">
        <f t="shared" si="10"/>
        <v>1.5</v>
      </c>
      <c r="V12" s="769">
        <f t="shared" si="11"/>
        <v>1435.422</v>
      </c>
      <c r="W12" s="774">
        <f t="shared" si="11"/>
        <v>1467.596</v>
      </c>
      <c r="X12" s="1059" t="str">
        <f t="shared" si="12"/>
        <v>-</v>
      </c>
      <c r="Y12" s="774">
        <f t="shared" si="12"/>
        <v>72.802000000000007</v>
      </c>
      <c r="Z12" s="769">
        <f t="shared" si="13"/>
        <v>1508.2239999999999</v>
      </c>
      <c r="AA12" s="774">
        <f t="shared" si="13"/>
        <v>1540.3979999999999</v>
      </c>
      <c r="AB12" s="775"/>
      <c r="AC12" s="776">
        <f t="shared" si="14"/>
        <v>0.53846153846153844</v>
      </c>
      <c r="AD12" s="777">
        <f t="shared" si="15"/>
        <v>0.46153846153846151</v>
      </c>
      <c r="AE12" s="778" t="str">
        <f t="shared" si="16"/>
        <v>TSX:CS_2023_NEO3</v>
      </c>
      <c r="AF12" s="778"/>
      <c r="AG12" s="782" t="str" cm="1">
        <f t="array" ref="AG12">IFERROR(INDEX('Import 2023 Data'!$E$4:$I$113,_xlfn.XMATCH('NEO5'!$AE12,'Import 2023 Data'!$C$4:$C$113),_xlfn.XMATCH('NEO5'!AG$5,'Import 2023 Data'!$E$3:$I$3)),"-")</f>
        <v>Capstone Copper Corp.</v>
      </c>
      <c r="AH12" s="778" t="str" cm="1">
        <f t="array" ref="AH12">IFERROR(INDEX('Import 2023 Data'!$E$4:$I$113,_xlfn.XMATCH('NEO5'!$AE12,'Import 2023 Data'!$C$4:$C$113),_xlfn.XMATCH('NEO5'!AH$5,'Import 2023 Data'!$E$3:$I$3)),"-")</f>
        <v>Jerrold Annett</v>
      </c>
      <c r="AI12" s="783" t="str">
        <f>IF(ISNUMBER(_xlfn.XMATCH(C12,'Import 2023 Data'!$E$4:$E$113)),"N","Y")</f>
        <v>N</v>
      </c>
      <c r="AJ12" s="783" t="str">
        <f t="shared" si="17"/>
        <v>Y</v>
      </c>
      <c r="AK12" s="778" t="str" cm="1">
        <f t="array" ref="AK12">IFERROR(INDEX('Import 2023 Data'!$E$4:$I$113,_xlfn.XMATCH('NEO5'!$AE12,'Import 2023 Data'!$C$4:$C$113),_xlfn.XMATCH('NEO5'!AK$5,'Import 2023 Data'!$E$3:$I$3)),"-")</f>
        <v xml:space="preserve">SVP, Strategy &amp; Capital Markets </v>
      </c>
      <c r="AL12" s="893" cm="1">
        <f t="array" ref="AL12">IFERROR(INDEX('Import 2023 Data'!$E$4:$I$113,_xlfn.XMATCH('NEO5'!$AE12,'Import 2023 Data'!$C$4:$C$113),_xlfn.XMATCH('NEO5'!AL$5,'Import 2023 Data'!$E$3:$I$3)),"-")</f>
        <v>1289.8610000000001</v>
      </c>
      <c r="AM12" s="894" cm="1">
        <f t="array" ref="AM12">IFERROR(INDEX('Import 2023 Data'!$E$4:$I$113,_xlfn.XMATCH('NEO5'!$AE12,'Import 2023 Data'!$C$4:$C$113),_xlfn.XMATCH('NEO5'!AM$5,'Import 2023 Data'!$E$3:$I$3)),"-")</f>
        <v>1313.8125</v>
      </c>
      <c r="AN12" s="733" t="str">
        <f t="shared" si="18"/>
        <v>-</v>
      </c>
    </row>
    <row r="13" spans="1:42" ht="19.5" customHeight="1">
      <c r="A13" s="12" t="str">
        <f t="shared" si="0"/>
        <v>TSX:IMG_2024_NEO3</v>
      </c>
      <c r="B13" s="12" t="str">
        <f>'Raw Data'!D10</f>
        <v>TSX:IMG</v>
      </c>
      <c r="C13" s="766" t="str">
        <f t="shared" si="1"/>
        <v>IAMGOLD Corporation</v>
      </c>
      <c r="D13" s="767">
        <f>_xll.ciqfunctions.udf.CIQ(B13, "IQ_MARKETCAP", $A$1,$A$2)</f>
        <v>5554.9869099999996</v>
      </c>
      <c r="E13" s="767">
        <f>_xll.ciqfunctions.udf.CIQ($B13, "IQ_TEV", $A$1,$A$2)</f>
        <v>6834.0846799999999</v>
      </c>
      <c r="F13" s="768" t="str">
        <f t="shared" si="2"/>
        <v>Dorena Quinn</v>
      </c>
      <c r="G13" s="768" t="str">
        <f t="shared" si="2"/>
        <v>Chief People Officer</v>
      </c>
      <c r="H13" s="767" t="str">
        <f t="shared" si="3"/>
        <v>-</v>
      </c>
      <c r="I13" s="767">
        <f t="shared" si="3"/>
        <v>400.14</v>
      </c>
      <c r="J13" s="769">
        <f t="shared" si="3"/>
        <v>312.91500000000002</v>
      </c>
      <c r="K13" s="770">
        <f t="shared" si="4"/>
        <v>0.7820137951716899</v>
      </c>
      <c r="L13" s="770">
        <f t="shared" si="4"/>
        <v>0.7820137951716899</v>
      </c>
      <c r="M13" s="771">
        <f t="shared" si="5"/>
        <v>280.09800000000001</v>
      </c>
      <c r="N13" s="772">
        <f t="shared" si="6"/>
        <v>0.7</v>
      </c>
      <c r="O13" s="769">
        <f t="shared" si="7"/>
        <v>713.05499999999995</v>
      </c>
      <c r="P13" s="773">
        <f t="shared" si="7"/>
        <v>680.23800000000006</v>
      </c>
      <c r="Q13" s="769">
        <f t="shared" si="7"/>
        <v>512.51099999999997</v>
      </c>
      <c r="R13" s="770">
        <f t="shared" si="8"/>
        <v>1.2808292097765781</v>
      </c>
      <c r="S13" s="770">
        <f t="shared" si="8"/>
        <v>1.2808292097765781</v>
      </c>
      <c r="T13" s="771">
        <f t="shared" si="9"/>
        <v>600.21</v>
      </c>
      <c r="U13" s="772">
        <f t="shared" si="10"/>
        <v>1.5</v>
      </c>
      <c r="V13" s="769">
        <f t="shared" si="11"/>
        <v>1225.566</v>
      </c>
      <c r="W13" s="774">
        <f t="shared" si="11"/>
        <v>1280.4480000000001</v>
      </c>
      <c r="X13" s="1059">
        <f t="shared" si="12"/>
        <v>19.494</v>
      </c>
      <c r="Y13" s="774">
        <f t="shared" si="12"/>
        <v>27.431000000000001</v>
      </c>
      <c r="Z13" s="769">
        <f t="shared" si="13"/>
        <v>1272.491</v>
      </c>
      <c r="AA13" s="774">
        <f t="shared" si="13"/>
        <v>1327.373</v>
      </c>
      <c r="AB13" s="775"/>
      <c r="AC13" s="776">
        <f t="shared" si="14"/>
        <v>0.53125</v>
      </c>
      <c r="AD13" s="777">
        <f t="shared" si="15"/>
        <v>0.46875</v>
      </c>
      <c r="AE13" s="778" t="str">
        <f t="shared" si="16"/>
        <v>TSX:IMG_2023_NEO3</v>
      </c>
      <c r="AF13" s="778"/>
      <c r="AG13" s="782" t="str" cm="1">
        <f t="array" ref="AG13">IFERROR(INDEX('Import 2023 Data'!$E$4:$I$113,_xlfn.XMATCH('NEO5'!$AE13,'Import 2023 Data'!$C$4:$C$113),_xlfn.XMATCH('NEO5'!AG$5,'Import 2023 Data'!$E$3:$I$3)),"-")</f>
        <v>IAMGOLD Corporation</v>
      </c>
      <c r="AH13" s="778" t="str" cm="1">
        <f t="array" ref="AH13">IFERROR(INDEX('Import 2023 Data'!$E$4:$I$113,_xlfn.XMATCH('NEO5'!$AE13,'Import 2023 Data'!$C$4:$C$113),_xlfn.XMATCH('NEO5'!AH$5,'Import 2023 Data'!$E$3:$I$3)),"-")</f>
        <v>Dorena Quinn</v>
      </c>
      <c r="AI13" s="783" t="str">
        <f>IF(ISNUMBER(_xlfn.XMATCH(C13,'Import 2023 Data'!$E$4:$E$113)),"N","Y")</f>
        <v>N</v>
      </c>
      <c r="AJ13" s="783" t="str">
        <f t="shared" si="17"/>
        <v>N</v>
      </c>
      <c r="AK13" s="778" t="str" cm="1">
        <f t="array" ref="AK13">IFERROR(INDEX('Import 2023 Data'!$E$4:$I$113,_xlfn.XMATCH('NEO5'!$AE13,'Import 2023 Data'!$C$4:$C$113),_xlfn.XMATCH('NEO5'!AK$5,'Import 2023 Data'!$E$3:$I$3)),"-")</f>
        <v>SVP, People</v>
      </c>
      <c r="AL13" s="893" cm="1">
        <f t="array" ref="AL13">IFERROR(INDEX('Import 2023 Data'!$E$4:$I$113,_xlfn.XMATCH('NEO5'!$AE13,'Import 2023 Data'!$C$4:$C$113),_xlfn.XMATCH('NEO5'!AL$5,'Import 2023 Data'!$E$3:$I$3)),"-")</f>
        <v>1135.9690000000001</v>
      </c>
      <c r="AM13" s="894" cm="1">
        <f t="array" ref="AM13">IFERROR(INDEX('Import 2023 Data'!$E$4:$I$113,_xlfn.XMATCH('NEO5'!$AE13,'Import 2023 Data'!$C$4:$C$113),_xlfn.XMATCH('NEO5'!AM$5,'Import 2023 Data'!$E$3:$I$3)),"-")</f>
        <v>1121.2389499999999</v>
      </c>
      <c r="AN13" s="733">
        <f t="shared" si="18"/>
        <v>0.14199386312792672</v>
      </c>
      <c r="AP13" s="12" t="s">
        <v>773</v>
      </c>
    </row>
    <row r="14" spans="1:42" ht="19.5" customHeight="1">
      <c r="A14" s="12" t="str">
        <f t="shared" si="0"/>
        <v>TSX:BTO_2024_NEO3</v>
      </c>
      <c r="B14" s="12" t="str">
        <f>'Raw Data'!D11</f>
        <v>TSX:BTO</v>
      </c>
      <c r="C14" s="766" t="str">
        <f t="shared" si="1"/>
        <v>B2Gold Corp.</v>
      </c>
      <c r="D14" s="767">
        <f>_xll.ciqfunctions.udf.CIQ(B14, "IQ_MARKETCAP", $A$1,$A$2)</f>
        <v>6289.7347200000004</v>
      </c>
      <c r="E14" s="767">
        <f>_xll.ciqfunctions.udf.CIQ($B14, "IQ_TEV", $A$1,$A$2)</f>
        <v>6472.2609199999997</v>
      </c>
      <c r="F14" s="768" t="str">
        <f t="shared" si="2"/>
        <v>Victor King</v>
      </c>
      <c r="G14" s="768" t="str">
        <f t="shared" si="2"/>
        <v>SVP, Exploration</v>
      </c>
      <c r="H14" s="767" t="str">
        <f t="shared" si="3"/>
        <v>-</v>
      </c>
      <c r="I14" s="767">
        <f t="shared" si="3"/>
        <v>600</v>
      </c>
      <c r="J14" s="769">
        <f t="shared" si="3"/>
        <v>297</v>
      </c>
      <c r="K14" s="770">
        <f t="shared" si="4"/>
        <v>0.495</v>
      </c>
      <c r="L14" s="770">
        <f t="shared" si="4"/>
        <v>0.69234627831715212</v>
      </c>
      <c r="M14" s="771">
        <f t="shared" si="5"/>
        <v>450</v>
      </c>
      <c r="N14" s="772">
        <f t="shared" si="6"/>
        <v>0.75</v>
      </c>
      <c r="O14" s="769">
        <f t="shared" si="7"/>
        <v>897</v>
      </c>
      <c r="P14" s="773">
        <f t="shared" si="7"/>
        <v>1050</v>
      </c>
      <c r="Q14" s="769">
        <f t="shared" si="7"/>
        <v>1450</v>
      </c>
      <c r="R14" s="770">
        <f t="shared" si="8"/>
        <v>2.4166666666666665</v>
      </c>
      <c r="S14" s="770">
        <f t="shared" si="8"/>
        <v>2.862459546925566</v>
      </c>
      <c r="T14" s="771">
        <f t="shared" si="9"/>
        <v>1717.4757281553395</v>
      </c>
      <c r="U14" s="772">
        <f t="shared" si="10"/>
        <v>2.862459546925566</v>
      </c>
      <c r="V14" s="769">
        <f t="shared" si="11"/>
        <v>2347</v>
      </c>
      <c r="W14" s="774">
        <f t="shared" si="11"/>
        <v>2767.4757281553398</v>
      </c>
      <c r="X14" s="1059" t="str">
        <f t="shared" si="12"/>
        <v>-</v>
      </c>
      <c r="Y14" s="774" t="str">
        <f t="shared" si="12"/>
        <v>-</v>
      </c>
      <c r="Z14" s="769">
        <f t="shared" si="13"/>
        <v>2347</v>
      </c>
      <c r="AA14" s="774">
        <f t="shared" si="13"/>
        <v>2767.4757281553398</v>
      </c>
      <c r="AB14" s="775"/>
      <c r="AC14" s="776">
        <f t="shared" si="14"/>
        <v>0.37940712155762146</v>
      </c>
      <c r="AD14" s="777">
        <f t="shared" si="15"/>
        <v>0.62059287844237843</v>
      </c>
      <c r="AE14" s="778" t="str">
        <f t="shared" si="16"/>
        <v>TSX:BTO_2023_NEO3</v>
      </c>
      <c r="AF14" s="778"/>
      <c r="AG14" s="782" t="str" cm="1">
        <f t="array" ref="AG14">IFERROR(INDEX('Import 2023 Data'!$E$4:$I$113,_xlfn.XMATCH('NEO5'!$AE14,'Import 2023 Data'!$C$4:$C$113),_xlfn.XMATCH('NEO5'!AG$5,'Import 2023 Data'!$E$3:$I$3)),"-")</f>
        <v>B2Gold Corp.</v>
      </c>
      <c r="AH14" s="778" t="str" cm="1">
        <f t="array" ref="AH14">IFERROR(INDEX('Import 2023 Data'!$E$4:$I$113,_xlfn.XMATCH('NEO5'!$AE14,'Import 2023 Data'!$C$4:$C$113),_xlfn.XMATCH('NEO5'!AH$5,'Import 2023 Data'!$E$3:$I$3)),"-")</f>
        <v xml:space="preserve">Randall Chatwin </v>
      </c>
      <c r="AI14" s="783" t="str">
        <f>IF(ISNUMBER(_xlfn.XMATCH(C14,'Import 2023 Data'!$E$4:$E$113)),"N","Y")</f>
        <v>N</v>
      </c>
      <c r="AJ14" s="783" t="str">
        <f t="shared" si="17"/>
        <v>Y</v>
      </c>
      <c r="AK14" s="778" t="str" cm="1">
        <f t="array" ref="AK14">IFERROR(INDEX('Import 2023 Data'!$E$4:$I$113,_xlfn.XMATCH('NEO5'!$AE14,'Import 2023 Data'!$C$4:$C$113),_xlfn.XMATCH('NEO5'!AK$5,'Import 2023 Data'!$E$3:$I$3)),"-")</f>
        <v>SVP Legal and Coporate Communications</v>
      </c>
      <c r="AL14" s="893" cm="1">
        <f t="array" ref="AL14">IFERROR(INDEX('Import 2023 Data'!$E$4:$I$113,_xlfn.XMATCH('NEO5'!$AE14,'Import 2023 Data'!$C$4:$C$113),_xlfn.XMATCH('NEO5'!AL$5,'Import 2023 Data'!$E$3:$I$3)),"-")</f>
        <v>2295</v>
      </c>
      <c r="AM14" s="894" cm="1">
        <f t="array" ref="AM14">IFERROR(INDEX('Import 2023 Data'!$E$4:$I$113,_xlfn.XMATCH('NEO5'!$AE14,'Import 2023 Data'!$C$4:$C$113),_xlfn.XMATCH('NEO5'!AM$5,'Import 2023 Data'!$E$3:$I$3)),"-")</f>
        <v>2677.5830258302585</v>
      </c>
      <c r="AN14" s="733" t="str">
        <f t="shared" si="18"/>
        <v>-</v>
      </c>
    </row>
    <row r="15" spans="1:42" ht="19.5" customHeight="1">
      <c r="A15" s="12" t="str">
        <f t="shared" si="0"/>
        <v>NYSE:HL_2024_NEO3</v>
      </c>
      <c r="B15" s="12" t="str">
        <f>'Raw Data'!D12</f>
        <v>NYSE:HL</v>
      </c>
      <c r="C15" s="766" t="str">
        <f t="shared" si="1"/>
        <v>Hecla Mining Company</v>
      </c>
      <c r="D15" s="767">
        <f>_xll.ciqfunctions.udf.CIQ(B15, "IQ_MARKETCAP", $A$1,$A$2)</f>
        <v>5232.0834199999999</v>
      </c>
      <c r="E15" s="767">
        <f>_xll.ciqfunctions.udf.CIQ($B15, "IQ_TEV", $A$1,$A$2)</f>
        <v>5991.3399399999998</v>
      </c>
      <c r="F15" s="768" t="str">
        <f t="shared" si="2"/>
        <v>Robert D. Brown</v>
      </c>
      <c r="G15" s="768" t="str">
        <f t="shared" si="2"/>
        <v>VP, Corporate Development</v>
      </c>
      <c r="H15" s="767" t="str">
        <f t="shared" si="3"/>
        <v>-</v>
      </c>
      <c r="I15" s="767">
        <f t="shared" si="3"/>
        <v>452.15610000000004</v>
      </c>
      <c r="J15" s="769">
        <f t="shared" si="3"/>
        <v>595.71429158000012</v>
      </c>
      <c r="K15" s="770">
        <f t="shared" si="4"/>
        <v>1.3174969696969698</v>
      </c>
      <c r="L15" s="770">
        <f t="shared" si="4"/>
        <v>1.7445439071566728</v>
      </c>
      <c r="M15" s="771">
        <f t="shared" si="5"/>
        <v>316.50927000000001</v>
      </c>
      <c r="N15" s="772">
        <f t="shared" si="6"/>
        <v>0.7</v>
      </c>
      <c r="O15" s="769">
        <f t="shared" si="7"/>
        <v>1047.8703915800002</v>
      </c>
      <c r="P15" s="773">
        <f t="shared" si="7"/>
        <v>768.66537000000017</v>
      </c>
      <c r="Q15" s="769">
        <f t="shared" si="7"/>
        <v>693.46770006000008</v>
      </c>
      <c r="R15" s="770">
        <f t="shared" si="8"/>
        <v>1.5336909090909092</v>
      </c>
      <c r="S15" s="770">
        <f t="shared" si="8"/>
        <v>1.1200167603082496</v>
      </c>
      <c r="T15" s="771">
        <f t="shared" si="9"/>
        <v>856.8358095000001</v>
      </c>
      <c r="U15" s="772">
        <f t="shared" si="10"/>
        <v>1.895</v>
      </c>
      <c r="V15" s="769">
        <f t="shared" si="11"/>
        <v>1741.3380916400001</v>
      </c>
      <c r="W15" s="774">
        <f t="shared" si="11"/>
        <v>1625.5011795</v>
      </c>
      <c r="X15" s="1059">
        <f t="shared" si="12"/>
        <v>103.39439837</v>
      </c>
      <c r="Y15" s="774">
        <f t="shared" si="12"/>
        <v>10.94354779</v>
      </c>
      <c r="Z15" s="769">
        <f t="shared" si="13"/>
        <v>1855.6760378000004</v>
      </c>
      <c r="AA15" s="774">
        <f t="shared" si="13"/>
        <v>1739.83912566</v>
      </c>
      <c r="AB15" s="775"/>
      <c r="AC15" s="776">
        <f t="shared" si="14"/>
        <v>0.47287899860917953</v>
      </c>
      <c r="AD15" s="777">
        <f t="shared" si="15"/>
        <v>0.52712100139082063</v>
      </c>
      <c r="AE15" s="778" t="str">
        <f t="shared" si="16"/>
        <v>NYSE:HL_2023_NEO3</v>
      </c>
      <c r="AF15" s="778"/>
      <c r="AG15" s="782" t="str" cm="1">
        <f t="array" ref="AG15">IFERROR(INDEX('Import 2023 Data'!$E$4:$I$113,_xlfn.XMATCH('NEO5'!$AE15,'Import 2023 Data'!$C$4:$C$113),_xlfn.XMATCH('NEO5'!AG$5,'Import 2023 Data'!$E$3:$I$3)),"-")</f>
        <v>Hecla Mining Company</v>
      </c>
      <c r="AH15" s="778" t="str" cm="1">
        <f t="array" ref="AH15">IFERROR(INDEX('Import 2023 Data'!$E$4:$I$113,_xlfn.XMATCH('NEO5'!$AE15,'Import 2023 Data'!$C$4:$C$113),_xlfn.XMATCH('NEO5'!AH$5,'Import 2023 Data'!$E$3:$I$3)),"-")</f>
        <v xml:space="preserve">David C. Sienko </v>
      </c>
      <c r="AI15" s="783" t="str">
        <f>IF(ISNUMBER(_xlfn.XMATCH(C15,'Import 2023 Data'!$E$4:$E$113)),"N","Y")</f>
        <v>N</v>
      </c>
      <c r="AJ15" s="783" t="str">
        <f t="shared" si="17"/>
        <v>Y</v>
      </c>
      <c r="AK15" s="778" t="str" cm="1">
        <f t="array" ref="AK15">IFERROR(INDEX('Import 2023 Data'!$E$4:$I$113,_xlfn.XMATCH('NEO5'!$AE15,'Import 2023 Data'!$C$4:$C$113),_xlfn.XMATCH('NEO5'!AK$5,'Import 2023 Data'!$E$3:$I$3)),"-")</f>
        <v xml:space="preserve">VP and General Counsel </v>
      </c>
      <c r="AL15" s="891" cm="1">
        <f t="array" ref="AL15">IFERROR(INDEX('Import 2023 Data'!$E$4:$I$113,_xlfn.XMATCH('NEO5'!$AE15,'Import 2023 Data'!$C$4:$C$113),_xlfn.XMATCH('NEO5'!AL$5,'Import 2023 Data'!$E$3:$I$3)),"-")</f>
        <v>1230.68871128</v>
      </c>
      <c r="AM15" s="892" cm="1">
        <f t="array" ref="AM15">IFERROR(INDEX('Import 2023 Data'!$E$4:$I$113,_xlfn.XMATCH('NEO5'!$AE15,'Import 2023 Data'!$C$4:$C$113),_xlfn.XMATCH('NEO5'!AM$5,'Import 2023 Data'!$E$3:$I$3)),"-")</f>
        <v>1488.8336145624999</v>
      </c>
      <c r="AN15" s="733" t="str">
        <f t="shared" si="18"/>
        <v>-</v>
      </c>
    </row>
    <row r="16" spans="1:42" ht="19.5" customHeight="1">
      <c r="A16" s="12" t="str">
        <f t="shared" si="0"/>
        <v>TSX:NGD_2024_NEO3</v>
      </c>
      <c r="B16" s="12" t="str">
        <f>'Raw Data'!D13</f>
        <v>TSX:NGD</v>
      </c>
      <c r="C16" s="766" t="str">
        <f t="shared" si="1"/>
        <v>New Gold Inc.</v>
      </c>
      <c r="D16" s="767">
        <f>_xll.ciqfunctions.udf.CIQ(B16, "IQ_MARKETCAP", $A$1,$A$2)</f>
        <v>5001.45208</v>
      </c>
      <c r="E16" s="767">
        <f>_xll.ciqfunctions.udf.CIQ($B16, "IQ_TEV", $A$1,$A$2)</f>
        <v>5417.8523800000003</v>
      </c>
      <c r="F16" s="768" t="str">
        <f t="shared" si="2"/>
        <v>Luke Buchanan</v>
      </c>
      <c r="G16" s="768" t="str">
        <f t="shared" si="2"/>
        <v>VP, Technical Services</v>
      </c>
      <c r="H16" s="767" t="str">
        <f t="shared" si="3"/>
        <v>-</v>
      </c>
      <c r="I16" s="767">
        <f t="shared" si="3"/>
        <v>440</v>
      </c>
      <c r="J16" s="769">
        <f t="shared" si="3"/>
        <v>351.78</v>
      </c>
      <c r="K16" s="770">
        <f t="shared" si="4"/>
        <v>0.79949999999999999</v>
      </c>
      <c r="L16" s="770">
        <f t="shared" si="4"/>
        <v>0.79485673234811161</v>
      </c>
      <c r="M16" s="771">
        <f t="shared" si="5"/>
        <v>286</v>
      </c>
      <c r="N16" s="772">
        <f t="shared" si="6"/>
        <v>0.65</v>
      </c>
      <c r="O16" s="769">
        <f t="shared" si="7"/>
        <v>791.78</v>
      </c>
      <c r="P16" s="773">
        <f t="shared" si="7"/>
        <v>726</v>
      </c>
      <c r="Q16" s="769">
        <f t="shared" si="7"/>
        <v>549.99900000000002</v>
      </c>
      <c r="R16" s="770">
        <f t="shared" si="8"/>
        <v>1.2499977272727272</v>
      </c>
      <c r="S16" s="770">
        <f t="shared" si="8"/>
        <v>1.0789374767473905</v>
      </c>
      <c r="T16" s="771">
        <f t="shared" si="9"/>
        <v>550</v>
      </c>
      <c r="U16" s="772">
        <f t="shared" si="10"/>
        <v>1.25</v>
      </c>
      <c r="V16" s="769">
        <f t="shared" si="11"/>
        <v>1341.779</v>
      </c>
      <c r="W16" s="774">
        <f t="shared" si="11"/>
        <v>1276</v>
      </c>
      <c r="X16" s="1059" t="str">
        <f t="shared" si="12"/>
        <v>-</v>
      </c>
      <c r="Y16" s="774">
        <f t="shared" si="12"/>
        <v>15.78</v>
      </c>
      <c r="Z16" s="769">
        <f t="shared" si="13"/>
        <v>1357.559</v>
      </c>
      <c r="AA16" s="774">
        <f t="shared" si="13"/>
        <v>1291.78</v>
      </c>
      <c r="AB16" s="775"/>
      <c r="AC16" s="776">
        <f t="shared" si="14"/>
        <v>0.56896551724137934</v>
      </c>
      <c r="AD16" s="777">
        <f t="shared" si="15"/>
        <v>0.43103448275862066</v>
      </c>
      <c r="AE16" s="778" t="str">
        <f t="shared" si="16"/>
        <v>TSX:NGD_2023_NEO3</v>
      </c>
      <c r="AF16" s="778"/>
      <c r="AG16" s="782" t="str" cm="1">
        <f t="array" ref="AG16">IFERROR(INDEX('Import 2023 Data'!$E$4:$I$113,_xlfn.XMATCH('NEO5'!$AE17,'Import 2023 Data'!$C$4:$C$113),_xlfn.XMATCH('NEO5'!AG$5,'Import 2023 Data'!$E$3:$I$3)),"-")</f>
        <v>Eldorado Gold Corporation</v>
      </c>
      <c r="AH16" s="778" t="str" cm="1">
        <f t="array" ref="AH16">IFERROR(INDEX('Import 2023 Data'!$E$4:$I$113,_xlfn.XMATCH('NEO5'!$AE17,'Import 2023 Data'!$C$4:$C$113),_xlfn.XMATCH('NEO5'!AH$5,'Import 2023 Data'!$E$3:$I$3)),"-")</f>
        <v>Paul Ferneyhough</v>
      </c>
      <c r="AI16" s="783" t="str">
        <f>IF(ISNUMBER(_xlfn.XMATCH(C16,'Import 2023 Data'!$E$4:$E$113)),"N","Y")</f>
        <v>N</v>
      </c>
      <c r="AJ16" s="783" t="str">
        <f t="shared" si="17"/>
        <v>Y</v>
      </c>
      <c r="AK16" s="778" t="str" cm="1">
        <f t="array" ref="AK16">IFERROR(INDEX('Import 2023 Data'!$E$4:$I$113,_xlfn.XMATCH('NEO5'!$AE17,'Import 2023 Data'!$C$4:$C$113),_xlfn.XMATCH('NEO5'!AK$5,'Import 2023 Data'!$E$3:$I$3)),"-")</f>
        <v>SVP and Chief Strategy &amp; Commercial Officer</v>
      </c>
      <c r="AL16" s="893" cm="1">
        <f t="array" ref="AL16">IFERROR(INDEX('Import 2023 Data'!$E$4:$I$113,_xlfn.XMATCH('NEO5'!$AE16,'Import 2023 Data'!$C$4:$C$113),_xlfn.XMATCH('NEO5'!AL$5,'Import 2023 Data'!$E$3:$I$3)),"-")</f>
        <v>1166.2260000000001</v>
      </c>
      <c r="AM16" s="894" cm="1">
        <f t="array" ref="AM16">IFERROR(INDEX('Import 2023 Data'!$E$4:$I$113,_xlfn.XMATCH('NEO5'!$AE16,'Import 2023 Data'!$C$4:$C$113),_xlfn.XMATCH('NEO5'!AM$5,'Import 2023 Data'!$E$3:$I$3)),"-")</f>
        <v>1111.5</v>
      </c>
      <c r="AN16" s="733" t="str">
        <f t="shared" si="18"/>
        <v>-</v>
      </c>
    </row>
    <row r="17" spans="1:40" ht="19.5" customHeight="1">
      <c r="A17" s="12" t="str">
        <f t="shared" si="0"/>
        <v>TSX:ELD_2024_NEO3</v>
      </c>
      <c r="B17" s="12" t="str">
        <f>'Raw Data'!D14</f>
        <v>TSX:ELD</v>
      </c>
      <c r="C17" s="766" t="str">
        <f t="shared" si="1"/>
        <v>Eldorado Gold Corporation</v>
      </c>
      <c r="D17" s="767">
        <f>_xll.ciqfunctions.udf.CIQ(B17, "IQ_MARKETCAP", $A$1,$A$2)</f>
        <v>5759.9111199999998</v>
      </c>
      <c r="E17" s="767">
        <f>_xll.ciqfunctions.udf.CIQ($B17, "IQ_TEV", $A$1,$A$2)</f>
        <v>5657.0414199999996</v>
      </c>
      <c r="F17" s="768" t="str">
        <f t="shared" si="2"/>
        <v>Frank Herbert</v>
      </c>
      <c r="G17" s="768" t="str">
        <f t="shared" si="2"/>
        <v>EVP, General Counsel &amp; Chief Compliance Officer</v>
      </c>
      <c r="H17" s="767" t="str">
        <f t="shared" si="3"/>
        <v>-</v>
      </c>
      <c r="I17" s="767">
        <f t="shared" si="3"/>
        <v>473.3</v>
      </c>
      <c r="J17" s="769">
        <f t="shared" si="3"/>
        <v>435.41199999999998</v>
      </c>
      <c r="K17" s="770">
        <f t="shared" si="4"/>
        <v>0.91994929220367627</v>
      </c>
      <c r="L17" s="770">
        <f t="shared" si="4"/>
        <v>0.94397464610183812</v>
      </c>
      <c r="M17" s="771">
        <f t="shared" si="5"/>
        <v>378.64</v>
      </c>
      <c r="N17" s="772">
        <f t="shared" si="6"/>
        <v>0.8</v>
      </c>
      <c r="O17" s="769">
        <f t="shared" si="7"/>
        <v>908.71199999999999</v>
      </c>
      <c r="P17" s="773">
        <f t="shared" si="7"/>
        <v>851.94</v>
      </c>
      <c r="Q17" s="769">
        <f t="shared" si="7"/>
        <v>709.93299999999999</v>
      </c>
      <c r="R17" s="770">
        <f t="shared" si="8"/>
        <v>1.4999640819776041</v>
      </c>
      <c r="S17" s="770">
        <f t="shared" si="8"/>
        <v>1.499950929877691</v>
      </c>
      <c r="T17" s="771">
        <f t="shared" si="9"/>
        <v>709.95</v>
      </c>
      <c r="U17" s="772">
        <f t="shared" si="10"/>
        <v>1.5</v>
      </c>
      <c r="V17" s="769">
        <f t="shared" si="11"/>
        <v>1618.645</v>
      </c>
      <c r="W17" s="774">
        <f t="shared" si="11"/>
        <v>1561.89</v>
      </c>
      <c r="X17" s="1059">
        <f t="shared" si="12"/>
        <v>85.188999999999993</v>
      </c>
      <c r="Y17" s="774" t="str">
        <f t="shared" si="12"/>
        <v>-</v>
      </c>
      <c r="Z17" s="769">
        <f t="shared" si="13"/>
        <v>1703.8340000000001</v>
      </c>
      <c r="AA17" s="774">
        <f t="shared" si="13"/>
        <v>1647.079</v>
      </c>
      <c r="AB17" s="775"/>
      <c r="AC17" s="776">
        <f t="shared" si="14"/>
        <v>0.54545454545454541</v>
      </c>
      <c r="AD17" s="777">
        <f t="shared" si="15"/>
        <v>0.45454545454545453</v>
      </c>
      <c r="AE17" s="778" t="str">
        <f t="shared" si="16"/>
        <v>TSX:ELD_2023_NEO3</v>
      </c>
      <c r="AF17" s="778"/>
      <c r="AG17" s="782" t="str" cm="1">
        <f t="array" ref="AG17">IFERROR(INDEX('Import 2023 Data'!$E$4:$I$113,_xlfn.XMATCH('NEO5'!$AE16,'Import 2023 Data'!$C$4:$C$113),_xlfn.XMATCH('NEO5'!AG$5,'Import 2023 Data'!$E$3:$I$3)),"-")</f>
        <v>New Gold Inc.</v>
      </c>
      <c r="AH17" s="778" t="str" cm="1">
        <f t="array" ref="AH17">IFERROR(INDEX('Import 2023 Data'!$E$4:$I$113,_xlfn.XMATCH('NEO5'!$AE16,'Import 2023 Data'!$C$4:$C$113),_xlfn.XMATCH('NEO5'!AH$5,'Import 2023 Data'!$E$3:$I$3)),"-")</f>
        <v xml:space="preserve">Sean Keating </v>
      </c>
      <c r="AI17" s="783" t="str">
        <f>IF(ISNUMBER(_xlfn.XMATCH(C17,'Import 2023 Data'!$E$4:$E$113)),"N","Y")</f>
        <v>N</v>
      </c>
      <c r="AJ17" s="783" t="str">
        <f t="shared" si="17"/>
        <v>Y</v>
      </c>
      <c r="AK17" s="778" t="str" cm="1">
        <f t="array" ref="AK17">IFERROR(INDEX('Import 2023 Data'!$E$4:$I$113,_xlfn.XMATCH('NEO5'!$AE16,'Import 2023 Data'!$C$4:$C$113),_xlfn.XMATCH('NEO5'!AK$5,'Import 2023 Data'!$E$3:$I$3)),"-")</f>
        <v xml:space="preserve">VP, General Counsel and Corporate Secretary </v>
      </c>
      <c r="AL17" s="893" cm="1">
        <f t="array" ref="AL17">IFERROR(INDEX('Import 2023 Data'!$E$4:$I$113,_xlfn.XMATCH('NEO5'!$AE17,'Import 2023 Data'!$C$4:$C$113),_xlfn.XMATCH('NEO5'!AL$5,'Import 2023 Data'!$E$3:$I$3)),"-")</f>
        <v>1345.5730000000001</v>
      </c>
      <c r="AM17" s="894" cm="1">
        <f t="array" ref="AM17">IFERROR(INDEX('Import 2023 Data'!$E$4:$I$113,_xlfn.XMATCH('NEO5'!$AE17,'Import 2023 Data'!$C$4:$C$113),_xlfn.XMATCH('NEO5'!AM$5,'Import 2023 Data'!$E$3:$I$3)),"-")</f>
        <v>1341.912</v>
      </c>
      <c r="AN17" s="733" t="str">
        <f t="shared" si="18"/>
        <v>-</v>
      </c>
    </row>
    <row r="18" spans="1:40" ht="19.5" customHeight="1">
      <c r="A18" s="12" t="str">
        <f t="shared" si="0"/>
        <v>TSX:SSRM_2024_NEO3</v>
      </c>
      <c r="B18" s="12" t="str">
        <f>'Raw Data'!D15</f>
        <v>TSX:SSRM</v>
      </c>
      <c r="C18" s="766" t="str">
        <f t="shared" si="1"/>
        <v>SSR Mining Inc.</v>
      </c>
      <c r="D18" s="767">
        <f>_xll.ciqfunctions.udf.CIQ(B18, "IQ_MARKETCAP", $A$1,$A$2)</f>
        <v>3530.3646100000001</v>
      </c>
      <c r="E18" s="767">
        <f>_xll.ciqfunctions.udf.CIQ($B18, "IQ_TEV", $A$1,$A$2)</f>
        <v>4740.9122799999996</v>
      </c>
      <c r="F18" s="768" t="str">
        <f t="shared" si="2"/>
        <v>John Ebbett</v>
      </c>
      <c r="G18" s="768" t="str">
        <f t="shared" si="2"/>
        <v>EVP, Growth and Innovation</v>
      </c>
      <c r="H18" s="767" t="str">
        <f t="shared" si="3"/>
        <v>-</v>
      </c>
      <c r="I18" s="767">
        <f t="shared" si="3"/>
        <v>671.38330000000008</v>
      </c>
      <c r="J18" s="769">
        <f t="shared" si="3"/>
        <v>458.21910225000005</v>
      </c>
      <c r="K18" s="770">
        <f t="shared" si="4"/>
        <v>0.6825</v>
      </c>
      <c r="L18" s="770">
        <f t="shared" si="4"/>
        <v>0.64901999999999993</v>
      </c>
      <c r="M18" s="771">
        <f t="shared" si="5"/>
        <v>503.53747500000003</v>
      </c>
      <c r="N18" s="772">
        <f t="shared" si="6"/>
        <v>0.75</v>
      </c>
      <c r="O18" s="769">
        <f t="shared" si="7"/>
        <v>1129.6024022500001</v>
      </c>
      <c r="P18" s="773">
        <f t="shared" si="7"/>
        <v>1174.920775</v>
      </c>
      <c r="Q18" s="769">
        <f t="shared" si="7"/>
        <v>1007.0749500000001</v>
      </c>
      <c r="R18" s="770">
        <f t="shared" si="8"/>
        <v>1.5</v>
      </c>
      <c r="S18" s="770">
        <f t="shared" si="8"/>
        <v>1.5</v>
      </c>
      <c r="T18" s="771">
        <f t="shared" si="9"/>
        <v>1007.0749500000001</v>
      </c>
      <c r="U18" s="772">
        <f t="shared" si="10"/>
        <v>1.5</v>
      </c>
      <c r="V18" s="769">
        <f t="shared" si="11"/>
        <v>2136.6773522499998</v>
      </c>
      <c r="W18" s="774">
        <f t="shared" si="11"/>
        <v>2181.9957250000002</v>
      </c>
      <c r="X18" s="1059">
        <f t="shared" si="12"/>
        <v>37.816692000000003</v>
      </c>
      <c r="Y18" s="774" t="str">
        <f t="shared" si="12"/>
        <v>-</v>
      </c>
      <c r="Z18" s="769">
        <f t="shared" si="13"/>
        <v>2174.4940442499997</v>
      </c>
      <c r="AA18" s="774">
        <f t="shared" si="13"/>
        <v>2219.8124170000001</v>
      </c>
      <c r="AB18" s="775"/>
      <c r="AC18" s="776">
        <f t="shared" si="14"/>
        <v>0.53846153846153844</v>
      </c>
      <c r="AD18" s="777">
        <f t="shared" si="15"/>
        <v>0.46153846153846151</v>
      </c>
      <c r="AE18" s="778" t="str">
        <f t="shared" si="16"/>
        <v>TSX:SSRM_2023_NEO3</v>
      </c>
      <c r="AF18" s="778"/>
      <c r="AG18" s="782" t="str" cm="1">
        <f t="array" ref="AG18">IFERROR(INDEX('Import 2023 Data'!$E$4:$I$113,_xlfn.XMATCH('NEO5'!$AE18,'Import 2023 Data'!$C$4:$C$113),_xlfn.XMATCH('NEO5'!AG$5,'Import 2023 Data'!$E$3:$I$3)),"-")</f>
        <v>SSR Mining Inc.</v>
      </c>
      <c r="AH18" s="778" t="str" cm="1">
        <f t="array" ref="AH18">IFERROR(INDEX('Import 2023 Data'!$E$4:$I$113,_xlfn.XMATCH('NEO5'!$AE18,'Import 2023 Data'!$C$4:$C$113),_xlfn.XMATCH('NEO5'!AH$5,'Import 2023 Data'!$E$3:$I$3)),"-")</f>
        <v>Bill MacNevin</v>
      </c>
      <c r="AI18" s="783" t="str">
        <f>IF(ISNUMBER(_xlfn.XMATCH(C18,'Import 2023 Data'!$E$4:$E$113)),"N","Y")</f>
        <v>N</v>
      </c>
      <c r="AJ18" s="783" t="str">
        <f t="shared" si="17"/>
        <v>Y</v>
      </c>
      <c r="AK18" s="778" t="str" cm="1">
        <f t="array" ref="AK18">IFERROR(INDEX('Import 2023 Data'!$E$4:$I$113,_xlfn.XMATCH('NEO5'!$AE18,'Import 2023 Data'!$C$4:$C$113),_xlfn.XMATCH('NEO5'!AK$5,'Import 2023 Data'!$E$3:$I$3)),"-")</f>
        <v xml:space="preserve">EVP Operations and Sustainability </v>
      </c>
      <c r="AL18" s="893" cm="1">
        <f t="array" ref="AL18">IFERROR(INDEX('Import 2023 Data'!$E$4:$I$113,_xlfn.XMATCH('NEO5'!$AE18,'Import 2023 Data'!$C$4:$C$113),_xlfn.XMATCH('NEO5'!AL$5,'Import 2023 Data'!$E$3:$I$3)),"-")</f>
        <v>2223.3280133399999</v>
      </c>
      <c r="AM18" s="894" cm="1">
        <f t="array" ref="AM18">IFERROR(INDEX('Import 2023 Data'!$E$4:$I$113,_xlfn.XMATCH('NEO5'!$AE18,'Import 2023 Data'!$C$4:$C$113),_xlfn.XMATCH('NEO5'!AM$5,'Import 2023 Data'!$E$3:$I$3)),"-")</f>
        <v>2302.6526250000002</v>
      </c>
      <c r="AN18" s="733" t="str">
        <f t="shared" si="18"/>
        <v>-</v>
      </c>
    </row>
    <row r="19" spans="1:40" ht="19.5" customHeight="1">
      <c r="A19" s="12" t="str">
        <f t="shared" si="0"/>
        <v>TSX:OGC
_2024_NEO3</v>
      </c>
      <c r="B19" s="12" t="str">
        <f>'Raw Data'!D16</f>
        <v xml:space="preserve">TSX:OGC
</v>
      </c>
      <c r="C19" s="766" t="str">
        <f t="shared" si="1"/>
        <v>OceanaGold Corporation</v>
      </c>
      <c r="D19" s="767">
        <f>_xll.ciqfunctions.udf.CIQ(B19, "IQ_MARKETCAP", $A$1,$A$2)</f>
        <v>4453.8089300000001</v>
      </c>
      <c r="E19" s="767">
        <f>_xll.ciqfunctions.udf.CIQ($B19, "IQ_TEV", $A$1,$A$2)</f>
        <v>4363.2558799999997</v>
      </c>
      <c r="F19" s="768" t="str">
        <f t="shared" si="2"/>
        <v>Michelle Du Plessis</v>
      </c>
      <c r="G19" s="768" t="str">
        <f t="shared" si="2"/>
        <v>EVP, Chief People &amp; Technology Officer</v>
      </c>
      <c r="H19" s="767" t="str">
        <f t="shared" si="3"/>
        <v>-</v>
      </c>
      <c r="I19" s="767">
        <f t="shared" si="3"/>
        <v>448.74163636000009</v>
      </c>
      <c r="J19" s="769">
        <f t="shared" si="3"/>
        <v>218.81751917000003</v>
      </c>
      <c r="K19" s="770">
        <f t="shared" si="4"/>
        <v>0.48762472977759319</v>
      </c>
      <c r="L19" s="770">
        <f t="shared" si="4"/>
        <v>0.48762472977759319</v>
      </c>
      <c r="M19" s="771">
        <f t="shared" si="5"/>
        <v>269.24498181600001</v>
      </c>
      <c r="N19" s="772">
        <f t="shared" si="6"/>
        <v>0.6</v>
      </c>
      <c r="O19" s="769">
        <f t="shared" si="7"/>
        <v>667.55915553000011</v>
      </c>
      <c r="P19" s="773">
        <f t="shared" si="7"/>
        <v>717.98661817600009</v>
      </c>
      <c r="Q19" s="769">
        <f t="shared" si="7"/>
        <v>1218.5839823900001</v>
      </c>
      <c r="R19" s="770">
        <f t="shared" si="8"/>
        <v>2.7155580932374166</v>
      </c>
      <c r="S19" s="770">
        <f t="shared" si="8"/>
        <v>1.7076502702997196</v>
      </c>
      <c r="T19" s="771">
        <f t="shared" si="9"/>
        <v>766.29377662489264</v>
      </c>
      <c r="U19" s="772">
        <f t="shared" si="10"/>
        <v>1.7076502702997196</v>
      </c>
      <c r="V19" s="769">
        <f t="shared" si="11"/>
        <v>1886.1431379200001</v>
      </c>
      <c r="W19" s="774">
        <f t="shared" si="11"/>
        <v>1484.2803948008925</v>
      </c>
      <c r="X19" s="1059">
        <f t="shared" si="12"/>
        <v>25.896213000000003</v>
      </c>
      <c r="Y19" s="774" t="str">
        <f t="shared" si="12"/>
        <v>-</v>
      </c>
      <c r="Z19" s="769">
        <f t="shared" si="13"/>
        <v>1912.0393509200001</v>
      </c>
      <c r="AA19" s="774">
        <f t="shared" si="13"/>
        <v>1510.1766078008925</v>
      </c>
      <c r="AB19" s="775"/>
      <c r="AC19" s="776">
        <f t="shared" si="14"/>
        <v>0.48372707790990782</v>
      </c>
      <c r="AD19" s="777">
        <f t="shared" si="15"/>
        <v>0.51627292209009235</v>
      </c>
      <c r="AE19" s="778" t="str">
        <f t="shared" si="16"/>
        <v>TSX:OGC
_2023_NEO3</v>
      </c>
      <c r="AF19" s="778"/>
      <c r="AG19" s="782" t="str" cm="1">
        <f t="array" ref="AG19">IFERROR(INDEX('Import 2023 Data'!$E$4:$I$113,_xlfn.XMATCH('NEO5'!$AE19,'Import 2023 Data'!$C$4:$C$113),_xlfn.XMATCH('NEO5'!AG$5,'Import 2023 Data'!$E$3:$I$3)),"-")</f>
        <v>-</v>
      </c>
      <c r="AH19" s="778" t="str" cm="1">
        <f t="array" ref="AH19">IFERROR(INDEX('Import 2023 Data'!$E$4:$I$113,_xlfn.XMATCH('NEO5'!$AE19,'Import 2023 Data'!$C$4:$C$113),_xlfn.XMATCH('NEO5'!AH$5,'Import 2023 Data'!$E$3:$I$3)),"-")</f>
        <v>-</v>
      </c>
      <c r="AI19" s="783" t="str">
        <f>IF(ISNUMBER(_xlfn.XMATCH(C19,'Import 2023 Data'!$E$4:$E$113)),"N","Y")</f>
        <v>N</v>
      </c>
      <c r="AJ19" s="783" t="str">
        <f t="shared" si="17"/>
        <v>Y</v>
      </c>
      <c r="AK19" s="778" t="str" cm="1">
        <f t="array" ref="AK19">IFERROR(INDEX('Import 2023 Data'!$E$4:$I$113,_xlfn.XMATCH('NEO5'!$AE19,'Import 2023 Data'!$C$4:$C$113),_xlfn.XMATCH('NEO5'!AK$5,'Import 2023 Data'!$E$3:$I$3)),"-")</f>
        <v>-</v>
      </c>
      <c r="AL19" s="893" t="str" cm="1">
        <f t="array" ref="AL19">IFERROR(INDEX('Import 2023 Data'!$E$4:$I$113,_xlfn.XMATCH('NEO5'!$AE19,'Import 2023 Data'!$C$4:$C$113),_xlfn.XMATCH('NEO5'!AL$5,'Import 2023 Data'!$E$3:$I$3)),"-")</f>
        <v>-</v>
      </c>
      <c r="AM19" s="894" t="str" cm="1">
        <f t="array" ref="AM19">IFERROR(INDEX('Import 2023 Data'!$E$4:$I$113,_xlfn.XMATCH('NEO5'!$AE19,'Import 2023 Data'!$C$4:$C$113),_xlfn.XMATCH('NEO5'!AM$5,'Import 2023 Data'!$E$3:$I$3)),"-")</f>
        <v>-</v>
      </c>
      <c r="AN19" s="733" t="str">
        <f t="shared" si="18"/>
        <v>-</v>
      </c>
    </row>
    <row r="20" spans="1:40" ht="19.5" customHeight="1">
      <c r="A20" s="12" t="str">
        <f t="shared" si="0"/>
        <v>TSX:ERO_2024_NEO3</v>
      </c>
      <c r="B20" s="12" t="str">
        <f>'Raw Data'!D17</f>
        <v>TSX:ERO</v>
      </c>
      <c r="C20" s="766" t="str">
        <f t="shared" si="1"/>
        <v>Ero Copper Corp.</v>
      </c>
      <c r="D20" s="767">
        <f>_xll.ciqfunctions.udf.CIQ(B20, "IQ_MARKETCAP", $A$1,$A$2)</f>
        <v>2080.7628100000002</v>
      </c>
      <c r="E20" s="767">
        <f>_xll.ciqfunctions.udf.CIQ($B20, "IQ_TEV", $A$1,$A$2)</f>
        <v>2927.2829099999999</v>
      </c>
      <c r="F20" s="768" t="str">
        <f t="shared" si="2"/>
        <v>Courtney Lynn</v>
      </c>
      <c r="G20" s="768" t="str">
        <f t="shared" si="2"/>
        <v>SVP, Corp. Dev., IR &amp; Sustain.</v>
      </c>
      <c r="H20" s="767" t="str">
        <f t="shared" si="3"/>
        <v>-</v>
      </c>
      <c r="I20" s="767">
        <f t="shared" si="3"/>
        <v>472.70865000000003</v>
      </c>
      <c r="J20" s="769">
        <f t="shared" si="3"/>
        <v>230.44615196000001</v>
      </c>
      <c r="K20" s="770">
        <f t="shared" si="4"/>
        <v>0.48750144927536232</v>
      </c>
      <c r="L20" s="770">
        <f t="shared" si="4"/>
        <v>0.61212521427458311</v>
      </c>
      <c r="M20" s="771">
        <f t="shared" si="5"/>
        <v>354.53148750000003</v>
      </c>
      <c r="N20" s="772">
        <f t="shared" si="6"/>
        <v>0.75</v>
      </c>
      <c r="O20" s="769">
        <f t="shared" si="7"/>
        <v>703.1548019600001</v>
      </c>
      <c r="P20" s="773">
        <f t="shared" si="7"/>
        <v>827.24013750000006</v>
      </c>
      <c r="Q20" s="769">
        <f t="shared" si="7"/>
        <v>683.91624499</v>
      </c>
      <c r="R20" s="770">
        <f t="shared" si="8"/>
        <v>1.4468028985507246</v>
      </c>
      <c r="S20" s="770">
        <f t="shared" si="8"/>
        <v>1.4837587412042532</v>
      </c>
      <c r="T20" s="771">
        <f t="shared" si="9"/>
        <v>701.385591480362</v>
      </c>
      <c r="U20" s="772">
        <f t="shared" si="10"/>
        <v>1.4837587412042532</v>
      </c>
      <c r="V20" s="769">
        <f t="shared" si="11"/>
        <v>1387.0710469500002</v>
      </c>
      <c r="W20" s="774">
        <f t="shared" si="11"/>
        <v>1528.6257289803621</v>
      </c>
      <c r="X20" s="1059" t="str">
        <f t="shared" si="12"/>
        <v>-</v>
      </c>
      <c r="Y20" s="774">
        <f t="shared" si="12"/>
        <v>0.41927202000000008</v>
      </c>
      <c r="Z20" s="769">
        <f t="shared" si="13"/>
        <v>1387.4903189700001</v>
      </c>
      <c r="AA20" s="774">
        <f t="shared" si="13"/>
        <v>1529.0450010003619</v>
      </c>
      <c r="AB20" s="775"/>
      <c r="AC20" s="776">
        <f t="shared" si="14"/>
        <v>0.54116591250350954</v>
      </c>
      <c r="AD20" s="777">
        <f t="shared" si="15"/>
        <v>0.45883408749649046</v>
      </c>
      <c r="AE20" s="778" t="str">
        <f t="shared" si="16"/>
        <v>TSX:ERO_2023_NEO3</v>
      </c>
      <c r="AF20" s="778"/>
      <c r="AG20" s="782" t="str" cm="1">
        <f t="array" ref="AG20">IFERROR(INDEX('Import 2023 Data'!$E$4:$I$113,_xlfn.XMATCH('NEO5'!$AE20,'Import 2023 Data'!$C$4:$C$113),_xlfn.XMATCH('NEO5'!AG$5,'Import 2023 Data'!$E$3:$I$3)),"-")</f>
        <v>Ero Copper Corp.</v>
      </c>
      <c r="AH20" s="778" t="str" cm="1">
        <f t="array" ref="AH20">IFERROR(INDEX('Import 2023 Data'!$E$4:$I$113,_xlfn.XMATCH('NEO5'!$AE20,'Import 2023 Data'!$C$4:$C$113),_xlfn.XMATCH('NEO5'!AH$5,'Import 2023 Data'!$E$3:$I$3)),"-")</f>
        <v xml:space="preserve">Deepk Hundal </v>
      </c>
      <c r="AI20" s="783" t="str">
        <f>IF(ISNUMBER(_xlfn.XMATCH(C20,'Import 2023 Data'!$E$4:$E$113)),"N","Y")</f>
        <v>N</v>
      </c>
      <c r="AJ20" s="783" t="str">
        <f t="shared" si="17"/>
        <v>Y</v>
      </c>
      <c r="AK20" s="778" t="str" cm="1">
        <f t="array" ref="AK20">IFERROR(INDEX('Import 2023 Data'!$E$4:$I$113,_xlfn.XMATCH('NEO5'!$AE20,'Import 2023 Data'!$C$4:$C$113),_xlfn.XMATCH('NEO5'!AK$5,'Import 2023 Data'!$E$3:$I$3)),"-")</f>
        <v xml:space="preserve">SVP, General Counsel  </v>
      </c>
      <c r="AL20" s="893" cm="1">
        <f t="array" ref="AL20">IFERROR(INDEX('Import 2023 Data'!$E$4:$I$113,_xlfn.XMATCH('NEO5'!$AE20,'Import 2023 Data'!$C$4:$C$113),_xlfn.XMATCH('NEO5'!AL$5,'Import 2023 Data'!$E$3:$I$3)),"-")</f>
        <v>1649.8666315999999</v>
      </c>
      <c r="AM20" s="894" cm="1">
        <f t="array" ref="AM20">IFERROR(INDEX('Import 2023 Data'!$E$4:$I$113,_xlfn.XMATCH('NEO5'!$AE20,'Import 2023 Data'!$C$4:$C$113),_xlfn.XMATCH('NEO5'!AM$5,'Import 2023 Data'!$E$3:$I$3)),"-")</f>
        <v>1468.265309161</v>
      </c>
      <c r="AN20" s="733" t="str">
        <f t="shared" si="18"/>
        <v>-</v>
      </c>
    </row>
    <row r="21" spans="1:40" ht="19.5" customHeight="1">
      <c r="A21" s="12" t="str">
        <f t="shared" si="0"/>
        <v>TSX:CG_2024_NEO3</v>
      </c>
      <c r="B21" s="12" t="str">
        <f>'Raw Data'!D18</f>
        <v>TSX:CG</v>
      </c>
      <c r="C21" s="766" t="str">
        <f t="shared" si="1"/>
        <v>Centerra Gold Inc.</v>
      </c>
      <c r="D21" s="767">
        <f>_xll.ciqfunctions.udf.CIQ(B21, "IQ_MARKETCAP", $A$1,$A$2)</f>
        <v>2054.8528000000001</v>
      </c>
      <c r="E21" s="767">
        <f>_xll.ciqfunctions.udf.CIQ($B21, "IQ_TEV", $A$1,$A$2)</f>
        <v>1190.4233200000001</v>
      </c>
      <c r="F21" s="768" t="str">
        <f t="shared" si="2"/>
        <v>Claudio D'Orazio</v>
      </c>
      <c r="G21" s="768" t="str">
        <f t="shared" si="2"/>
        <v>EVP, People, Technology &amp; Supply Chain</v>
      </c>
      <c r="H21" s="767" t="str">
        <f t="shared" si="3"/>
        <v>-</v>
      </c>
      <c r="I21" s="767">
        <f t="shared" si="3"/>
        <v>430</v>
      </c>
      <c r="J21" s="769">
        <f t="shared" si="3"/>
        <v>311.64299999999997</v>
      </c>
      <c r="K21" s="770">
        <f t="shared" si="4"/>
        <v>0.72475116279069762</v>
      </c>
      <c r="L21" s="770">
        <f t="shared" si="4"/>
        <v>0.67837519379844968</v>
      </c>
      <c r="M21" s="771">
        <f t="shared" si="5"/>
        <v>279.5</v>
      </c>
      <c r="N21" s="772">
        <f t="shared" si="6"/>
        <v>0.65</v>
      </c>
      <c r="O21" s="769">
        <f t="shared" si="7"/>
        <v>741.64300000000003</v>
      </c>
      <c r="P21" s="773">
        <f t="shared" si="7"/>
        <v>709.5</v>
      </c>
      <c r="Q21" s="769">
        <f t="shared" si="7"/>
        <v>688.00000000000023</v>
      </c>
      <c r="R21" s="770">
        <f t="shared" si="8"/>
        <v>1.6000000000000005</v>
      </c>
      <c r="S21" s="770">
        <f t="shared" si="8"/>
        <v>1.6000000000000005</v>
      </c>
      <c r="T21" s="771">
        <f t="shared" si="9"/>
        <v>688</v>
      </c>
      <c r="U21" s="772">
        <f t="shared" si="10"/>
        <v>1.6</v>
      </c>
      <c r="V21" s="769">
        <f t="shared" si="11"/>
        <v>1429.6430000000003</v>
      </c>
      <c r="W21" s="774">
        <f t="shared" si="11"/>
        <v>1397.5</v>
      </c>
      <c r="X21" s="1059">
        <f t="shared" si="12"/>
        <v>85.14</v>
      </c>
      <c r="Y21" s="774">
        <f t="shared" si="12"/>
        <v>39.808999999999997</v>
      </c>
      <c r="Z21" s="769">
        <f t="shared" si="13"/>
        <v>1554.5920000000003</v>
      </c>
      <c r="AA21" s="774">
        <f t="shared" si="13"/>
        <v>1522.4490000000001</v>
      </c>
      <c r="AB21" s="775"/>
      <c r="AC21" s="776">
        <f t="shared" si="14"/>
        <v>0.50769230769230766</v>
      </c>
      <c r="AD21" s="777">
        <f t="shared" si="15"/>
        <v>0.49230769230769234</v>
      </c>
      <c r="AE21" s="778" t="str">
        <f t="shared" si="16"/>
        <v>TSX:CG_2023_NEO3</v>
      </c>
      <c r="AF21" s="778"/>
      <c r="AG21" s="784" t="str" cm="1">
        <f t="array" ref="AG21">IFERROR(INDEX('Import 2023 Data'!$E$4:$I$113,_xlfn.XMATCH('NEO5'!$AE21,'Import 2023 Data'!$C$4:$C$113),_xlfn.XMATCH('NEO5'!AG$5,'Import 2023 Data'!$E$3:$I$3)),"-")</f>
        <v>Centerra Gold Inc.</v>
      </c>
      <c r="AH21" s="785" t="str" cm="1">
        <f t="array" ref="AH21">IFERROR(INDEX('Import 2023 Data'!$E$4:$I$113,_xlfn.XMATCH('NEO5'!$AE21,'Import 2023 Data'!$C$4:$C$113),_xlfn.XMATCH('NEO5'!AH$5,'Import 2023 Data'!$E$3:$I$3)),"-")</f>
        <v xml:space="preserve">Claudia D'Orazio </v>
      </c>
      <c r="AI21" s="786" t="str">
        <f>IF(ISNUMBER(_xlfn.XMATCH(C21,'Import 2023 Data'!$E$4:$E$113)),"N","Y")</f>
        <v>N</v>
      </c>
      <c r="AJ21" s="786" t="str">
        <f t="shared" si="17"/>
        <v>Y</v>
      </c>
      <c r="AK21" s="785" t="str" cm="1">
        <f t="array" ref="AK21">IFERROR(INDEX('Import 2023 Data'!$E$4:$I$113,_xlfn.XMATCH('NEO5'!$AE21,'Import 2023 Data'!$C$4:$C$113),_xlfn.XMATCH('NEO5'!AK$5,'Import 2023 Data'!$E$3:$I$3)),"-")</f>
        <v xml:space="preserve">EVP, Human Resources and Info Tech </v>
      </c>
      <c r="AL21" s="897" cm="1">
        <f t="array" ref="AL21">IFERROR(INDEX('Import 2023 Data'!$E$4:$I$113,_xlfn.XMATCH('NEO5'!$AE21,'Import 2023 Data'!$C$4:$C$113),_xlfn.XMATCH('NEO5'!AL$5,'Import 2023 Data'!$E$3:$I$3)),"-")</f>
        <v>1408.4010000000001</v>
      </c>
      <c r="AM21" s="898" cm="1">
        <f t="array" ref="AM21">IFERROR(INDEX('Import 2023 Data'!$E$4:$I$113,_xlfn.XMATCH('NEO5'!$AE21,'Import 2023 Data'!$C$4:$C$113),_xlfn.XMATCH('NEO5'!AM$5,'Import 2023 Data'!$E$3:$I$3)),"-")</f>
        <v>1397.5</v>
      </c>
      <c r="AN21" s="733" t="str">
        <f t="shared" si="18"/>
        <v>-</v>
      </c>
    </row>
    <row r="22" spans="1:40" ht="20.25" hidden="1" customHeight="1" outlineLevel="1">
      <c r="A22" s="12" t="str">
        <f t="shared" ref="A22:A27" si="19">$B22&amp;"_"&amp;$C$3&amp;"_"&amp;$C$2</f>
        <v>0_2024_NEO3</v>
      </c>
      <c r="B22" s="12">
        <f>'Raw Data'!D19</f>
        <v>0</v>
      </c>
      <c r="C22" s="766" t="str">
        <f t="shared" ref="C22:C27" si="20">IFERROR(INDEX(Raw_Data,MATCH($A22,Look_Up,0),MATCH(C$4,Component,0)),"-")</f>
        <v>(Invalid Identifier)</v>
      </c>
      <c r="D22" s="767" t="str">
        <f>_xll.ciqfunctions.udf.CIQ(B22, "IQ_MARKETCAP", $A$1,$A$2)</f>
        <v>(Invalid Identifier)</v>
      </c>
      <c r="E22" s="767" t="str">
        <f>_xll.ciqfunctions.udf.CIQ($B22, "IQ_TEV", $A$1,$A$2)</f>
        <v>(Invalid Identifier)</v>
      </c>
      <c r="F22" s="768" t="str">
        <f t="shared" ref="F22:G27" si="21">IFERROR(INDEX(Raw_Data,MATCH($A22,Look_Up,0),MATCH(F$4,Component,0)),"-")</f>
        <v>-</v>
      </c>
      <c r="G22" s="768" t="str">
        <f t="shared" si="21"/>
        <v>-</v>
      </c>
      <c r="H22" s="767" t="str">
        <f t="shared" ref="H22:J27" si="22">IFERROR(INDEX(Raw_Data,MATCH($A22,Look_Up,0),MATCH(H$4,Component,0))/1000,"-")</f>
        <v>-</v>
      </c>
      <c r="I22" s="767" t="str">
        <f t="shared" si="22"/>
        <v>-</v>
      </c>
      <c r="J22" s="769" t="str">
        <f t="shared" si="22"/>
        <v>-</v>
      </c>
      <c r="K22" s="770" t="str">
        <f t="shared" ref="K22:L27" si="23">IFERROR(INDEX(Raw_Data,MATCH($A22,Look_Up,0),MATCH(K$4,Component,0)),"-")</f>
        <v>-</v>
      </c>
      <c r="L22" s="770" t="str">
        <f t="shared" si="23"/>
        <v>N/A</v>
      </c>
      <c r="M22" s="771" t="str">
        <f t="shared" ref="M22:M27" si="24">IFERROR(INDEX(Raw_Data,MATCH($A22,Look_Up,0),MATCH(M$4,Component,0))/1000,"-")</f>
        <v>-</v>
      </c>
      <c r="N22" s="772" t="str">
        <f t="shared" ref="N22:N27" si="25">IFERROR(IF(INDEX(Raw_Data,MATCH($A22,Look_Up,0),MATCH(N$4,Component,0))="-",L22,INDEX(Raw_Data,MATCH($A22,Look_Up,0),MATCH(N$4,Component,0))),"-")</f>
        <v>N/A</v>
      </c>
      <c r="O22" s="769" t="str">
        <f t="shared" ref="O22:Q27" si="26">IFERROR(INDEX(Raw_Data,MATCH($A22,Look_Up,0),MATCH(O$4,Component,0))/1000,"-")</f>
        <v>-</v>
      </c>
      <c r="P22" s="773" t="str">
        <f t="shared" si="26"/>
        <v>-</v>
      </c>
      <c r="Q22" s="769" t="str">
        <f t="shared" si="26"/>
        <v>-</v>
      </c>
      <c r="R22" s="770" t="str">
        <f t="shared" ref="R22:S27" si="27">IFERROR(INDEX(Raw_Data,MATCH($A22,Look_Up,0),MATCH(R$4,Component,0)),"-")</f>
        <v>-</v>
      </c>
      <c r="S22" s="770" t="str">
        <f t="shared" si="27"/>
        <v>N/A</v>
      </c>
      <c r="T22" s="771" t="str">
        <f t="shared" ref="T22:T27" si="28">IFERROR(INDEX(Raw_Data,MATCH($A22,Look_Up,0),MATCH(T$4,Component,0))/1000,"-")</f>
        <v>-</v>
      </c>
      <c r="U22" s="772" t="str">
        <f t="shared" ref="U22:U27" si="29">IFERROR(IF(INDEX(Raw_Data,MATCH($A22,Look_Up,0),MATCH(U$4,Component,0))="-",S22,INDEX(Raw_Data,MATCH($A22,Look_Up,0),MATCH(U$4,Component,0))),"-")</f>
        <v>N/A</v>
      </c>
      <c r="V22" s="769" t="str">
        <f t="shared" ref="V22:AA27" si="30">IFERROR(INDEX(Raw_Data,MATCH($A22,Look_Up,0),MATCH(V$4,Component,0))/1000,"-")</f>
        <v>-</v>
      </c>
      <c r="W22" s="774" t="str">
        <f t="shared" si="30"/>
        <v>-</v>
      </c>
      <c r="X22" s="1059" t="str">
        <f t="shared" ref="X22:Y27" si="31">IFERROR((INDEX(Raw_Data,MATCH($A22,Look_Up,0),MATCH(X$4,Component,0))/1000),"-")</f>
        <v>-</v>
      </c>
      <c r="Y22" s="774" t="str">
        <f t="shared" si="31"/>
        <v>-</v>
      </c>
      <c r="Z22" s="769" t="str">
        <f t="shared" si="30"/>
        <v>-</v>
      </c>
      <c r="AA22" s="774" t="str">
        <f t="shared" si="30"/>
        <v>-</v>
      </c>
      <c r="AB22" s="775"/>
      <c r="AC22" s="776"/>
      <c r="AD22" s="777"/>
      <c r="AE22" s="778" t="str">
        <f t="shared" ref="AE22:AE27" si="32">B22&amp;"_"&amp;$AE$6&amp;"_"&amp;$C$2</f>
        <v>0_2023_NEO3</v>
      </c>
      <c r="AF22" s="778"/>
      <c r="AG22" s="782" t="str" cm="1">
        <f t="array" ref="AG22">IFERROR(INDEX('Import 2023 Data'!$E$4:$I$113,_xlfn.XMATCH('NEO5'!$AE22,'Import 2023 Data'!$C$4:$C$113),_xlfn.XMATCH('NEO5'!AG$5,'Import 2023 Data'!$E$3:$I$3)),"-")</f>
        <v>-</v>
      </c>
      <c r="AH22" s="778" t="str" cm="1">
        <f t="array" ref="AH22">IFERROR(INDEX('Import 2023 Data'!$E$4:$I$113,_xlfn.XMATCH('NEO5'!$AE22,'Import 2023 Data'!$C$4:$C$113),_xlfn.XMATCH('NEO5'!AH$5,'Import 2023 Data'!$E$3:$I$3)),"-")</f>
        <v>-</v>
      </c>
      <c r="AI22" s="778"/>
      <c r="AJ22" s="783" t="str">
        <f t="shared" ref="AJ22:AJ27" si="33">IFERROR(IF(TRIM(LOWER(AH22))=TRIM(LOWER(F22)),"N","Y"),"-")</f>
        <v>N</v>
      </c>
      <c r="AK22" s="778" t="str" cm="1">
        <f t="array" ref="AK22">IFERROR(INDEX('Import 2023 Data'!$E$4:$I$113,_xlfn.XMATCH('NEO5'!$AE22,'Import 2023 Data'!$C$4:$C$113),_xlfn.XMATCH('NEO5'!AK$5,'Import 2023 Data'!$E$3:$I$3)),"-")</f>
        <v>-</v>
      </c>
      <c r="AL22" s="775" t="str" cm="1">
        <f t="array" ref="AL22">IFERROR(INDEX('Import 2023 Data'!$E$4:$I$113,_xlfn.XMATCH('NEO5'!$AE22,'Import 2023 Data'!$C$4:$C$113),_xlfn.XMATCH('NEO5'!AL$5,'Import 2023 Data'!$E$3:$I$3)),"-")</f>
        <v>-</v>
      </c>
      <c r="AM22" s="775" t="str" cm="1">
        <f t="array" ref="AM22">IFERROR(INDEX('Import 2023 Data'!$E$4:$I$113,_xlfn.XMATCH('NEO5'!$AE22,'Import 2023 Data'!$C$4:$C$113),_xlfn.XMATCH('NEO5'!AM$5,'Import 2023 Data'!$E$3:$I$3)),"-")</f>
        <v>-</v>
      </c>
      <c r="AN22" s="505" t="str">
        <f t="shared" ref="AN22:AN27" si="34">IFERROR(IF(AJ22="Y","New Incumbent",W22/AM22-1),"-")</f>
        <v>-</v>
      </c>
    </row>
    <row r="23" spans="1:40" ht="20.25" hidden="1" customHeight="1" outlineLevel="1">
      <c r="A23" s="12" t="str">
        <f t="shared" si="19"/>
        <v>0_2024_NEO3</v>
      </c>
      <c r="B23" s="12">
        <f>'Raw Data'!D20</f>
        <v>0</v>
      </c>
      <c r="C23" s="766" t="str">
        <f t="shared" si="20"/>
        <v>(Invalid Identifier)</v>
      </c>
      <c r="D23" s="767" t="str">
        <f>_xll.ciqfunctions.udf.CIQ(B23, "IQ_MARKETCAP", $A$1,$A$2)</f>
        <v>(Invalid Identifier)</v>
      </c>
      <c r="E23" s="767" t="str">
        <f>_xll.ciqfunctions.udf.CIQ($B23, "IQ_TEV", $A$1,$A$2)</f>
        <v>(Invalid Identifier)</v>
      </c>
      <c r="F23" s="768" t="str">
        <f t="shared" si="21"/>
        <v>-</v>
      </c>
      <c r="G23" s="768" t="str">
        <f t="shared" si="21"/>
        <v>-</v>
      </c>
      <c r="H23" s="767" t="str">
        <f t="shared" si="22"/>
        <v>-</v>
      </c>
      <c r="I23" s="767" t="str">
        <f t="shared" si="22"/>
        <v>-</v>
      </c>
      <c r="J23" s="769" t="str">
        <f t="shared" si="22"/>
        <v>-</v>
      </c>
      <c r="K23" s="770" t="str">
        <f t="shared" si="23"/>
        <v>-</v>
      </c>
      <c r="L23" s="770" t="str">
        <f t="shared" si="23"/>
        <v>N/A</v>
      </c>
      <c r="M23" s="771" t="str">
        <f t="shared" si="24"/>
        <v>-</v>
      </c>
      <c r="N23" s="772" t="str">
        <f t="shared" si="25"/>
        <v>N/A</v>
      </c>
      <c r="O23" s="769" t="str">
        <f t="shared" si="26"/>
        <v>-</v>
      </c>
      <c r="P23" s="773" t="str">
        <f t="shared" si="26"/>
        <v>-</v>
      </c>
      <c r="Q23" s="769" t="str">
        <f t="shared" si="26"/>
        <v>-</v>
      </c>
      <c r="R23" s="770" t="str">
        <f t="shared" si="27"/>
        <v>-</v>
      </c>
      <c r="S23" s="770" t="str">
        <f t="shared" si="27"/>
        <v>N/A</v>
      </c>
      <c r="T23" s="771" t="str">
        <f t="shared" si="28"/>
        <v>-</v>
      </c>
      <c r="U23" s="772" t="str">
        <f t="shared" si="29"/>
        <v>N/A</v>
      </c>
      <c r="V23" s="769" t="str">
        <f t="shared" si="30"/>
        <v>-</v>
      </c>
      <c r="W23" s="774" t="str">
        <f t="shared" si="30"/>
        <v>-</v>
      </c>
      <c r="X23" s="1059" t="str">
        <f t="shared" si="31"/>
        <v>-</v>
      </c>
      <c r="Y23" s="774" t="str">
        <f t="shared" si="31"/>
        <v>-</v>
      </c>
      <c r="Z23" s="769" t="str">
        <f t="shared" si="30"/>
        <v>-</v>
      </c>
      <c r="AA23" s="774" t="str">
        <f t="shared" si="30"/>
        <v>-</v>
      </c>
      <c r="AB23" s="775"/>
      <c r="AC23" s="776"/>
      <c r="AD23" s="777"/>
      <c r="AE23" s="778" t="str">
        <f t="shared" si="32"/>
        <v>0_2023_NEO3</v>
      </c>
      <c r="AF23" s="778"/>
      <c r="AG23" s="782" t="str" cm="1">
        <f t="array" ref="AG23">IFERROR(INDEX('Import 2023 Data'!$E$4:$I$113,_xlfn.XMATCH('NEO5'!$AE23,'Import 2023 Data'!$C$4:$C$113),_xlfn.XMATCH('NEO5'!AG$5,'Import 2023 Data'!$E$3:$I$3)),"-")</f>
        <v>-</v>
      </c>
      <c r="AH23" s="778" t="str" cm="1">
        <f t="array" ref="AH23">IFERROR(INDEX('Import 2023 Data'!$E$4:$I$113,_xlfn.XMATCH('NEO5'!$AE23,'Import 2023 Data'!$C$4:$C$113),_xlfn.XMATCH('NEO5'!AH$5,'Import 2023 Data'!$E$3:$I$3)),"-")</f>
        <v>-</v>
      </c>
      <c r="AI23" s="778"/>
      <c r="AJ23" s="783" t="str">
        <f t="shared" si="33"/>
        <v>N</v>
      </c>
      <c r="AK23" s="778" t="str" cm="1">
        <f t="array" ref="AK23">IFERROR(INDEX('Import 2023 Data'!$E$4:$I$113,_xlfn.XMATCH('NEO5'!$AE23,'Import 2023 Data'!$C$4:$C$113),_xlfn.XMATCH('NEO5'!AK$5,'Import 2023 Data'!$E$3:$I$3)),"-")</f>
        <v>-</v>
      </c>
      <c r="AL23" s="775" t="str" cm="1">
        <f t="array" ref="AL23">IFERROR(INDEX('Import 2023 Data'!$E$4:$I$113,_xlfn.XMATCH('NEO5'!$AE23,'Import 2023 Data'!$C$4:$C$113),_xlfn.XMATCH('NEO5'!AL$5,'Import 2023 Data'!$E$3:$I$3)),"-")</f>
        <v>-</v>
      </c>
      <c r="AM23" s="775" t="str" cm="1">
        <f t="array" ref="AM23">IFERROR(INDEX('Import 2023 Data'!$E$4:$I$113,_xlfn.XMATCH('NEO5'!$AE23,'Import 2023 Data'!$C$4:$C$113),_xlfn.XMATCH('NEO5'!AM$5,'Import 2023 Data'!$E$3:$I$3)),"-")</f>
        <v>-</v>
      </c>
      <c r="AN23" s="505" t="str">
        <f t="shared" si="34"/>
        <v>-</v>
      </c>
    </row>
    <row r="24" spans="1:40" ht="20.25" hidden="1" customHeight="1" outlineLevel="1">
      <c r="A24" s="12" t="str">
        <f t="shared" si="19"/>
        <v>0_2024_NEO3</v>
      </c>
      <c r="B24" s="12">
        <f>'Raw Data'!D21</f>
        <v>0</v>
      </c>
      <c r="C24" s="766" t="str">
        <f t="shared" si="20"/>
        <v>(Invalid Identifier)</v>
      </c>
      <c r="D24" s="767" t="str">
        <f>_xll.ciqfunctions.udf.CIQ(B24, "IQ_MARKETCAP", $A$1,$A$2)</f>
        <v>(Invalid Identifier)</v>
      </c>
      <c r="E24" s="767" t="str">
        <f>_xll.ciqfunctions.udf.CIQ($B24, "IQ_TEV", $A$1,$A$2)</f>
        <v>(Invalid Identifier)</v>
      </c>
      <c r="F24" s="768" t="str">
        <f t="shared" si="21"/>
        <v>-</v>
      </c>
      <c r="G24" s="768" t="str">
        <f t="shared" si="21"/>
        <v>-</v>
      </c>
      <c r="H24" s="767" t="str">
        <f t="shared" si="22"/>
        <v>-</v>
      </c>
      <c r="I24" s="767" t="str">
        <f t="shared" si="22"/>
        <v>-</v>
      </c>
      <c r="J24" s="769" t="str">
        <f t="shared" si="22"/>
        <v>-</v>
      </c>
      <c r="K24" s="770" t="str">
        <f t="shared" si="23"/>
        <v>-</v>
      </c>
      <c r="L24" s="770" t="str">
        <f t="shared" si="23"/>
        <v>N/A</v>
      </c>
      <c r="M24" s="771" t="str">
        <f t="shared" si="24"/>
        <v>-</v>
      </c>
      <c r="N24" s="772" t="str">
        <f t="shared" si="25"/>
        <v>N/A</v>
      </c>
      <c r="O24" s="769" t="str">
        <f t="shared" si="26"/>
        <v>-</v>
      </c>
      <c r="P24" s="773" t="str">
        <f t="shared" si="26"/>
        <v>-</v>
      </c>
      <c r="Q24" s="769" t="str">
        <f t="shared" si="26"/>
        <v>-</v>
      </c>
      <c r="R24" s="770" t="str">
        <f t="shared" si="27"/>
        <v>-</v>
      </c>
      <c r="S24" s="770" t="str">
        <f t="shared" si="27"/>
        <v>N/A</v>
      </c>
      <c r="T24" s="771" t="str">
        <f t="shared" si="28"/>
        <v>-</v>
      </c>
      <c r="U24" s="772" t="str">
        <f t="shared" si="29"/>
        <v>N/A</v>
      </c>
      <c r="V24" s="769" t="str">
        <f t="shared" si="30"/>
        <v>-</v>
      </c>
      <c r="W24" s="774" t="str">
        <f t="shared" si="30"/>
        <v>-</v>
      </c>
      <c r="X24" s="1059" t="str">
        <f t="shared" si="31"/>
        <v>-</v>
      </c>
      <c r="Y24" s="774" t="str">
        <f t="shared" si="31"/>
        <v>-</v>
      </c>
      <c r="Z24" s="769" t="str">
        <f t="shared" si="30"/>
        <v>-</v>
      </c>
      <c r="AA24" s="774" t="str">
        <f t="shared" si="30"/>
        <v>-</v>
      </c>
      <c r="AB24" s="775"/>
      <c r="AC24" s="776"/>
      <c r="AD24" s="777"/>
      <c r="AE24" s="778" t="str">
        <f t="shared" si="32"/>
        <v>0_2023_NEO3</v>
      </c>
      <c r="AF24" s="778"/>
      <c r="AG24" s="782" t="str" cm="1">
        <f t="array" ref="AG24">IFERROR(INDEX('Import 2023 Data'!$E$4:$I$113,_xlfn.XMATCH('NEO5'!$AE24,'Import 2023 Data'!$C$4:$C$113),_xlfn.XMATCH('NEO5'!AG$5,'Import 2023 Data'!$E$3:$I$3)),"-")</f>
        <v>-</v>
      </c>
      <c r="AH24" s="778" t="str" cm="1">
        <f t="array" ref="AH24">IFERROR(INDEX('Import 2023 Data'!$E$4:$I$113,_xlfn.XMATCH('NEO5'!$AE24,'Import 2023 Data'!$C$4:$C$113),_xlfn.XMATCH('NEO5'!AH$5,'Import 2023 Data'!$E$3:$I$3)),"-")</f>
        <v>-</v>
      </c>
      <c r="AI24" s="778"/>
      <c r="AJ24" s="783" t="str">
        <f t="shared" si="33"/>
        <v>N</v>
      </c>
      <c r="AK24" s="778" t="str" cm="1">
        <f t="array" ref="AK24">IFERROR(INDEX('Import 2023 Data'!$E$4:$I$113,_xlfn.XMATCH('NEO5'!$AE24,'Import 2023 Data'!$C$4:$C$113),_xlfn.XMATCH('NEO5'!AK$5,'Import 2023 Data'!$E$3:$I$3)),"-")</f>
        <v>-</v>
      </c>
      <c r="AL24" s="775" t="str" cm="1">
        <f t="array" ref="AL24">IFERROR(INDEX('Import 2023 Data'!$E$4:$I$113,_xlfn.XMATCH('NEO5'!$AE24,'Import 2023 Data'!$C$4:$C$113),_xlfn.XMATCH('NEO5'!AL$5,'Import 2023 Data'!$E$3:$I$3)),"-")</f>
        <v>-</v>
      </c>
      <c r="AM24" s="775" t="str" cm="1">
        <f t="array" ref="AM24">IFERROR(INDEX('Import 2023 Data'!$E$4:$I$113,_xlfn.XMATCH('NEO5'!$AE24,'Import 2023 Data'!$C$4:$C$113),_xlfn.XMATCH('NEO5'!AM$5,'Import 2023 Data'!$E$3:$I$3)),"-")</f>
        <v>-</v>
      </c>
      <c r="AN24" s="505" t="str">
        <f t="shared" si="34"/>
        <v>-</v>
      </c>
    </row>
    <row r="25" spans="1:40" ht="20.25" hidden="1" customHeight="1" outlineLevel="1">
      <c r="A25" s="12" t="str">
        <f t="shared" si="19"/>
        <v>0_2024_NEO3</v>
      </c>
      <c r="B25" s="12">
        <f>'Raw Data'!D22</f>
        <v>0</v>
      </c>
      <c r="C25" s="766" t="str">
        <f t="shared" si="20"/>
        <v>(Invalid Identifier)</v>
      </c>
      <c r="D25" s="767" t="str">
        <f>_xll.ciqfunctions.udf.CIQ(B25, "IQ_MARKETCAP", $A$1,$A$2)</f>
        <v>(Invalid Identifier)</v>
      </c>
      <c r="E25" s="767" t="str">
        <f>_xll.ciqfunctions.udf.CIQ($B25, "IQ_TEV", $A$1,$A$2)</f>
        <v>(Invalid Identifier)</v>
      </c>
      <c r="F25" s="768" t="str">
        <f t="shared" si="21"/>
        <v>-</v>
      </c>
      <c r="G25" s="768" t="str">
        <f t="shared" si="21"/>
        <v>-</v>
      </c>
      <c r="H25" s="767" t="str">
        <f t="shared" si="22"/>
        <v>-</v>
      </c>
      <c r="I25" s="767" t="str">
        <f t="shared" si="22"/>
        <v>-</v>
      </c>
      <c r="J25" s="769" t="str">
        <f t="shared" si="22"/>
        <v>-</v>
      </c>
      <c r="K25" s="770" t="str">
        <f t="shared" si="23"/>
        <v>-</v>
      </c>
      <c r="L25" s="770" t="str">
        <f t="shared" si="23"/>
        <v>N/A</v>
      </c>
      <c r="M25" s="771" t="str">
        <f t="shared" si="24"/>
        <v>-</v>
      </c>
      <c r="N25" s="772" t="str">
        <f t="shared" si="25"/>
        <v>N/A</v>
      </c>
      <c r="O25" s="769" t="str">
        <f t="shared" si="26"/>
        <v>-</v>
      </c>
      <c r="P25" s="773" t="str">
        <f t="shared" si="26"/>
        <v>-</v>
      </c>
      <c r="Q25" s="769" t="str">
        <f t="shared" si="26"/>
        <v>-</v>
      </c>
      <c r="R25" s="770" t="str">
        <f t="shared" si="27"/>
        <v>-</v>
      </c>
      <c r="S25" s="770" t="str">
        <f t="shared" si="27"/>
        <v>N/A</v>
      </c>
      <c r="T25" s="771" t="str">
        <f t="shared" si="28"/>
        <v>-</v>
      </c>
      <c r="U25" s="772" t="str">
        <f t="shared" si="29"/>
        <v>N/A</v>
      </c>
      <c r="V25" s="769" t="str">
        <f t="shared" si="30"/>
        <v>-</v>
      </c>
      <c r="W25" s="774" t="str">
        <f t="shared" si="30"/>
        <v>-</v>
      </c>
      <c r="X25" s="1059" t="str">
        <f t="shared" si="31"/>
        <v>-</v>
      </c>
      <c r="Y25" s="774" t="str">
        <f t="shared" si="31"/>
        <v>-</v>
      </c>
      <c r="Z25" s="769" t="str">
        <f t="shared" si="30"/>
        <v>-</v>
      </c>
      <c r="AA25" s="774" t="str">
        <f t="shared" si="30"/>
        <v>-</v>
      </c>
      <c r="AB25" s="775"/>
      <c r="AC25" s="776"/>
      <c r="AD25" s="777"/>
      <c r="AE25" s="778" t="str">
        <f t="shared" si="32"/>
        <v>0_2023_NEO3</v>
      </c>
      <c r="AF25" s="778"/>
      <c r="AG25" s="782" t="str" cm="1">
        <f t="array" ref="AG25">IFERROR(INDEX('Import 2023 Data'!$E$4:$I$113,_xlfn.XMATCH('NEO5'!$AE25,'Import 2023 Data'!$C$4:$C$113),_xlfn.XMATCH('NEO5'!AG$5,'Import 2023 Data'!$E$3:$I$3)),"-")</f>
        <v>-</v>
      </c>
      <c r="AH25" s="778" t="str" cm="1">
        <f t="array" ref="AH25">IFERROR(INDEX('Import 2023 Data'!$E$4:$I$113,_xlfn.XMATCH('NEO5'!$AE25,'Import 2023 Data'!$C$4:$C$113),_xlfn.XMATCH('NEO5'!AH$5,'Import 2023 Data'!$E$3:$I$3)),"-")</f>
        <v>-</v>
      </c>
      <c r="AI25" s="778"/>
      <c r="AJ25" s="783" t="str">
        <f t="shared" si="33"/>
        <v>N</v>
      </c>
      <c r="AK25" s="778" t="str" cm="1">
        <f t="array" ref="AK25">IFERROR(INDEX('Import 2023 Data'!$E$4:$I$113,_xlfn.XMATCH('NEO5'!$AE25,'Import 2023 Data'!$C$4:$C$113),_xlfn.XMATCH('NEO5'!AK$5,'Import 2023 Data'!$E$3:$I$3)),"-")</f>
        <v>-</v>
      </c>
      <c r="AL25" s="775" t="str" cm="1">
        <f t="array" ref="AL25">IFERROR(INDEX('Import 2023 Data'!$E$4:$I$113,_xlfn.XMATCH('NEO5'!$AE25,'Import 2023 Data'!$C$4:$C$113),_xlfn.XMATCH('NEO5'!AL$5,'Import 2023 Data'!$E$3:$I$3)),"-")</f>
        <v>-</v>
      </c>
      <c r="AM25" s="775" t="str" cm="1">
        <f t="array" ref="AM25">IFERROR(INDEX('Import 2023 Data'!$E$4:$I$113,_xlfn.XMATCH('NEO5'!$AE25,'Import 2023 Data'!$C$4:$C$113),_xlfn.XMATCH('NEO5'!AM$5,'Import 2023 Data'!$E$3:$I$3)),"-")</f>
        <v>-</v>
      </c>
      <c r="AN25" s="505" t="str">
        <f t="shared" si="34"/>
        <v>-</v>
      </c>
    </row>
    <row r="26" spans="1:40" ht="20.25" hidden="1" customHeight="1" outlineLevel="1">
      <c r="A26" s="12" t="str">
        <f t="shared" si="19"/>
        <v>0_2024_NEO3</v>
      </c>
      <c r="B26" s="12">
        <f>'Raw Data'!D23</f>
        <v>0</v>
      </c>
      <c r="C26" s="766" t="str">
        <f t="shared" si="20"/>
        <v>(Invalid Identifier)</v>
      </c>
      <c r="D26" s="767" t="str">
        <f>_xll.ciqfunctions.udf.CIQ(B26, "IQ_MARKETCAP", $A$1,$A$2)</f>
        <v>(Invalid Identifier)</v>
      </c>
      <c r="E26" s="767" t="str">
        <f>_xll.ciqfunctions.udf.CIQ($B26, "IQ_TEV", $A$1,$A$2)</f>
        <v>(Invalid Identifier)</v>
      </c>
      <c r="F26" s="768" t="str">
        <f t="shared" si="21"/>
        <v>-</v>
      </c>
      <c r="G26" s="768" t="str">
        <f t="shared" si="21"/>
        <v>-</v>
      </c>
      <c r="H26" s="767" t="str">
        <f t="shared" si="22"/>
        <v>-</v>
      </c>
      <c r="I26" s="767" t="str">
        <f t="shared" si="22"/>
        <v>-</v>
      </c>
      <c r="J26" s="769" t="str">
        <f t="shared" si="22"/>
        <v>-</v>
      </c>
      <c r="K26" s="770" t="str">
        <f t="shared" si="23"/>
        <v>-</v>
      </c>
      <c r="L26" s="770" t="str">
        <f t="shared" si="23"/>
        <v>N/A</v>
      </c>
      <c r="M26" s="771" t="str">
        <f t="shared" si="24"/>
        <v>-</v>
      </c>
      <c r="N26" s="772" t="str">
        <f t="shared" si="25"/>
        <v>N/A</v>
      </c>
      <c r="O26" s="769" t="str">
        <f t="shared" si="26"/>
        <v>-</v>
      </c>
      <c r="P26" s="773" t="str">
        <f t="shared" si="26"/>
        <v>-</v>
      </c>
      <c r="Q26" s="769" t="str">
        <f t="shared" si="26"/>
        <v>-</v>
      </c>
      <c r="R26" s="770" t="str">
        <f t="shared" si="27"/>
        <v>-</v>
      </c>
      <c r="S26" s="770" t="str">
        <f t="shared" si="27"/>
        <v>N/A</v>
      </c>
      <c r="T26" s="771" t="str">
        <f t="shared" si="28"/>
        <v>-</v>
      </c>
      <c r="U26" s="772" t="str">
        <f t="shared" si="29"/>
        <v>N/A</v>
      </c>
      <c r="V26" s="769" t="str">
        <f t="shared" si="30"/>
        <v>-</v>
      </c>
      <c r="W26" s="774" t="str">
        <f t="shared" si="30"/>
        <v>-</v>
      </c>
      <c r="X26" s="1059" t="str">
        <f t="shared" si="31"/>
        <v>-</v>
      </c>
      <c r="Y26" s="774" t="str">
        <f t="shared" si="31"/>
        <v>-</v>
      </c>
      <c r="Z26" s="769" t="str">
        <f t="shared" si="30"/>
        <v>-</v>
      </c>
      <c r="AA26" s="774" t="str">
        <f t="shared" si="30"/>
        <v>-</v>
      </c>
      <c r="AB26" s="775"/>
      <c r="AC26" s="776"/>
      <c r="AD26" s="777"/>
      <c r="AE26" s="778" t="str">
        <f t="shared" si="32"/>
        <v>0_2023_NEO3</v>
      </c>
      <c r="AF26" s="778"/>
      <c r="AG26" s="782" t="str" cm="1">
        <f t="array" ref="AG26">IFERROR(INDEX('Import 2023 Data'!$E$4:$I$113,_xlfn.XMATCH('NEO5'!$AE26,'Import 2023 Data'!$C$4:$C$113),_xlfn.XMATCH('NEO5'!AG$5,'Import 2023 Data'!$E$3:$I$3)),"-")</f>
        <v>-</v>
      </c>
      <c r="AH26" s="778" t="str" cm="1">
        <f t="array" ref="AH26">IFERROR(INDEX('Import 2023 Data'!$E$4:$I$113,_xlfn.XMATCH('NEO5'!$AE26,'Import 2023 Data'!$C$4:$C$113),_xlfn.XMATCH('NEO5'!AH$5,'Import 2023 Data'!$E$3:$I$3)),"-")</f>
        <v>-</v>
      </c>
      <c r="AI26" s="778"/>
      <c r="AJ26" s="783" t="str">
        <f t="shared" si="33"/>
        <v>N</v>
      </c>
      <c r="AK26" s="778" t="str" cm="1">
        <f t="array" ref="AK26">IFERROR(INDEX('Import 2023 Data'!$E$4:$I$113,_xlfn.XMATCH('NEO5'!$AE26,'Import 2023 Data'!$C$4:$C$113),_xlfn.XMATCH('NEO5'!AK$5,'Import 2023 Data'!$E$3:$I$3)),"-")</f>
        <v>-</v>
      </c>
      <c r="AL26" s="775" t="str" cm="1">
        <f t="array" ref="AL26">IFERROR(INDEX('Import 2023 Data'!$E$4:$I$113,_xlfn.XMATCH('NEO5'!$AE26,'Import 2023 Data'!$C$4:$C$113),_xlfn.XMATCH('NEO5'!AL$5,'Import 2023 Data'!$E$3:$I$3)),"-")</f>
        <v>-</v>
      </c>
      <c r="AM26" s="775" t="str" cm="1">
        <f t="array" ref="AM26">IFERROR(INDEX('Import 2023 Data'!$E$4:$I$113,_xlfn.XMATCH('NEO5'!$AE26,'Import 2023 Data'!$C$4:$C$113),_xlfn.XMATCH('NEO5'!AM$5,'Import 2023 Data'!$E$3:$I$3)),"-")</f>
        <v>-</v>
      </c>
      <c r="AN26" s="505" t="str">
        <f t="shared" si="34"/>
        <v>-</v>
      </c>
    </row>
    <row r="27" spans="1:40" ht="20.25" hidden="1" customHeight="1" outlineLevel="1">
      <c r="A27" s="12" t="str">
        <f t="shared" si="19"/>
        <v>0_2024_NEO3</v>
      </c>
      <c r="B27" s="12">
        <f>'Raw Data'!D24</f>
        <v>0</v>
      </c>
      <c r="C27" s="766" t="str">
        <f t="shared" si="20"/>
        <v>(Invalid Identifier)</v>
      </c>
      <c r="D27" s="767" t="str">
        <f>_xll.ciqfunctions.udf.CIQ(B27, "IQ_MARKETCAP", $A$1,$A$2)</f>
        <v>(Invalid Identifier)</v>
      </c>
      <c r="E27" s="767" t="str">
        <f>_xll.ciqfunctions.udf.CIQ($B27, "IQ_TEV", $A$1,$A$2)</f>
        <v>(Invalid Identifier)</v>
      </c>
      <c r="F27" s="768" t="str">
        <f t="shared" si="21"/>
        <v>-</v>
      </c>
      <c r="G27" s="768" t="str">
        <f t="shared" si="21"/>
        <v>-</v>
      </c>
      <c r="H27" s="767" t="str">
        <f t="shared" si="22"/>
        <v>-</v>
      </c>
      <c r="I27" s="767" t="str">
        <f t="shared" si="22"/>
        <v>-</v>
      </c>
      <c r="J27" s="769" t="str">
        <f t="shared" si="22"/>
        <v>-</v>
      </c>
      <c r="K27" s="770" t="str">
        <f t="shared" si="23"/>
        <v>-</v>
      </c>
      <c r="L27" s="770" t="str">
        <f t="shared" si="23"/>
        <v>N/A</v>
      </c>
      <c r="M27" s="771" t="str">
        <f t="shared" si="24"/>
        <v>-</v>
      </c>
      <c r="N27" s="772" t="str">
        <f t="shared" si="25"/>
        <v>N/A</v>
      </c>
      <c r="O27" s="769" t="str">
        <f t="shared" si="26"/>
        <v>-</v>
      </c>
      <c r="P27" s="773" t="str">
        <f t="shared" si="26"/>
        <v>-</v>
      </c>
      <c r="Q27" s="769" t="str">
        <f t="shared" si="26"/>
        <v>-</v>
      </c>
      <c r="R27" s="770" t="str">
        <f t="shared" si="27"/>
        <v>-</v>
      </c>
      <c r="S27" s="770" t="str">
        <f t="shared" si="27"/>
        <v>N/A</v>
      </c>
      <c r="T27" s="771" t="str">
        <f t="shared" si="28"/>
        <v>-</v>
      </c>
      <c r="U27" s="772" t="str">
        <f t="shared" si="29"/>
        <v>N/A</v>
      </c>
      <c r="V27" s="769" t="str">
        <f t="shared" si="30"/>
        <v>-</v>
      </c>
      <c r="W27" s="774" t="str">
        <f t="shared" si="30"/>
        <v>-</v>
      </c>
      <c r="X27" s="1059" t="str">
        <f t="shared" si="31"/>
        <v>-</v>
      </c>
      <c r="Y27" s="774" t="str">
        <f t="shared" si="31"/>
        <v>-</v>
      </c>
      <c r="Z27" s="769" t="str">
        <f t="shared" si="30"/>
        <v>-</v>
      </c>
      <c r="AA27" s="774" t="str">
        <f t="shared" si="30"/>
        <v>-</v>
      </c>
      <c r="AB27" s="775"/>
      <c r="AC27" s="776"/>
      <c r="AD27" s="777"/>
      <c r="AE27" s="778" t="str">
        <f t="shared" si="32"/>
        <v>0_2023_NEO3</v>
      </c>
      <c r="AF27" s="778"/>
      <c r="AG27" s="784" t="str" cm="1">
        <f t="array" ref="AG27">IFERROR(INDEX('Import 2023 Data'!$E$4:$I$113,_xlfn.XMATCH('NEO5'!$AE27,'Import 2023 Data'!$C$4:$C$113),_xlfn.XMATCH('NEO5'!AG$5,'Import 2023 Data'!$E$3:$I$3)),"-")</f>
        <v>-</v>
      </c>
      <c r="AH27" s="785" t="str" cm="1">
        <f t="array" ref="AH27">IFERROR(INDEX('Import 2023 Data'!$E$4:$I$113,_xlfn.XMATCH('NEO5'!$AE27,'Import 2023 Data'!$C$4:$C$113),_xlfn.XMATCH('NEO5'!AH$5,'Import 2023 Data'!$E$3:$I$3)),"-")</f>
        <v>-</v>
      </c>
      <c r="AI27" s="785"/>
      <c r="AJ27" s="786" t="str">
        <f t="shared" si="33"/>
        <v>N</v>
      </c>
      <c r="AK27" s="785" t="str" cm="1">
        <f t="array" ref="AK27">IFERROR(INDEX('Import 2023 Data'!$E$4:$I$113,_xlfn.XMATCH('NEO5'!$AE27,'Import 2023 Data'!$C$4:$C$113),_xlfn.XMATCH('NEO5'!AK$5,'Import 2023 Data'!$E$3:$I$3)),"-")</f>
        <v>-</v>
      </c>
      <c r="AL27" s="787" t="str" cm="1">
        <f t="array" ref="AL27">IFERROR(INDEX('Import 2023 Data'!$E$4:$I$113,_xlfn.XMATCH('NEO5'!$AE27,'Import 2023 Data'!$C$4:$C$113),_xlfn.XMATCH('NEO5'!AL$5,'Import 2023 Data'!$E$3:$I$3)),"-")</f>
        <v>-</v>
      </c>
      <c r="AM27" s="787" t="str" cm="1">
        <f t="array" ref="AM27">IFERROR(INDEX('Import 2023 Data'!$E$4:$I$113,_xlfn.XMATCH('NEO5'!$AE27,'Import 2023 Data'!$C$4:$C$113),_xlfn.XMATCH('NEO5'!AM$5,'Import 2023 Data'!$E$3:$I$3)),"-")</f>
        <v>-</v>
      </c>
      <c r="AN27" s="509" t="str">
        <f t="shared" si="34"/>
        <v>-</v>
      </c>
    </row>
    <row r="28" spans="1:40" ht="20.25" customHeight="1" collapsed="1">
      <c r="C28" s="788" t="str">
        <f>$C$3&amp;" Summary Statistics"</f>
        <v>2024 Summary Statistics</v>
      </c>
      <c r="D28" s="789"/>
      <c r="E28" s="789"/>
      <c r="F28" s="789"/>
      <c r="G28" s="789"/>
      <c r="H28" s="789"/>
      <c r="I28" s="789"/>
      <c r="J28" s="789"/>
      <c r="K28" s="790"/>
      <c r="L28" s="790"/>
      <c r="M28" s="789"/>
      <c r="N28" s="790"/>
      <c r="O28" s="789"/>
      <c r="P28" s="789"/>
      <c r="Q28" s="789"/>
      <c r="R28" s="790"/>
      <c r="S28" s="790"/>
      <c r="T28" s="789"/>
      <c r="U28" s="790"/>
      <c r="V28" s="789"/>
      <c r="W28" s="791"/>
      <c r="X28" s="789"/>
      <c r="Y28" s="791"/>
      <c r="Z28" s="789"/>
      <c r="AA28" s="791"/>
      <c r="AB28" s="775"/>
      <c r="AC28" s="792"/>
      <c r="AD28" s="793"/>
      <c r="AE28" s="778"/>
      <c r="AF28" s="778"/>
      <c r="AG28" s="778"/>
      <c r="AH28" s="778"/>
      <c r="AI28" s="778"/>
      <c r="AJ28" s="778"/>
      <c r="AK28" s="778"/>
      <c r="AL28" s="794"/>
      <c r="AM28" s="795"/>
    </row>
    <row r="29" spans="1:40" s="17" customFormat="1" ht="17.25" customHeight="1">
      <c r="B29" s="17">
        <v>0.75</v>
      </c>
      <c r="C29" s="796" t="s">
        <v>9</v>
      </c>
      <c r="D29" s="797">
        <f t="shared" ref="D29:E31" si="35">PERCENTILE(D$8:D$27,$B29)</f>
        <v>10464.1094025</v>
      </c>
      <c r="E29" s="797">
        <f t="shared" si="35"/>
        <v>13103.839205</v>
      </c>
      <c r="F29" s="798"/>
      <c r="G29" s="798"/>
      <c r="H29" s="798"/>
      <c r="I29" s="797">
        <f t="shared" ref="I29:X31" si="36">PERCENTILE(I$8:I$27,$B29)</f>
        <v>571.41418912500001</v>
      </c>
      <c r="J29" s="799">
        <f t="shared" si="36"/>
        <v>462.86192329500005</v>
      </c>
      <c r="K29" s="800">
        <f t="shared" si="36"/>
        <v>0.9067119691527572</v>
      </c>
      <c r="L29" s="800">
        <f t="shared" si="36"/>
        <v>0.90842373302767077</v>
      </c>
      <c r="M29" s="801">
        <f t="shared" si="36"/>
        <v>432.15999999999997</v>
      </c>
      <c r="N29" s="777">
        <f t="shared" si="36"/>
        <v>0.75</v>
      </c>
      <c r="O29" s="799">
        <f t="shared" si="36"/>
        <v>1023.4193653875002</v>
      </c>
      <c r="P29" s="802">
        <f t="shared" si="36"/>
        <v>1000.485</v>
      </c>
      <c r="Q29" s="799">
        <f t="shared" si="36"/>
        <v>1023.962980335</v>
      </c>
      <c r="R29" s="800">
        <f t="shared" si="36"/>
        <v>1.7500000000000002</v>
      </c>
      <c r="S29" s="800">
        <f t="shared" si="36"/>
        <v>1.6558092315891071</v>
      </c>
      <c r="T29" s="801">
        <f t="shared" si="36"/>
        <v>974.69563527915147</v>
      </c>
      <c r="U29" s="777">
        <f t="shared" si="36"/>
        <v>1.77691256757493</v>
      </c>
      <c r="V29" s="799">
        <f t="shared" si="36"/>
        <v>2097.4226668349997</v>
      </c>
      <c r="W29" s="802">
        <f t="shared" si="36"/>
        <v>1935.2286802512044</v>
      </c>
      <c r="X29" s="1060">
        <f t="shared" si="36"/>
        <v>109.41732314750001</v>
      </c>
      <c r="Y29" s="802">
        <f t="shared" ref="X29:AA31" si="37">PERCENTILE(Y$8:Y$27,$B29)</f>
        <v>77.815749999999994</v>
      </c>
      <c r="Z29" s="799">
        <f t="shared" si="37"/>
        <v>2215.5827022100002</v>
      </c>
      <c r="AA29" s="802">
        <f t="shared" si="37"/>
        <v>2197.1373023987499</v>
      </c>
      <c r="AB29" s="803"/>
      <c r="AC29" s="776">
        <f t="shared" ref="AC29:AD31" si="38">PERCENTILE(AC$8:AC$27,$B29)</f>
        <v>0.54438238721678645</v>
      </c>
      <c r="AD29" s="777">
        <f t="shared" si="38"/>
        <v>0.51220469156756931</v>
      </c>
      <c r="AE29" s="778"/>
      <c r="AF29" s="778"/>
      <c r="AG29" s="778"/>
      <c r="AH29" s="778"/>
      <c r="AI29" s="778"/>
      <c r="AJ29" s="778"/>
      <c r="AK29" s="778"/>
      <c r="AL29" s="804">
        <v>2010.900806979394</v>
      </c>
      <c r="AM29" s="805">
        <v>1927.9014840480907</v>
      </c>
    </row>
    <row r="30" spans="1:40" s="17" customFormat="1" ht="17.25" customHeight="1">
      <c r="B30" s="17">
        <v>0.5</v>
      </c>
      <c r="C30" s="806" t="s">
        <v>8</v>
      </c>
      <c r="D30" s="807">
        <f t="shared" si="35"/>
        <v>5657.4490150000001</v>
      </c>
      <c r="E30" s="807">
        <f t="shared" si="35"/>
        <v>6231.8004299999993</v>
      </c>
      <c r="F30" s="808"/>
      <c r="G30" s="808"/>
      <c r="H30" s="808"/>
      <c r="I30" s="807">
        <f t="shared" si="36"/>
        <v>471.35629221000005</v>
      </c>
      <c r="J30" s="809">
        <f t="shared" si="36"/>
        <v>337.79065736999996</v>
      </c>
      <c r="K30" s="810">
        <f t="shared" si="36"/>
        <v>0.75338247898119381</v>
      </c>
      <c r="L30" s="810">
        <f t="shared" si="36"/>
        <v>0.73718003674442101</v>
      </c>
      <c r="M30" s="811">
        <f t="shared" si="36"/>
        <v>346.60374375000004</v>
      </c>
      <c r="N30" s="812">
        <f t="shared" si="36"/>
        <v>0.75</v>
      </c>
      <c r="O30" s="809">
        <f t="shared" si="36"/>
        <v>845.40262458000007</v>
      </c>
      <c r="P30" s="813">
        <f t="shared" si="36"/>
        <v>808.74206875000004</v>
      </c>
      <c r="Q30" s="809">
        <f t="shared" si="36"/>
        <v>701.70035002999998</v>
      </c>
      <c r="R30" s="810">
        <f t="shared" si="36"/>
        <v>1.5065109595365853</v>
      </c>
      <c r="S30" s="810">
        <f t="shared" si="36"/>
        <v>1.4999754649388455</v>
      </c>
      <c r="T30" s="811">
        <f t="shared" si="36"/>
        <v>738.12188831244634</v>
      </c>
      <c r="U30" s="812">
        <f t="shared" si="36"/>
        <v>1.5</v>
      </c>
      <c r="V30" s="809">
        <f t="shared" si="36"/>
        <v>1679.9915458200001</v>
      </c>
      <c r="W30" s="813">
        <f t="shared" si="36"/>
        <v>1545.257864490181</v>
      </c>
      <c r="X30" s="1061">
        <f t="shared" si="37"/>
        <v>85.164500000000004</v>
      </c>
      <c r="Y30" s="813">
        <f t="shared" si="37"/>
        <v>38.710768334999997</v>
      </c>
      <c r="Z30" s="809">
        <f t="shared" si="37"/>
        <v>1779.7550189000003</v>
      </c>
      <c r="AA30" s="813">
        <f t="shared" si="37"/>
        <v>1593.7384999999999</v>
      </c>
      <c r="AB30" s="803"/>
      <c r="AC30" s="814">
        <f t="shared" si="38"/>
        <v>0.53485576923076916</v>
      </c>
      <c r="AD30" s="812">
        <f t="shared" si="38"/>
        <v>0.46514423076923073</v>
      </c>
      <c r="AE30" s="778"/>
      <c r="AF30" s="778"/>
      <c r="AG30" s="778"/>
      <c r="AH30" s="778"/>
      <c r="AI30" s="778"/>
      <c r="AJ30" s="778"/>
      <c r="AK30" s="778">
        <f>W30/AM30</f>
        <v>1.0784259684841957</v>
      </c>
      <c r="AL30" s="809">
        <v>1417.1199714899999</v>
      </c>
      <c r="AM30" s="813">
        <v>1432.8826545805</v>
      </c>
      <c r="AN30" s="17">
        <f>W30/AM30-1</f>
        <v>7.8425968484195696E-2</v>
      </c>
    </row>
    <row r="31" spans="1:40" s="17" customFormat="1" ht="17.25" customHeight="1">
      <c r="B31" s="17">
        <v>0.25</v>
      </c>
      <c r="C31" s="796" t="s">
        <v>7</v>
      </c>
      <c r="D31" s="797">
        <f t="shared" si="35"/>
        <v>4590.7197175000001</v>
      </c>
      <c r="E31" s="797">
        <f t="shared" si="35"/>
        <v>4910.1473049999995</v>
      </c>
      <c r="F31" s="798"/>
      <c r="G31" s="798"/>
      <c r="H31" s="798"/>
      <c r="I31" s="797">
        <f t="shared" si="36"/>
        <v>449.44822727000007</v>
      </c>
      <c r="J31" s="799">
        <f t="shared" si="36"/>
        <v>307.78724999999997</v>
      </c>
      <c r="K31" s="800">
        <f t="shared" si="36"/>
        <v>0.67968786539347337</v>
      </c>
      <c r="L31" s="800">
        <f t="shared" si="36"/>
        <v>0.66478139721657548</v>
      </c>
      <c r="M31" s="801">
        <f t="shared" si="36"/>
        <v>283.00177048900002</v>
      </c>
      <c r="N31" s="777">
        <f t="shared" si="36"/>
        <v>0.66249999999999998</v>
      </c>
      <c r="O31" s="799">
        <f t="shared" si="36"/>
        <v>745.74975000000006</v>
      </c>
      <c r="P31" s="802">
        <f t="shared" si="36"/>
        <v>732.50157376800007</v>
      </c>
      <c r="Q31" s="799">
        <f t="shared" si="36"/>
        <v>678.99306124750001</v>
      </c>
      <c r="R31" s="800">
        <f t="shared" si="36"/>
        <v>1.4600931944074445</v>
      </c>
      <c r="S31" s="800">
        <f t="shared" si="36"/>
        <v>1.3173526760790213</v>
      </c>
      <c r="T31" s="801">
        <f t="shared" si="36"/>
        <v>680.01400000000001</v>
      </c>
      <c r="U31" s="777">
        <f t="shared" si="36"/>
        <v>1.4878190559031899</v>
      </c>
      <c r="V31" s="799">
        <f t="shared" si="36"/>
        <v>1397.7140352125002</v>
      </c>
      <c r="W31" s="802">
        <f t="shared" si="36"/>
        <v>1415.0239999999999</v>
      </c>
      <c r="X31" s="1060">
        <f t="shared" si="37"/>
        <v>34.836572250000003</v>
      </c>
      <c r="Y31" s="802">
        <f t="shared" si="37"/>
        <v>18.69275</v>
      </c>
      <c r="Z31" s="799">
        <f t="shared" si="37"/>
        <v>1417.6737392274999</v>
      </c>
      <c r="AA31" s="802">
        <f t="shared" si="37"/>
        <v>1513.2447058506693</v>
      </c>
      <c r="AB31" s="803"/>
      <c r="AC31" s="776">
        <f t="shared" si="38"/>
        <v>0.48779530843243085</v>
      </c>
      <c r="AD31" s="777">
        <f t="shared" si="38"/>
        <v>0.4556176127832135</v>
      </c>
      <c r="AE31" s="778"/>
      <c r="AF31" s="778"/>
      <c r="AG31" s="778"/>
      <c r="AH31" s="778"/>
      <c r="AI31" s="778"/>
      <c r="AJ31" s="778"/>
      <c r="AK31" s="778"/>
      <c r="AL31" s="799">
        <v>1275.06792782</v>
      </c>
      <c r="AM31" s="802">
        <v>1305.9778587325</v>
      </c>
      <c r="AN31" s="17">
        <f>W31/AM31</f>
        <v>1.0834976952621029</v>
      </c>
    </row>
    <row r="32" spans="1:40" s="17" customFormat="1" ht="17.25" customHeight="1">
      <c r="A32" s="12"/>
      <c r="B32" s="12"/>
      <c r="C32" s="815" t="s">
        <v>6</v>
      </c>
      <c r="D32" s="816">
        <f>AVERAGE(D8:D27)</f>
        <v>8142.9421314285719</v>
      </c>
      <c r="E32" s="816">
        <f>AVERAGE(E8:E27)</f>
        <v>8937.7154271428553</v>
      </c>
      <c r="F32" s="815"/>
      <c r="G32" s="815"/>
      <c r="H32" s="815"/>
      <c r="I32" s="816">
        <f t="shared" ref="I32:N32" si="39">AVERAGE(I8:I27)</f>
        <v>500.76131266285728</v>
      </c>
      <c r="J32" s="817">
        <f t="shared" si="39"/>
        <v>424.38033386428572</v>
      </c>
      <c r="K32" s="818">
        <f t="shared" si="39"/>
        <v>0.83567210309166295</v>
      </c>
      <c r="L32" s="818">
        <f t="shared" si="39"/>
        <v>0.84367425650467975</v>
      </c>
      <c r="M32" s="819">
        <f t="shared" si="39"/>
        <v>360.30229588164286</v>
      </c>
      <c r="N32" s="820">
        <f t="shared" si="39"/>
        <v>0.7142857142857143</v>
      </c>
      <c r="O32" s="817">
        <f>AVERAGE(O8:O27)</f>
        <v>925.14164652714294</v>
      </c>
      <c r="P32" s="821">
        <f t="shared" ref="P32:W32" si="40">AVERAGE(P8:P27)</f>
        <v>861.0636085445002</v>
      </c>
      <c r="Q32" s="817">
        <f t="shared" si="40"/>
        <v>838.65672142571418</v>
      </c>
      <c r="R32" s="818">
        <f t="shared" si="40"/>
        <v>1.6615837317320501</v>
      </c>
      <c r="S32" s="818">
        <f t="shared" si="40"/>
        <v>1.5708134979766675</v>
      </c>
      <c r="T32" s="819">
        <f t="shared" si="40"/>
        <v>841.02975599726199</v>
      </c>
      <c r="U32" s="820">
        <f t="shared" si="40"/>
        <v>1.6597578251176444</v>
      </c>
      <c r="V32" s="817">
        <f t="shared" si="40"/>
        <v>1763.7983679528572</v>
      </c>
      <c r="W32" s="821">
        <f t="shared" si="40"/>
        <v>1702.093364541762</v>
      </c>
      <c r="X32" s="1062">
        <f>AVERAGE(X8:X27)</f>
        <v>79.302050106249993</v>
      </c>
      <c r="Y32" s="821">
        <f>AVERAGE(Y8:Y27)</f>
        <v>68.737877929000007</v>
      </c>
      <c r="Z32" s="817">
        <f>AVERAGE(Z8:Z27)</f>
        <v>1858.2123093914288</v>
      </c>
      <c r="AA32" s="821">
        <f>AVERAGE(AA8:AA27)</f>
        <v>1796.5073059803333</v>
      </c>
      <c r="AB32" s="803"/>
      <c r="AC32" s="822">
        <f>AVERAGE(AC8:AC27)</f>
        <v>0.51465165281850844</v>
      </c>
      <c r="AD32" s="820">
        <f>AVERAGE(AD8:AD27)</f>
        <v>0.48534834718149156</v>
      </c>
      <c r="AE32" s="778"/>
      <c r="AF32" s="778"/>
      <c r="AG32" s="778"/>
      <c r="AH32" s="778"/>
      <c r="AI32" s="778"/>
      <c r="AJ32" s="778"/>
      <c r="AK32" s="778"/>
      <c r="AL32" s="817">
        <v>1611.3810864493771</v>
      </c>
      <c r="AM32" s="821">
        <v>1626.2010226289901</v>
      </c>
    </row>
    <row r="33" spans="1:39" s="17" customFormat="1" ht="17.25" customHeight="1" outlineLevel="1">
      <c r="A33" s="12"/>
      <c r="B33" s="12"/>
      <c r="C33" s="788" t="str">
        <f>$C$3+1&amp;" Estimated Summary Statistics "</f>
        <v xml:space="preserve">2025 Estimated Summary Statistics </v>
      </c>
      <c r="D33" s="789"/>
      <c r="E33" s="789"/>
      <c r="F33" s="789"/>
      <c r="G33" s="789"/>
      <c r="H33" s="789"/>
      <c r="I33" s="789"/>
      <c r="J33" s="789"/>
      <c r="K33" s="790"/>
      <c r="L33" s="790"/>
      <c r="M33" s="789"/>
      <c r="N33" s="790"/>
      <c r="O33" s="789"/>
      <c r="P33" s="789"/>
      <c r="Q33" s="789"/>
      <c r="R33" s="790"/>
      <c r="S33" s="790"/>
      <c r="T33" s="789"/>
      <c r="U33" s="790"/>
      <c r="V33" s="789"/>
      <c r="W33" s="791"/>
      <c r="X33" s="789"/>
      <c r="Y33" s="788"/>
      <c r="Z33" s="788"/>
      <c r="AA33" s="788"/>
      <c r="AB33" s="803"/>
      <c r="AC33" s="824"/>
      <c r="AD33" s="824"/>
      <c r="AE33" s="778"/>
      <c r="AF33" s="778"/>
      <c r="AG33" s="778"/>
      <c r="AH33" s="778"/>
      <c r="AI33" s="778"/>
      <c r="AJ33" s="778"/>
      <c r="AK33" s="778"/>
      <c r="AL33" s="823"/>
      <c r="AM33" s="823"/>
    </row>
    <row r="34" spans="1:39" s="17" customFormat="1" ht="17.25" customHeight="1" outlineLevel="1">
      <c r="A34" s="12"/>
      <c r="B34" s="17">
        <v>0.75</v>
      </c>
      <c r="C34" s="796" t="s">
        <v>9</v>
      </c>
      <c r="D34" s="797">
        <f t="shared" ref="D34:E36" si="41">PERCENTILE(D$8:D$27,$B34)</f>
        <v>10464.1094025</v>
      </c>
      <c r="E34" s="797">
        <f t="shared" si="41"/>
        <v>13103.839205</v>
      </c>
      <c r="F34" s="798"/>
      <c r="G34" s="798"/>
      <c r="H34" s="798"/>
      <c r="I34" s="797">
        <f>I74</f>
        <v>597.25</v>
      </c>
      <c r="J34" s="799">
        <f>J74</f>
        <v>0</v>
      </c>
      <c r="K34" s="800">
        <f>K74</f>
        <v>0</v>
      </c>
      <c r="L34" s="800">
        <f>L74</f>
        <v>0</v>
      </c>
      <c r="M34" s="801">
        <f>M74</f>
        <v>447.9375</v>
      </c>
      <c r="N34" s="777">
        <f>PERCENTILE(N$8:N$27,$B34)</f>
        <v>0.75</v>
      </c>
      <c r="O34" s="799" t="s">
        <v>78</v>
      </c>
      <c r="P34" s="797">
        <f>P74</f>
        <v>1045.1875</v>
      </c>
      <c r="Q34" s="799">
        <f>Q74</f>
        <v>0</v>
      </c>
      <c r="R34" s="800">
        <f>R74</f>
        <v>0</v>
      </c>
      <c r="S34" s="800">
        <f>S74</f>
        <v>0</v>
      </c>
      <c r="T34" s="801">
        <f>T74</f>
        <v>1002.7057831853504</v>
      </c>
      <c r="U34" s="777">
        <f>PERCENTILE(U$8:U$27,$B34)</f>
        <v>1.77691256757493</v>
      </c>
      <c r="V34" s="799" t="s">
        <v>78</v>
      </c>
      <c r="W34" s="802">
        <f>W74</f>
        <v>2053.2028843103499</v>
      </c>
      <c r="X34" s="1063">
        <f>X29</f>
        <v>109.41732314750001</v>
      </c>
      <c r="Y34" s="988">
        <f>Y29</f>
        <v>77.815749999999994</v>
      </c>
      <c r="Z34" s="799" t="s">
        <v>78</v>
      </c>
      <c r="AA34" s="802">
        <f>AA74</f>
        <v>2284.5596532103505</v>
      </c>
      <c r="AB34" s="803"/>
      <c r="AC34" s="824"/>
      <c r="AD34" s="824"/>
      <c r="AE34" s="778"/>
      <c r="AF34" s="778"/>
      <c r="AG34" s="778"/>
      <c r="AH34" s="778"/>
      <c r="AI34" s="778"/>
      <c r="AJ34" s="778"/>
      <c r="AK34" s="778"/>
      <c r="AL34" s="722"/>
      <c r="AM34" s="722"/>
    </row>
    <row r="35" spans="1:39" s="17" customFormat="1" ht="17.25" customHeight="1" outlineLevel="1">
      <c r="A35" s="12"/>
      <c r="B35" s="17">
        <v>0.5</v>
      </c>
      <c r="C35" s="806" t="s">
        <v>8</v>
      </c>
      <c r="D35" s="807">
        <f t="shared" si="41"/>
        <v>5657.4490150000001</v>
      </c>
      <c r="E35" s="807">
        <f t="shared" si="41"/>
        <v>6231.8004299999993</v>
      </c>
      <c r="F35" s="808"/>
      <c r="G35" s="808"/>
      <c r="H35" s="808"/>
      <c r="I35" s="807">
        <f t="shared" ref="I35:M37" si="42">I75</f>
        <v>485.49698097630005</v>
      </c>
      <c r="J35" s="809">
        <f t="shared" si="42"/>
        <v>0</v>
      </c>
      <c r="K35" s="810">
        <f t="shared" si="42"/>
        <v>0</v>
      </c>
      <c r="L35" s="810">
        <f t="shared" si="42"/>
        <v>0</v>
      </c>
      <c r="M35" s="811">
        <f t="shared" si="42"/>
        <v>357.0018560625</v>
      </c>
      <c r="N35" s="812">
        <f>PERCENTILE(N$8:N$27,$B35)</f>
        <v>0.75</v>
      </c>
      <c r="O35" s="809" t="s">
        <v>78</v>
      </c>
      <c r="P35" s="807">
        <f t="shared" ref="P35:T37" si="43">P75</f>
        <v>833.00433081250003</v>
      </c>
      <c r="Q35" s="809">
        <f t="shared" si="43"/>
        <v>0</v>
      </c>
      <c r="R35" s="810">
        <f t="shared" si="43"/>
        <v>0</v>
      </c>
      <c r="S35" s="810">
        <f t="shared" si="43"/>
        <v>0</v>
      </c>
      <c r="T35" s="811">
        <f t="shared" si="43"/>
        <v>760.26554496181973</v>
      </c>
      <c r="U35" s="812">
        <f>PERCENTILE(U$8:U$27,$B35)</f>
        <v>1.5</v>
      </c>
      <c r="V35" s="809" t="s">
        <v>78</v>
      </c>
      <c r="W35" s="813">
        <f>W75</f>
        <v>1591.6156004248865</v>
      </c>
      <c r="X35" s="1064">
        <f t="shared" ref="X35:Y37" si="44">X30</f>
        <v>85.164500000000004</v>
      </c>
      <c r="Y35" s="996">
        <f t="shared" si="44"/>
        <v>38.710768334999997</v>
      </c>
      <c r="Z35" s="809" t="s">
        <v>78</v>
      </c>
      <c r="AA35" s="813">
        <f t="shared" ref="AA35:AA37" si="45">AA75</f>
        <v>1639.1807900000001</v>
      </c>
      <c r="AB35" s="803"/>
      <c r="AC35" s="824"/>
      <c r="AD35" s="824"/>
      <c r="AE35" s="778"/>
      <c r="AF35" s="778"/>
      <c r="AG35" s="778"/>
      <c r="AH35" s="778"/>
      <c r="AI35" s="778"/>
      <c r="AJ35" s="778"/>
      <c r="AK35" s="778"/>
      <c r="AL35" s="722"/>
      <c r="AM35" s="722"/>
    </row>
    <row r="36" spans="1:39" s="17" customFormat="1" ht="17.25" customHeight="1" outlineLevel="1">
      <c r="A36" s="12"/>
      <c r="B36" s="17">
        <v>0.25</v>
      </c>
      <c r="C36" s="796" t="s">
        <v>7</v>
      </c>
      <c r="D36" s="797">
        <f t="shared" si="41"/>
        <v>4590.7197175000001</v>
      </c>
      <c r="E36" s="797">
        <f t="shared" si="41"/>
        <v>4910.1473049999995</v>
      </c>
      <c r="F36" s="798"/>
      <c r="G36" s="798"/>
      <c r="H36" s="798"/>
      <c r="I36" s="797">
        <f t="shared" si="42"/>
        <v>462.93167408810007</v>
      </c>
      <c r="J36" s="799">
        <f t="shared" si="42"/>
        <v>0</v>
      </c>
      <c r="K36" s="800">
        <f t="shared" si="42"/>
        <v>0</v>
      </c>
      <c r="L36" s="800">
        <f t="shared" si="42"/>
        <v>0</v>
      </c>
      <c r="M36" s="801">
        <f t="shared" si="42"/>
        <v>291.49182360367001</v>
      </c>
      <c r="N36" s="777">
        <f>PERCENTILE(N$8:N$27,$B36)</f>
        <v>0.66249999999999998</v>
      </c>
      <c r="O36" s="799" t="s">
        <v>78</v>
      </c>
      <c r="P36" s="797">
        <f t="shared" si="43"/>
        <v>754.47662098104001</v>
      </c>
      <c r="Q36" s="799">
        <f t="shared" si="43"/>
        <v>0</v>
      </c>
      <c r="R36" s="800">
        <f t="shared" si="43"/>
        <v>0</v>
      </c>
      <c r="S36" s="800">
        <f t="shared" si="43"/>
        <v>0</v>
      </c>
      <c r="T36" s="801">
        <f t="shared" si="43"/>
        <v>700.41442000000006</v>
      </c>
      <c r="U36" s="777">
        <f>PERCENTILE(U$8:U$27,$B36)</f>
        <v>1.4878190559031899</v>
      </c>
      <c r="V36" s="799" t="s">
        <v>78</v>
      </c>
      <c r="W36" s="802">
        <f>W76</f>
        <v>1457.4747200000002</v>
      </c>
      <c r="X36" s="1063">
        <f t="shared" si="44"/>
        <v>34.836572250000003</v>
      </c>
      <c r="Y36" s="988">
        <f t="shared" si="44"/>
        <v>18.69275</v>
      </c>
      <c r="Z36" s="799" t="s">
        <v>78</v>
      </c>
      <c r="AA36" s="802">
        <f t="shared" si="45"/>
        <v>1557.1222647336897</v>
      </c>
      <c r="AB36" s="803"/>
      <c r="AC36" s="824"/>
      <c r="AD36" s="824"/>
      <c r="AE36" s="778"/>
      <c r="AF36" s="778"/>
      <c r="AG36" s="778"/>
      <c r="AH36" s="778"/>
      <c r="AI36" s="778"/>
      <c r="AJ36" s="778"/>
      <c r="AK36" s="778"/>
      <c r="AL36" s="722"/>
      <c r="AM36" s="722"/>
    </row>
    <row r="37" spans="1:39" s="17" customFormat="1" ht="17.25" customHeight="1" outlineLevel="1">
      <c r="A37" s="12"/>
      <c r="B37" s="12"/>
      <c r="C37" s="815" t="s">
        <v>6</v>
      </c>
      <c r="D37" s="816">
        <f>AVERAGE(D13:D32)</f>
        <v>5293.3213589560437</v>
      </c>
      <c r="E37" s="816">
        <f>AVERAGE(E13:E32)</f>
        <v>5905.9966228571429</v>
      </c>
      <c r="F37" s="815"/>
      <c r="G37" s="815"/>
      <c r="H37" s="815"/>
      <c r="I37" s="816">
        <f t="shared" si="42"/>
        <v>518.0215478145285</v>
      </c>
      <c r="J37" s="817">
        <f t="shared" si="42"/>
        <v>0</v>
      </c>
      <c r="K37" s="818">
        <f t="shared" si="42"/>
        <v>0</v>
      </c>
      <c r="L37" s="818">
        <f t="shared" si="42"/>
        <v>0</v>
      </c>
      <c r="M37" s="819">
        <f t="shared" si="42"/>
        <v>372.78941158693152</v>
      </c>
      <c r="N37" s="820">
        <f>AVERAGE(N13:N32)</f>
        <v>0.70975274725274717</v>
      </c>
      <c r="O37" s="817" t="s">
        <v>78</v>
      </c>
      <c r="P37" s="816">
        <f t="shared" si="43"/>
        <v>890.81095940146008</v>
      </c>
      <c r="Q37" s="817">
        <f t="shared" si="43"/>
        <v>0</v>
      </c>
      <c r="R37" s="818">
        <f t="shared" si="43"/>
        <v>0</v>
      </c>
      <c r="S37" s="818">
        <f t="shared" si="43"/>
        <v>0</v>
      </c>
      <c r="T37" s="819">
        <f t="shared" si="43"/>
        <v>871.17472166988671</v>
      </c>
      <c r="U37" s="820">
        <f>AVERAGE(U13:U32)</f>
        <v>1.6710275390019464</v>
      </c>
      <c r="V37" s="817" t="s">
        <v>78</v>
      </c>
      <c r="W37" s="821">
        <f>W77</f>
        <v>1761.9856810713468</v>
      </c>
      <c r="X37" s="1065">
        <f t="shared" si="44"/>
        <v>79.302050106249993</v>
      </c>
      <c r="Y37" s="1003">
        <f t="shared" si="44"/>
        <v>68.737877929000007</v>
      </c>
      <c r="Z37" s="817" t="s">
        <v>78</v>
      </c>
      <c r="AA37" s="821">
        <f t="shared" si="45"/>
        <v>1856.3996225099183</v>
      </c>
      <c r="AB37" s="803"/>
      <c r="AC37" s="824"/>
      <c r="AD37" s="824"/>
      <c r="AE37" s="778"/>
      <c r="AF37" s="778"/>
      <c r="AG37" s="778"/>
      <c r="AH37" s="778"/>
      <c r="AI37" s="778"/>
      <c r="AJ37" s="778"/>
      <c r="AK37" s="778"/>
      <c r="AL37" s="722"/>
      <c r="AM37" s="722"/>
    </row>
    <row r="38" spans="1:39" ht="7.5" customHeight="1">
      <c r="C38" s="957"/>
      <c r="D38" s="825"/>
      <c r="E38" s="825"/>
      <c r="F38" s="825"/>
      <c r="G38" s="825"/>
      <c r="H38" s="825"/>
      <c r="I38" s="826"/>
      <c r="J38" s="827"/>
      <c r="K38" s="828"/>
      <c r="L38" s="828"/>
      <c r="M38" s="826"/>
      <c r="N38" s="829"/>
      <c r="O38" s="827"/>
      <c r="P38" s="826"/>
      <c r="Q38" s="826"/>
      <c r="R38" s="829"/>
      <c r="S38" s="829"/>
      <c r="T38" s="827"/>
      <c r="U38" s="828"/>
      <c r="V38" s="827"/>
      <c r="W38" s="826"/>
      <c r="X38" s="828"/>
      <c r="Y38" s="827"/>
      <c r="Z38" s="826"/>
      <c r="AA38" s="958"/>
      <c r="AB38" s="775"/>
      <c r="AC38" s="825"/>
      <c r="AD38" s="825"/>
      <c r="AE38" s="778"/>
      <c r="AF38" s="778"/>
      <c r="AG38" s="778"/>
      <c r="AH38" s="778"/>
      <c r="AI38" s="778"/>
      <c r="AJ38" s="778"/>
      <c r="AK38" s="778"/>
      <c r="AL38" s="722"/>
      <c r="AM38" s="722"/>
    </row>
    <row r="39" spans="1:39" s="35" customFormat="1" ht="17.25" customHeight="1">
      <c r="A39" s="35" t="str">
        <f>$B39&amp;"_"&amp;$C$3&amp;"_"&amp;$C$2</f>
        <v>TSX:HBM_2024_NEO3</v>
      </c>
      <c r="B39" s="35" t="str">
        <f>'Raw Data'!G6</f>
        <v>TSX:HBM</v>
      </c>
      <c r="C39" s="830" t="str">
        <f>IFERROR(INDEX(Raw_Data,MATCH($A39,Look_Up,0),MATCH(C$4,Component,0)),"-")</f>
        <v>Hudbay Minerals Inc.</v>
      </c>
      <c r="D39" s="831">
        <f>_xll.ciqfunctions.udf.CIQ(B39, "IQ_MARKETCAP", $A$1,$A$2)</f>
        <v>5664.3295799999996</v>
      </c>
      <c r="E39" s="831">
        <f>_xll.ciqfunctions.udf.CIQ($B39, "IQ_TEV", $A$1,$A$2)</f>
        <v>6773.8200500000003</v>
      </c>
      <c r="F39" s="832" t="str">
        <f>IFERROR(INDEX(Raw_Data,MATCH($A39,Look_Up,0),MATCH(F$4,Component,0)),"-")</f>
        <v>Javier Del Rio</v>
      </c>
      <c r="G39" s="832" t="str">
        <f>IFERROR(INDEX(Raw_Data,MATCH($A39,Look_Up,0),MATCH(G$4,Component,0)),"-")</f>
        <v>SVP, US Business Unit</v>
      </c>
      <c r="H39" s="832" t="str">
        <f>IFERROR(INDEX(Raw_Data,MATCH($A39,Look_Up,0),MATCH(H$4,Component,0))/1000,"-")</f>
        <v>-</v>
      </c>
      <c r="I39" s="831">
        <f>IFERROR(INDEX(Raw_Data,MATCH($A39,Look_Up,0),MATCH(I$4,Component,0))/1000,"-")</f>
        <v>606.75786177999998</v>
      </c>
      <c r="J39" s="831">
        <f>IFERROR(INDEX(Raw_Data,MATCH($A39,Look_Up,0),MATCH(J$4,Component,0))/1000,"-")</f>
        <v>609.73935170000004</v>
      </c>
      <c r="K39" s="833">
        <f>IFERROR(INDEX(Raw_Data,MATCH($A39,Look_Up,0),MATCH(K$4,Component,0)),"-")</f>
        <v>1.0049138051730444</v>
      </c>
      <c r="L39" s="833">
        <f>IFERROR(INDEX(Raw_Data,MATCH($A39,Look_Up,0),MATCH(L$4,Component,0)),"-")</f>
        <v>1.0049138051730444</v>
      </c>
      <c r="M39" s="831">
        <f>IFERROR(INDEX(Raw_Data,MATCH($A39,Look_Up,0),MATCH(M$4,Component,0))/1000,"-")</f>
        <v>364.054717068</v>
      </c>
      <c r="N39" s="833">
        <f>IFERROR(IF(INDEX(Raw_Data,MATCH($A39,Look_Up,0),MATCH(N$4,Component,0))="-",L39,INDEX(Raw_Data,MATCH($A39,Look_Up,0),MATCH(N$4,Component,0))),"-")</f>
        <v>0.6</v>
      </c>
      <c r="O39" s="833" t="s">
        <v>78</v>
      </c>
      <c r="P39" s="831">
        <f>IFERROR(INDEX(Raw_Data,MATCH($A39,Look_Up,0),MATCH(P$4,Component,0))/1000,"-")</f>
        <v>970.81257884800004</v>
      </c>
      <c r="Q39" s="831">
        <f>IFERROR(INDEX(Raw_Data,MATCH($A39,Look_Up,0),MATCH(Q$4,Component,0))/1000,"-")</f>
        <v>875.76333788000011</v>
      </c>
      <c r="R39" s="833">
        <f>IFERROR(INDEX(Raw_Data,MATCH($A39,Look_Up,0),MATCH(R$4,Component,0)),"-")</f>
        <v>1.4433489750109523</v>
      </c>
      <c r="S39" s="833">
        <f>IFERROR(INDEX(Raw_Data,MATCH($A39,Look_Up,0),MATCH(S$4,Component,0)),"-")</f>
        <v>1.4433489750109523</v>
      </c>
      <c r="T39" s="831">
        <f>IFERROR(INDEX(Raw_Data,MATCH($A39,Look_Up,0),MATCH(T$4,Component,0))/1000,"-")</f>
        <v>728.109434136</v>
      </c>
      <c r="U39" s="833">
        <f>IFERROR(IF(INDEX(Raw_Data,MATCH($A39,Look_Up,0),MATCH(U$4,Component,0))="-",S39,INDEX(Raw_Data,MATCH($A39,Look_Up,0),MATCH(U$4,Component,0))),"-")</f>
        <v>1.2</v>
      </c>
      <c r="V39" s="833" t="s">
        <v>78</v>
      </c>
      <c r="W39" s="834">
        <f>IFERROR(INDEX(Raw_Data,MATCH($A39,Look_Up,0),MATCH(W$4,Component,0))/1000,"-")</f>
        <v>1698.922012984</v>
      </c>
      <c r="X39" s="1074">
        <f>IFERROR((INDEX(Raw_Data,MATCH($A39,Look_Up,0),MATCH(X$4,Component,0))/1000),"-")</f>
        <v>18.43563735</v>
      </c>
      <c r="Y39" s="831">
        <f>IFERROR((INDEX(Raw_Data,MATCH($A39,Look_Up,0),MATCH(Y$4,Component,0))/1000),"-")</f>
        <v>101.602</v>
      </c>
      <c r="Z39" s="831">
        <f t="shared" ref="Z39:AA39" si="46">IFERROR(INDEX(Raw_Data,MATCH($A39,Look_Up,0),MATCH(Z$4,Component,0))/1000,"-")</f>
        <v>2212.29818871</v>
      </c>
      <c r="AA39" s="834">
        <f t="shared" si="46"/>
        <v>1818.9596503340001</v>
      </c>
      <c r="AB39" s="1019">
        <f>AA39-421713/1000</f>
        <v>1397.2466503340002</v>
      </c>
      <c r="AC39" s="837">
        <f>IFERROR(P39/W39,0)</f>
        <v>0.5714285714285714</v>
      </c>
      <c r="AD39" s="838">
        <f>IFERROR(T39/W39,0)</f>
        <v>0.42857142857142855</v>
      </c>
      <c r="AE39" s="778" t="str">
        <f>B39&amp;"_"&amp;$AE$6&amp;"_"&amp;$C$2</f>
        <v>TSX:HBM_2023_NEO3</v>
      </c>
      <c r="AF39" s="778"/>
      <c r="AG39" s="778"/>
      <c r="AH39" s="778"/>
      <c r="AI39" s="778"/>
      <c r="AJ39" s="778"/>
      <c r="AK39" s="778"/>
      <c r="AL39" s="722"/>
      <c r="AM39" s="722"/>
    </row>
    <row r="40" spans="1:39" ht="17.25" customHeight="1">
      <c r="B40" s="33"/>
      <c r="C40" s="858" t="s">
        <v>5</v>
      </c>
      <c r="D40" s="859">
        <f>IF(D$39&gt;=MAX(D$8:D$27),"max",IF(D$39&lt;=MIN(D$8:D$27),"min",PERCENTRANK(D$8:D$27,D$39)))</f>
        <v>0.502</v>
      </c>
      <c r="E40" s="859">
        <f>IF(E$39&gt;=MAX(E$8:E$27),"max",IF(E$39&lt;=MIN(E$8:E$27),"min",PERCENTRANK(E$8:E$27,E$39)))</f>
        <v>0.60199999999999998</v>
      </c>
      <c r="F40" s="860"/>
      <c r="G40" s="860"/>
      <c r="H40" s="860"/>
      <c r="I40" s="859">
        <f>IF(I$39&gt;=MAX(I$53:I$72),"max",IF(I$39&lt;=MIN(I$53:I$72),"min",PERCENTRANK(I$53:I$72,I$39)))</f>
        <v>0.75800000000000001</v>
      </c>
      <c r="J40" s="859">
        <f>IF(J$39&gt;=MAX(J$8:J$27),"max",IF(J$39&lt;=MIN(J$8:J$27),"min",PERCENTRANK(J$8:J$27,J$39)))</f>
        <v>0.92500000000000004</v>
      </c>
      <c r="K40" s="859">
        <f>IF(K$39&gt;=MAX(K$8:K$27),"max",IF(K$39&lt;=MIN(K$8:K$27),"min",PERCENTRANK(K$8:K$27,K$39)))</f>
        <v>0.85599999999999998</v>
      </c>
      <c r="L40" s="859">
        <f>IF(L$39&gt;=MAX(L$8:L$27),"max",IF(L$39&lt;=MIN(L$8:L$27),"min",PERCENTRANK(L$8:L$27,L$39)))</f>
        <v>0.85599999999999998</v>
      </c>
      <c r="M40" s="859">
        <f>IF(M$39&gt;=MAX(M$53:M$72),"max",IF(M$39&lt;=MIN(M$53:M$72),"min",PERCENTRANK(M$53:M$72,M$39)))</f>
        <v>0.53300000000000003</v>
      </c>
      <c r="N40" s="859" t="str">
        <f>IF(N$39&gt;=MAX(N$8:N$27),"max",IF(N$39&lt;=MIN(N$8:N$27),"min",PERCENTRANK(N$8:N$27,N$39)))</f>
        <v>min</v>
      </c>
      <c r="O40" s="859" t="s">
        <v>78</v>
      </c>
      <c r="P40" s="859">
        <f>IF(P$39&gt;=MAX(P$53:P$72),"max",IF(P$39&lt;=MIN(P$53:P$72),"min",PERCENTRANK(P$53:P$72,P$39)))</f>
        <v>0.71</v>
      </c>
      <c r="Q40" s="859">
        <f>IF(Q$39&gt;=MAX(Q$8:Q$27),"max",IF(Q$39&lt;=MIN(Q$8:Q$27),"min",PERCENTRANK(Q$8:Q$27,Q$39)))</f>
        <v>0.59599999999999997</v>
      </c>
      <c r="R40" s="859">
        <f>IF(R$39&gt;=MAX(R$8:R$27),"max",IF(R$39&lt;=MIN(R$8:R$27),"min",PERCENTRANK(R$8:R$27,R$39)))</f>
        <v>0.22900000000000001</v>
      </c>
      <c r="S40" s="859">
        <f>IF(S$39&gt;=MAX(S$8:S$27),"max",IF(S$39&lt;=MIN(S$8:S$27),"min",PERCENTRANK(S$8:S$27,S$39)))</f>
        <v>0.32900000000000001</v>
      </c>
      <c r="T40" s="859">
        <f>IF(T$39&gt;=MAX(T$53:T$72),"max",IF(T$39&lt;=MIN(T$53:T$72),"min",PERCENTRANK(T$53:T$72,T$39)))</f>
        <v>0.434</v>
      </c>
      <c r="U40" s="859">
        <f>IF(U39&gt;=MAX(U$8:U$27),"max",IF(U39&lt;=MIN(U$8:U$27),"min",PERCENTRANK(U$8:U$27,U39)))</f>
        <v>5.1999999999999998E-2</v>
      </c>
      <c r="V40" s="859" t="s">
        <v>78</v>
      </c>
      <c r="W40" s="861">
        <f>IF(W$39&gt;=MAX(W$53:W$72),"max",IF(W$39&lt;=MIN(W$53:W$72),"min",PERCENTRANK(W$53:W$72,W$39)))</f>
        <v>0.621</v>
      </c>
      <c r="X40" s="1075" t="str">
        <f>IF(X$39&gt;=MAX(X$8:X$27),"max",IF(X$39&lt;=MIN(X$8:X$27),"min",PERCENTRANK(X$8:X$27,X$39)))</f>
        <v>min</v>
      </c>
      <c r="Y40" s="859">
        <f>IF(Y$39&gt;=MAX(Y$8:Y$27),"max",IF(Y$39&lt;=MIN(Y$8:Y$27),"min",PERCENTRANK(Y$8:Y$27,Y$39)))</f>
        <v>0.83499999999999996</v>
      </c>
      <c r="Z40" s="859">
        <f>IF(Z$39&gt;=MAX(Z$8:Z$27),"max",IF(Z$39&lt;=MIN(Z$8:Z$27),"min",PERCENTRANK(Z$8:Z$27,Z$39)))</f>
        <v>0.745</v>
      </c>
      <c r="AA40" s="861">
        <f>IF(AA$39&gt;=MAX(AA$53:AA$72),"max",IF(AA$39&lt;=MIN(AA$53:AA$72),"min",PERCENTRANK(AA$53:AA$72,AA$39)))</f>
        <v>0.62</v>
      </c>
      <c r="AB40" s="861">
        <f>IF(AB$39&gt;=MAX(AA$53:AA$72),"max",IF(AB$39&lt;=MIN(AA$53:AA$72),"min",PERCENTRANK(AA$53:AA$72,AB$39)))</f>
        <v>0.16600000000000001</v>
      </c>
      <c r="AC40" s="843">
        <f>IF(AC$39&gt;=MAX(AC$8:AC27),"max",IF(AC$39&lt;=MIN(AC$8:AC27),"min",PERCENTRANK(AC$8:AC27,AC$39)))</f>
        <v>0.93</v>
      </c>
      <c r="AD40" s="844">
        <f>IF(AD$39&gt;=MAX(AD$8:AD27),"max",IF(AD$39&lt;=MIN(AD$8:AD27),"min",PERCENTRANK(AD$8:AD27,AD$39)))</f>
        <v>6.9000000000000006E-2</v>
      </c>
      <c r="AE40" s="778"/>
      <c r="AF40" s="778"/>
      <c r="AG40" s="778"/>
      <c r="AH40" s="778"/>
      <c r="AI40" s="778"/>
      <c r="AJ40" s="778"/>
      <c r="AK40" s="778"/>
      <c r="AL40" s="722"/>
      <c r="AM40" s="722"/>
    </row>
    <row r="41" spans="1:39" ht="17.25" customHeight="1">
      <c r="A41" s="35" t="str">
        <f>$B41&amp;"_"&amp;$C$3&amp;"_"&amp;"NEO4"</f>
        <v>TSX:HBM_2024_NEO4</v>
      </c>
      <c r="B41" s="35" t="str">
        <f>B43</f>
        <v>TSX:HBM</v>
      </c>
      <c r="C41" s="862" t="str">
        <f>IFERROR(INDEX(Raw_Data,MATCH($A41,Look_Up,0),MATCH(C$4,Component,0)),"-")</f>
        <v>Hudbay Minerals Inc.</v>
      </c>
      <c r="D41" s="863">
        <f>_xll.ciqfunctions.udf.CIQ(B41, "IQ_MARKETCAP", $A$1,$A$2)</f>
        <v>5664.3295799999996</v>
      </c>
      <c r="E41" s="863">
        <f>_xll.ciqfunctions.udf.CIQ($B41, "IQ_TEV", $A$1,$A$2)</f>
        <v>6773.8200500000003</v>
      </c>
      <c r="F41" s="864" t="str">
        <f>IFERROR(INDEX(Raw_Data,MATCH($A41,Look_Up,0),MATCH(F$4,Component,0)),"-")</f>
        <v>Olivier Tavchandjian</v>
      </c>
      <c r="G41" s="864" t="str">
        <f>IFERROR(INDEX(Raw_Data,MATCH($A41,Look_Up,0),MATCH(G$4,Component,0)),"-")</f>
        <v>SVP, Exploration and Technical Services</v>
      </c>
      <c r="H41" s="864" t="str">
        <f>IFERROR(INDEX(Raw_Data,MATCH($A41,Look_Up,0),MATCH(H$4,Component,0))/1000,"-")</f>
        <v>-</v>
      </c>
      <c r="I41" s="863">
        <f>IFERROR(INDEX(Raw_Data,MATCH($A41,Look_Up,0),MATCH(I$4,Component,0))/1000,"-")</f>
        <v>465.85</v>
      </c>
      <c r="J41" s="863">
        <f>IFERROR(INDEX(Raw_Data,MATCH($A41,Look_Up,0),MATCH(J$4,Component,0))/1000,"-")</f>
        <v>0</v>
      </c>
      <c r="K41" s="865">
        <f>IFERROR(INDEX(Raw_Data,MATCH($A41,Look_Up,0),MATCH(K$4,Component,0)),"-")</f>
        <v>0</v>
      </c>
      <c r="L41" s="865">
        <f>IFERROR(INDEX(Raw_Data,MATCH($A41,Look_Up,0),MATCH(L$4,Component,0)),"-")</f>
        <v>0</v>
      </c>
      <c r="M41" s="863">
        <f>IFERROR(INDEX(Raw_Data,MATCH($A41,Look_Up,0),MATCH(M$4,Component,0))/1000,"-")</f>
        <v>279.51</v>
      </c>
      <c r="N41" s="865">
        <f>IFERROR(IF(INDEX(Raw_Data,MATCH($A41,Look_Up,0),MATCH(N$4,Component,0))="-",L41,INDEX(Raw_Data,MATCH($A41,Look_Up,0),MATCH(N$4,Component,0))),"-")</f>
        <v>0.6</v>
      </c>
      <c r="O41" s="865" t="s">
        <v>78</v>
      </c>
      <c r="P41" s="863">
        <f>IFERROR(INDEX(Raw_Data,MATCH($A41,Look_Up,0),MATCH(P$4,Component,0))/1000,"-")</f>
        <v>745.36</v>
      </c>
      <c r="Q41" s="863" t="str">
        <f>IFERROR(INDEX(Raw_Data,MATCH($A41,Look_Up,0),MATCH(Q$4,Component,0))/1000,"-")</f>
        <v>-</v>
      </c>
      <c r="R41" s="865" t="str">
        <f>IFERROR(INDEX(Raw_Data,MATCH($A41,Look_Up,0),MATCH(R$4,Component,0)),"-")</f>
        <v>-</v>
      </c>
      <c r="S41" s="865" t="str">
        <f>IFERROR(INDEX(Raw_Data,MATCH($A41,Look_Up,0),MATCH(S$4,Component,0)),"-")</f>
        <v>N/A</v>
      </c>
      <c r="T41" s="863">
        <f>IFERROR(INDEX(Raw_Data,MATCH($A41,Look_Up,0),MATCH(T$4,Component,0))/1000,"-")</f>
        <v>559.02</v>
      </c>
      <c r="U41" s="865">
        <f>IFERROR(IF(INDEX(Raw_Data,MATCH($A41,Look_Up,0),MATCH(U$4,Component,0))="-",S41,INDEX(Raw_Data,MATCH($A41,Look_Up,0),MATCH(U$4,Component,0))),"-")</f>
        <v>1.2</v>
      </c>
      <c r="V41" s="865" t="s">
        <v>78</v>
      </c>
      <c r="W41" s="1077">
        <f>IFERROR(INDEX(Raw_Data,MATCH($A41,Look_Up,0),MATCH(W$4,Component,0))/1000,"-")</f>
        <v>1304.3800000000001</v>
      </c>
      <c r="X41" s="1076" t="s">
        <v>822</v>
      </c>
      <c r="Y41" s="955" t="s">
        <v>822</v>
      </c>
      <c r="Z41" s="955" t="s">
        <v>822</v>
      </c>
      <c r="AA41" s="959" t="s">
        <v>822</v>
      </c>
      <c r="AB41" s="775"/>
      <c r="AC41" s="837">
        <f>IFERROR(P41/W41,0)</f>
        <v>0.5714285714285714</v>
      </c>
      <c r="AD41" s="838">
        <f>IFERROR(T41/W41,0)</f>
        <v>0.42857142857142855</v>
      </c>
      <c r="AE41" s="778" t="str">
        <f>B41&amp;"_"&amp;$AE$6&amp;"_"&amp;"NEO4"</f>
        <v>TSX:HBM_2023_NEO4</v>
      </c>
      <c r="AF41" s="778"/>
      <c r="AG41" s="778"/>
      <c r="AH41" s="778"/>
      <c r="AI41" s="778"/>
      <c r="AJ41" s="778"/>
      <c r="AK41" s="778"/>
      <c r="AL41" s="722"/>
      <c r="AM41" s="722"/>
    </row>
    <row r="42" spans="1:39" ht="17.25" customHeight="1">
      <c r="B42" s="33"/>
      <c r="C42" s="858" t="s">
        <v>5</v>
      </c>
      <c r="D42" s="859">
        <f>IF(D$39&gt;=MAX(D$8:D$27),"max",IF(D$39&lt;=MIN(D$8:D$27),"min",PERCENTRANK(D$8:D$27,D$39)))</f>
        <v>0.502</v>
      </c>
      <c r="E42" s="859">
        <f>IF(E$39&gt;=MAX(E$8:E$27),"max",IF(E$39&lt;=MIN(E$8:E$27),"min",PERCENTRANK(E$8:E$27,E$39)))</f>
        <v>0.60199999999999998</v>
      </c>
      <c r="F42" s="860"/>
      <c r="G42" s="860"/>
      <c r="H42" s="860"/>
      <c r="I42" s="859">
        <f>IF(I41&gt;=MAX(I$53:I$72),"max",IF(I41&lt;=MIN(I$53:I$72),"min",PERCENTRANK(I$53:I$72,I41)))</f>
        <v>0.38500000000000001</v>
      </c>
      <c r="J42" s="859" t="str">
        <f>IF(J41&gt;=MAX(J$53:J$72),"max",IF(J41&lt;=MIN(J$53:J$72),"min",PERCENTRANK(J$53:J$72,J41)))</f>
        <v>max</v>
      </c>
      <c r="K42" s="859" t="str">
        <f>IF(K41&gt;=MAX(K$53:K$72),"max",IF(K41&lt;=MIN(K$53:K$72),"min",PERCENTRANK(K$53:K$72,K41)))</f>
        <v>max</v>
      </c>
      <c r="L42" s="859" t="str">
        <f>IF(L41&gt;=MAX(L$53:L$72),"max",IF(L41&lt;=MIN(L$53:L$72),"min",PERCENTRANK(L$53:L$72,L41)))</f>
        <v>max</v>
      </c>
      <c r="M42" s="859">
        <f>IF(M41&gt;=MAX(M$53:M$72),"max",IF(M41&lt;=MIN(M$53:M$72),"min",PERCENTRANK(M$53:M$72,M41)))</f>
        <v>1.4999999999999999E-2</v>
      </c>
      <c r="N42" s="859" t="str">
        <f>IF(N41&gt;=MAX(N$8:N$27),"max",IF(N41&lt;=MIN(N$8:N$27),"min",PERCENTRANK(N$8:N$27,N41)))</f>
        <v>min</v>
      </c>
      <c r="O42" s="859" t="s">
        <v>78</v>
      </c>
      <c r="P42" s="859">
        <f>IF(P41&gt;=MAX(P$53:P$72),"max",IF(P41&lt;=MIN(P$53:P$72),"min",PERCENTRANK(P$53:P$72,P41)))</f>
        <v>0.20799999999999999</v>
      </c>
      <c r="Q42" s="859" t="str">
        <f>IF(Q41&gt;=MAX(Q$53:Q$72),"max",IF(Q41&lt;=MIN(Q$53:Q$72),"min",PERCENTRANK(Q$53:Q$72,Q41)))</f>
        <v>max</v>
      </c>
      <c r="R42" s="859" t="str">
        <f>IF(R41&gt;=MAX(R$53:R$72),"max",IF(R41&lt;=MIN(R$53:R$72),"min",PERCENTRANK(R$53:R$72,R41)))</f>
        <v>max</v>
      </c>
      <c r="S42" s="859" t="str">
        <f>IF(S41&gt;=MAX(S$53:S$72),"max",IF(S41&lt;=MIN(S$53:S$72),"min",PERCENTRANK(S$53:S$72,S41)))</f>
        <v>max</v>
      </c>
      <c r="T42" s="859">
        <f>IF(T41&gt;=MAX(T$53:T$72),"max",IF(T41&lt;=MIN(T$53:T$72),"min",PERCENTRANK(T$53:T$72,T41)))</f>
        <v>6.0999999999999999E-2</v>
      </c>
      <c r="U42" s="859">
        <f>IF(U41&gt;=MAX(U$8:U$27),"max",IF(U41&lt;=MIN(U$8:U$27),"min",PERCENTRANK(U$8:U$27,U41)))</f>
        <v>5.1999999999999998E-2</v>
      </c>
      <c r="V42" s="859" t="s">
        <v>78</v>
      </c>
      <c r="W42" s="861">
        <f>IF(W41&gt;=MAX(W$53:W$72),"max",IF(W41&lt;=MIN(W$53:W$72),"min",PERCENTRANK(W$53:W$72,W41)))</f>
        <v>1.0999999999999999E-2</v>
      </c>
      <c r="X42" s="1075" t="s">
        <v>78</v>
      </c>
      <c r="Y42" s="859" t="s">
        <v>78</v>
      </c>
      <c r="Z42" s="859" t="s">
        <v>78</v>
      </c>
      <c r="AA42" s="861" t="s">
        <v>78</v>
      </c>
      <c r="AB42" s="1066"/>
      <c r="AC42" s="1067">
        <f>IF(AC$39&gt;=MAX(AC$8:AC31),"max",IF(AC$39&lt;=MIN(AC$8:AC31),"min",PERCENTRANK(AC$8:AC31,AC$39)))</f>
        <v>0.94299999999999995</v>
      </c>
      <c r="AD42" s="1068">
        <f>IF(AD$39&gt;=MAX(AD$8:AD31),"max",IF(AD$39&lt;=MIN(AD$8:AD31),"min",PERCENTRANK(AD$8:AD31,AD$39)))</f>
        <v>5.6000000000000001E-2</v>
      </c>
      <c r="AE42" s="1069"/>
      <c r="AF42" s="1069"/>
      <c r="AG42" s="778"/>
      <c r="AH42" s="778"/>
      <c r="AI42" s="778"/>
      <c r="AJ42" s="778"/>
      <c r="AK42" s="778"/>
      <c r="AL42" s="722"/>
      <c r="AM42" s="722"/>
    </row>
    <row r="43" spans="1:39" ht="17.25" customHeight="1">
      <c r="A43" s="35" t="str">
        <f>$B43&amp;"_"&amp;$C$3&amp;"_"&amp;"NEO5"</f>
        <v>TSX:HBM_2024_NEO5</v>
      </c>
      <c r="B43" s="35" t="str">
        <f>B39</f>
        <v>TSX:HBM</v>
      </c>
      <c r="C43" s="862" t="str">
        <f>IFERROR(INDEX(Raw_Data,MATCH($A43,Look_Up,0),MATCH(C$4,Component,0)),"-")</f>
        <v>Hudbay Minerals Inc.</v>
      </c>
      <c r="D43" s="863">
        <f>_xll.ciqfunctions.udf.CIQ(B43, "IQ_MARKETCAP", $A$1,$A$2)</f>
        <v>5664.3295799999996</v>
      </c>
      <c r="E43" s="863">
        <f>_xll.ciqfunctions.udf.CIQ($B43, "IQ_TEV", $A$1,$A$2)</f>
        <v>6773.8200500000003</v>
      </c>
      <c r="F43" s="864" t="str">
        <f>IFERROR(INDEX(Raw_Data,MATCH($A43,Look_Up,0),MATCH(F$4,Component,0)),"-")</f>
        <v>Rob Carter</v>
      </c>
      <c r="G43" s="864" t="str">
        <f>IFERROR(INDEX(Raw_Data,MATCH($A43,Look_Up,0),MATCH(G$4,Component,0)),"-")</f>
        <v>SVP, Canada</v>
      </c>
      <c r="H43" s="864" t="str">
        <f>IFERROR(INDEX(Raw_Data,MATCH($A43,Look_Up,0),MATCH(H$4,Component,0))/1000,"-")</f>
        <v>-</v>
      </c>
      <c r="I43" s="863">
        <f>IFERROR(INDEX(Raw_Data,MATCH($A43,Look_Up,0),MATCH(I$4,Component,0))/1000,"-")</f>
        <v>453.5</v>
      </c>
      <c r="J43" s="863">
        <f>IFERROR(INDEX(Raw_Data,MATCH($A43,Look_Up,0),MATCH(J$4,Component,0))/1000,"-")</f>
        <v>0</v>
      </c>
      <c r="K43" s="865">
        <f>IFERROR(INDEX(Raw_Data,MATCH($A43,Look_Up,0),MATCH(K$4,Component,0)),"-")</f>
        <v>0</v>
      </c>
      <c r="L43" s="865">
        <f>IFERROR(INDEX(Raw_Data,MATCH($A43,Look_Up,0),MATCH(L$4,Component,0)),"-")</f>
        <v>0</v>
      </c>
      <c r="M43" s="863">
        <f>IFERROR(INDEX(Raw_Data,MATCH($A43,Look_Up,0),MATCH(M$4,Component,0))/1000,"-")</f>
        <v>272.10000000000002</v>
      </c>
      <c r="N43" s="865">
        <f>IFERROR(IF(INDEX(Raw_Data,MATCH($A43,Look_Up,0),MATCH(N$4,Component,0))="-",L43,INDEX(Raw_Data,MATCH($A43,Look_Up,0),MATCH(N$4,Component,0))),"-")</f>
        <v>0.6</v>
      </c>
      <c r="O43" s="865" t="s">
        <v>78</v>
      </c>
      <c r="P43" s="863">
        <f>IFERROR(INDEX(Raw_Data,MATCH($A43,Look_Up,0),MATCH(P$4,Component,0))/1000,"-")</f>
        <v>725.6</v>
      </c>
      <c r="Q43" s="863" t="str">
        <f>IFERROR(INDEX(Raw_Data,MATCH($A43,Look_Up,0),MATCH(Q$4,Component,0))/1000,"-")</f>
        <v>-</v>
      </c>
      <c r="R43" s="865" t="str">
        <f>IFERROR(INDEX(Raw_Data,MATCH($A43,Look_Up,0),MATCH(R$4,Component,0)),"-")</f>
        <v>-</v>
      </c>
      <c r="S43" s="865" t="str">
        <f>IFERROR(INDEX(Raw_Data,MATCH($A43,Look_Up,0),MATCH(S$4,Component,0)),"-")</f>
        <v>N/A</v>
      </c>
      <c r="T43" s="863">
        <f>IFERROR(INDEX(Raw_Data,MATCH($A43,Look_Up,0),MATCH(T$4,Component,0))/1000,"-")</f>
        <v>544.20000000000005</v>
      </c>
      <c r="U43" s="865">
        <f>IFERROR(IF(INDEX(Raw_Data,MATCH($A43,Look_Up,0),MATCH(U$4,Component,0))="-",S43,INDEX(Raw_Data,MATCH($A43,Look_Up,0),MATCH(U$4,Component,0))),"-")</f>
        <v>1.2</v>
      </c>
      <c r="V43" s="865" t="s">
        <v>78</v>
      </c>
      <c r="W43" s="1077">
        <f>IFERROR(INDEX(Raw_Data,MATCH($A43,Look_Up,0),MATCH(W$4,Component,0))/1000,"-")</f>
        <v>1269.8</v>
      </c>
      <c r="X43" s="1076" t="s">
        <v>822</v>
      </c>
      <c r="Y43" s="955" t="s">
        <v>822</v>
      </c>
      <c r="Z43" s="955" t="s">
        <v>822</v>
      </c>
      <c r="AA43" s="959" t="s">
        <v>822</v>
      </c>
      <c r="AB43" s="1070"/>
      <c r="AC43" s="1071">
        <f>IFERROR(P43/W43,0)</f>
        <v>0.57142857142857151</v>
      </c>
      <c r="AD43" s="1072">
        <f>IFERROR(T43/W43,0)</f>
        <v>0.4285714285714286</v>
      </c>
      <c r="AE43" s="1073" t="str">
        <f>B43&amp;"_"&amp;$AE$6&amp;"_"&amp;"NEO4"</f>
        <v>TSX:HBM_2023_NEO4</v>
      </c>
      <c r="AF43" s="1073"/>
      <c r="AG43" s="778"/>
      <c r="AH43" s="778"/>
      <c r="AI43" s="778"/>
      <c r="AJ43" s="778"/>
      <c r="AK43" s="778"/>
      <c r="AL43" s="722"/>
      <c r="AM43" s="722"/>
    </row>
    <row r="44" spans="1:39" ht="17.25" customHeight="1">
      <c r="B44" s="33"/>
      <c r="C44" s="839" t="s">
        <v>5</v>
      </c>
      <c r="D44" s="840">
        <f>IF(D$39&gt;=MAX(D$8:D$27),"max",IF(D$39&lt;=MIN(D$8:D$27),"min",PERCENTRANK(D$8:D$27,D$39)))</f>
        <v>0.502</v>
      </c>
      <c r="E44" s="840">
        <f>IF(E$39&gt;=MAX(E$8:E$27),"max",IF(E$39&lt;=MIN(E$8:E$27),"min",PERCENTRANK(E$8:E$27,E$39)))</f>
        <v>0.60199999999999998</v>
      </c>
      <c r="F44" s="841"/>
      <c r="G44" s="841"/>
      <c r="H44" s="841"/>
      <c r="I44" s="840">
        <f>IF(I43&gt;=MAX(I$53:I$72),"max",IF(I43&lt;=MIN(I$53:I$72),"min",PERCENTRANK(I$53:I$72,I43)))</f>
        <v>0.156</v>
      </c>
      <c r="J44" s="840" t="str">
        <f>IF(J43&gt;=MAX(J$53:J$72),"max",IF(J43&lt;=MIN(J$53:J$72),"min",PERCENTRANK(J$53:J$72,J43)))</f>
        <v>max</v>
      </c>
      <c r="K44" s="840" t="str">
        <f>IF(K43&gt;=MAX(K$53:K$72),"max",IF(K43&lt;=MIN(K$53:K$72),"min",PERCENTRANK(K$53:K$72,K43)))</f>
        <v>max</v>
      </c>
      <c r="L44" s="840" t="str">
        <f>IF(L43&gt;=MAX(L$53:L$72),"max",IF(L43&lt;=MIN(L$53:L$72),"min",PERCENTRANK(L$53:L$72,L43)))</f>
        <v>max</v>
      </c>
      <c r="M44" s="840" t="str">
        <f>IF(M43&gt;=MAX(M$53:M$72),"max",IF(M43&lt;=MIN(M$53:M$72),"min",PERCENTRANK(M$53:M$72,M43)))</f>
        <v>min</v>
      </c>
      <c r="N44" s="840" t="str">
        <f>IF(N43&gt;=MAX(N$8:N$27),"max",IF(N43&lt;=MIN(N$8:N$27),"min",PERCENTRANK(N$8:N$27,N43)))</f>
        <v>min</v>
      </c>
      <c r="O44" s="840" t="s">
        <v>78</v>
      </c>
      <c r="P44" s="840">
        <f>IF(P43&gt;=MAX(P$53:P$72),"max",IF(P43&lt;=MIN(P$53:P$72),"min",PERCENTRANK(P$53:P$72,P43)))</f>
        <v>6.3E-2</v>
      </c>
      <c r="Q44" s="840" t="str">
        <f>IF(Q43&gt;=MAX(Q$53:Q$72),"max",IF(Q43&lt;=MIN(Q$53:Q$72),"min",PERCENTRANK(Q$53:Q$72,Q43)))</f>
        <v>max</v>
      </c>
      <c r="R44" s="840" t="str">
        <f>IF(R43&gt;=MAX(R$53:R$72),"max",IF(R43&lt;=MIN(R$53:R$72),"min",PERCENTRANK(R$53:R$72,R43)))</f>
        <v>max</v>
      </c>
      <c r="S44" s="840" t="str">
        <f>IF(S43&gt;=MAX(S$53:S$72),"max",IF(S43&lt;=MIN(S$53:S$72),"min",PERCENTRANK(S$53:S$72,S43)))</f>
        <v>max</v>
      </c>
      <c r="T44" s="840">
        <f>IF(T43&gt;=MAX(T$53:T$72),"max",IF(T43&lt;=MIN(T$53:T$72),"min",PERCENTRANK(T$53:T$72,T43)))</f>
        <v>3.2000000000000001E-2</v>
      </c>
      <c r="U44" s="840">
        <f>IF(U43&gt;=MAX(U$8:U$27),"max",IF(U43&lt;=MIN(U$8:U$27),"min",PERCENTRANK(U$8:U$27,U43)))</f>
        <v>5.1999999999999998E-2</v>
      </c>
      <c r="V44" s="840" t="s">
        <v>78</v>
      </c>
      <c r="W44" s="842" t="str">
        <f>IF(W43&gt;=MAX(W$53:W$72),"max",IF(W43&lt;=MIN(W$53:W$72),"min",PERCENTRANK(W$53:W$72,W43)))</f>
        <v>min</v>
      </c>
      <c r="X44" s="1075" t="s">
        <v>78</v>
      </c>
      <c r="Y44" s="859" t="s">
        <v>78</v>
      </c>
      <c r="Z44" s="859" t="s">
        <v>78</v>
      </c>
      <c r="AA44" s="861" t="s">
        <v>78</v>
      </c>
      <c r="AB44" s="775"/>
      <c r="AC44" s="843">
        <f>IF(AC$39&gt;=MAX(AC$8:AC29),"max",IF(AC$39&lt;=MIN(AC$8:AC29),"min",PERCENTRANK(AC$8:AC29,AC$39)))</f>
        <v>0.93500000000000005</v>
      </c>
      <c r="AD44" s="844">
        <f>IF(AD$39&gt;=MAX(AD$8:AD29),"max",IF(AD$39&lt;=MIN(AD$8:AD29),"min",PERCENTRANK(AD$8:AD29,AD$39)))</f>
        <v>6.4000000000000001E-2</v>
      </c>
      <c r="AE44" s="778"/>
      <c r="AF44" s="778"/>
      <c r="AG44" s="778"/>
      <c r="AH44" s="778"/>
      <c r="AI44" s="778"/>
      <c r="AJ44" s="778"/>
      <c r="AK44" s="778"/>
      <c r="AL44" s="722"/>
      <c r="AM44" s="722"/>
    </row>
    <row r="47" spans="1:39" ht="7.5" customHeight="1">
      <c r="B47" s="33"/>
      <c r="C47" s="286"/>
      <c r="D47" s="286"/>
      <c r="E47" s="259"/>
      <c r="F47" s="259"/>
      <c r="G47" s="259"/>
      <c r="H47" s="259"/>
      <c r="I47" s="275"/>
      <c r="J47" s="275"/>
      <c r="K47" s="275"/>
      <c r="L47" s="275"/>
      <c r="M47" s="275"/>
      <c r="N47" s="275"/>
      <c r="O47" s="275"/>
      <c r="P47" s="275"/>
      <c r="Q47" s="275"/>
      <c r="R47" s="275"/>
      <c r="S47" s="275"/>
      <c r="T47" s="275"/>
      <c r="U47" s="275"/>
      <c r="V47" s="275"/>
      <c r="W47" s="275"/>
      <c r="X47" s="275"/>
      <c r="Y47" s="275"/>
      <c r="Z47" s="275"/>
      <c r="AA47" s="275"/>
      <c r="AC47" s="259"/>
      <c r="AD47" s="259"/>
      <c r="AE47" s="316"/>
      <c r="AF47" s="316"/>
      <c r="AG47" s="316"/>
      <c r="AH47" s="316"/>
      <c r="AI47" s="316"/>
      <c r="AJ47" s="316"/>
      <c r="AK47" s="316"/>
    </row>
    <row r="48" spans="1:39" ht="15" customHeight="1">
      <c r="B48" s="33"/>
      <c r="C48" s="286" t="s">
        <v>243</v>
      </c>
      <c r="D48" s="286"/>
      <c r="E48" s="259"/>
      <c r="F48" s="259"/>
      <c r="G48" s="259"/>
      <c r="H48" s="259"/>
      <c r="I48" s="275"/>
      <c r="J48" s="275"/>
      <c r="K48" s="275"/>
      <c r="L48" s="275"/>
      <c r="M48" s="275"/>
      <c r="N48" s="275"/>
      <c r="O48" s="275" t="s">
        <v>789</v>
      </c>
      <c r="P48" s="600">
        <f>W41/W36-1</f>
        <v>-0.10504108091837094</v>
      </c>
      <c r="Q48" s="275"/>
      <c r="R48" s="275"/>
      <c r="S48" s="275"/>
      <c r="T48" s="275" t="s">
        <v>789</v>
      </c>
      <c r="U48" s="600">
        <f>W43/W36-1</f>
        <v>-0.12876704990121557</v>
      </c>
      <c r="V48" s="275" t="s">
        <v>724</v>
      </c>
      <c r="W48" s="600">
        <f>W39/W35-1</f>
        <v>6.7419804461873678E-2</v>
      </c>
      <c r="X48" s="275"/>
      <c r="Y48" s="275"/>
      <c r="Z48" s="275"/>
      <c r="AA48" s="275"/>
      <c r="AC48" s="259"/>
      <c r="AD48" s="259"/>
      <c r="AE48" s="316"/>
      <c r="AF48" s="316"/>
      <c r="AG48" s="316" t="s">
        <v>68</v>
      </c>
      <c r="AH48" s="601">
        <f>AM43</f>
        <v>0</v>
      </c>
      <c r="AI48" s="316"/>
      <c r="AJ48" s="316"/>
      <c r="AK48" s="316"/>
    </row>
    <row r="49" spans="1:37" ht="14.5">
      <c r="B49" s="15"/>
      <c r="C49" s="284"/>
      <c r="D49" s="284"/>
      <c r="E49" s="284"/>
      <c r="F49" s="284"/>
      <c r="G49" s="284"/>
      <c r="H49" s="284"/>
      <c r="I49" s="284"/>
      <c r="J49" s="284"/>
      <c r="K49" s="284"/>
      <c r="L49" s="284"/>
      <c r="M49" s="284"/>
      <c r="N49" s="284"/>
      <c r="O49" s="275" t="s">
        <v>789</v>
      </c>
      <c r="P49" s="604">
        <f>W41-W36</f>
        <v>-153.09472000000005</v>
      </c>
      <c r="Q49" s="284"/>
      <c r="R49" s="284"/>
      <c r="S49" s="284"/>
      <c r="T49" s="275" t="s">
        <v>789</v>
      </c>
      <c r="U49" s="604">
        <f>W43-W36</f>
        <v>-187.67472000000021</v>
      </c>
      <c r="V49" s="275" t="s">
        <v>725</v>
      </c>
      <c r="W49" s="604">
        <f>W39-W35</f>
        <v>107.3064125591136</v>
      </c>
      <c r="X49" s="284"/>
      <c r="Y49" s="284"/>
      <c r="Z49" s="284"/>
      <c r="AA49" s="284"/>
      <c r="AC49" s="258"/>
      <c r="AD49" s="258"/>
      <c r="AG49" s="12" t="s">
        <v>713</v>
      </c>
      <c r="AH49" s="661" t="e">
        <f>W43/AH48-1</f>
        <v>#DIV/0!</v>
      </c>
    </row>
    <row r="50" spans="1:37">
      <c r="B50" s="15"/>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C50" s="27"/>
      <c r="AD50" s="27"/>
    </row>
    <row r="51" spans="1:37">
      <c r="B51" s="15"/>
      <c r="C51" s="305" t="s">
        <v>110</v>
      </c>
      <c r="D51" s="313"/>
      <c r="E51" s="306"/>
      <c r="F51" s="306"/>
      <c r="G51" s="306"/>
      <c r="H51" s="306"/>
      <c r="I51" s="306"/>
      <c r="J51" s="306"/>
      <c r="K51" s="306"/>
      <c r="L51" s="306"/>
      <c r="M51" s="306"/>
      <c r="N51" s="306"/>
      <c r="O51" s="306"/>
      <c r="P51" s="306"/>
      <c r="Q51" s="306"/>
      <c r="R51" s="306"/>
      <c r="S51" s="306"/>
      <c r="T51" s="306"/>
      <c r="U51" s="306"/>
      <c r="V51" s="306"/>
      <c r="W51" s="306"/>
      <c r="X51" s="306"/>
      <c r="Y51" s="306"/>
      <c r="Z51" s="306"/>
      <c r="AA51" s="306"/>
      <c r="AC51" s="307"/>
      <c r="AD51" s="307"/>
      <c r="AE51" s="308"/>
      <c r="AF51" s="308"/>
      <c r="AG51" s="308"/>
      <c r="AH51" s="308"/>
      <c r="AI51" s="308"/>
      <c r="AJ51" s="308"/>
      <c r="AK51" s="308"/>
    </row>
    <row r="52" spans="1:37" ht="50">
      <c r="B52" s="15"/>
      <c r="C52" s="297" t="s">
        <v>111</v>
      </c>
      <c r="E52" s="14"/>
      <c r="F52" s="14"/>
      <c r="G52" s="315" t="s">
        <v>119</v>
      </c>
      <c r="H52" s="314" t="s">
        <v>115</v>
      </c>
      <c r="I52" s="314" t="s">
        <v>116</v>
      </c>
      <c r="J52" s="314"/>
      <c r="K52" s="314"/>
      <c r="L52" s="314"/>
      <c r="M52" s="314" t="s">
        <v>16</v>
      </c>
      <c r="O52" s="314"/>
      <c r="P52" s="314" t="s">
        <v>117</v>
      </c>
      <c r="Q52" s="314"/>
      <c r="R52" s="314"/>
      <c r="S52" s="314"/>
      <c r="T52" s="314" t="s">
        <v>14</v>
      </c>
      <c r="V52" s="314"/>
      <c r="W52" s="314" t="s">
        <v>118</v>
      </c>
      <c r="Y52" s="314"/>
      <c r="Z52" s="314"/>
      <c r="AA52" s="314" t="s">
        <v>246</v>
      </c>
      <c r="AC52" s="27"/>
      <c r="AD52" s="27"/>
    </row>
    <row r="53" spans="1:37" ht="14.5">
      <c r="A53" s="295" t="str">
        <f t="shared" ref="A53:B72" si="47">A8</f>
        <v>TSX:K_2024_NEO3</v>
      </c>
      <c r="B53" s="295" t="str">
        <f t="shared" si="47"/>
        <v>TSX:K</v>
      </c>
      <c r="C53" s="296" t="str">
        <f>_xll.ciqfunctions.udf.CIQ(B53,"IQ_COMPANY_NAME")</f>
        <v>Kinross Gold Corporation</v>
      </c>
      <c r="E53" s="14"/>
      <c r="F53" s="14"/>
      <c r="G53" s="294" t="s">
        <v>661</v>
      </c>
      <c r="H53" s="303">
        <f t="shared" ref="H53:H72" si="48">IFERROR(INDEX(Raw_Data,MATCH($A53,Look_Up,0),MATCH(H$4,Component,0))/1000,"-")</f>
        <v>535</v>
      </c>
      <c r="I53" s="303">
        <f>IFERROR(IF(G53="y",IF(H53&lt;&gt;"-",H53,INDEX(Raw_Data,MATCH($A53,Look_Up,0),MATCH(I$4,Component,0))/1000*(1+'Raw Data'!$G$13)),(INDEX(Raw_Data,MATCH($A53,Look_Up,0),MATCH(I$4,Component,0))/1000)),"-")</f>
        <v>535</v>
      </c>
      <c r="J53" s="361"/>
      <c r="K53" s="361"/>
      <c r="L53" s="361"/>
      <c r="M53" s="303">
        <f t="shared" ref="M53:M72" si="49">IFERROR(I53*N8,"-")</f>
        <v>401.25</v>
      </c>
      <c r="N53" s="362"/>
      <c r="O53" s="361"/>
      <c r="P53" s="303">
        <f>IFERROR(IF(SUM(M53,I53)=0,"-",SUM(M53,I53)),"-")</f>
        <v>936.25</v>
      </c>
      <c r="Q53" s="361"/>
      <c r="R53" s="361"/>
      <c r="S53" s="361"/>
      <c r="T53" s="303">
        <f t="shared" ref="T53:T72" si="50">IFERROR(I53*U8,"-")</f>
        <v>1134.2</v>
      </c>
      <c r="U53" s="362"/>
      <c r="V53" s="361"/>
      <c r="W53" s="303">
        <f>IFERROR(IF(SUM(T53,P53)=0,"-",SUM(T53,P53)),"-")</f>
        <v>2070.4499999999998</v>
      </c>
      <c r="X53" s="362"/>
      <c r="Y53" s="361"/>
      <c r="Z53" s="361"/>
      <c r="AA53" s="303">
        <f t="shared" ref="AA53:AA72" si="51">IFERROR(IF(SUM(W53,X8,Y8)=0,"-",SUM(W53,X8,Y8)),"-")</f>
        <v>2320.0703109399997</v>
      </c>
      <c r="AB53" s="362"/>
    </row>
    <row r="54" spans="1:37" ht="14.5">
      <c r="A54" s="295" t="str">
        <f t="shared" si="47"/>
        <v>TSX:LUN_2024_NEO3</v>
      </c>
      <c r="B54" s="295" t="str">
        <f t="shared" si="47"/>
        <v>TSX:LUN</v>
      </c>
      <c r="C54" s="296" t="str">
        <f>_xll.ciqfunctions.udf.CIQ(B54,"IQ_COMPANY_NAME")</f>
        <v>Lundin Mining Corporation</v>
      </c>
      <c r="E54" s="14"/>
      <c r="F54" s="14"/>
      <c r="G54" s="294" t="s">
        <v>661</v>
      </c>
      <c r="H54" s="262">
        <f t="shared" si="48"/>
        <v>630</v>
      </c>
      <c r="I54" s="262">
        <f>IFERROR(IF(G54="y",IF(H54&lt;&gt;"-",H54,INDEX(Raw_Data,MATCH($A54,Look_Up,0),MATCH(I$4,Component,0))/1000*(1+'Raw Data'!$G$13)),(INDEX(Raw_Data,MATCH($A54,Look_Up,0),MATCH(I$4,Component,0))/1000)),"-")</f>
        <v>630</v>
      </c>
      <c r="J54" s="361"/>
      <c r="K54" s="361"/>
      <c r="L54" s="361"/>
      <c r="M54" s="262">
        <f t="shared" si="49"/>
        <v>472.5</v>
      </c>
      <c r="N54" s="362"/>
      <c r="O54" s="361"/>
      <c r="P54" s="262">
        <f t="shared" ref="P54:P72" si="52">IFERROR(IF(SUM(M54,I54)=0,"-",SUM(M54,I54)),"-")</f>
        <v>1102.5</v>
      </c>
      <c r="Q54" s="361"/>
      <c r="R54" s="361"/>
      <c r="S54" s="361"/>
      <c r="T54" s="262">
        <f t="shared" si="50"/>
        <v>898.96153724140106</v>
      </c>
      <c r="U54" s="362"/>
      <c r="V54" s="361"/>
      <c r="W54" s="262">
        <f t="shared" ref="W54:W72" si="53">IFERROR(IF(SUM(T54,P54)=0,"-",SUM(T54,P54)),"-")</f>
        <v>2001.4615372414009</v>
      </c>
      <c r="X54" s="362"/>
      <c r="Y54" s="361"/>
      <c r="Z54" s="361"/>
      <c r="AA54" s="262">
        <f t="shared" si="51"/>
        <v>2282.4217465914007</v>
      </c>
      <c r="AB54" s="362"/>
    </row>
    <row r="55" spans="1:37" ht="14.5">
      <c r="A55" s="295" t="str">
        <f t="shared" si="47"/>
        <v>TSX:AGI_2024_NEO3</v>
      </c>
      <c r="B55" s="295" t="str">
        <f t="shared" si="47"/>
        <v>TSX:AGI</v>
      </c>
      <c r="C55" s="296" t="str">
        <f>_xll.ciqfunctions.udf.CIQ(B55,"IQ_COMPANY_NAME")</f>
        <v>Alamos Gold Inc.</v>
      </c>
      <c r="E55" s="14"/>
      <c r="F55" s="14"/>
      <c r="G55" s="294" t="s">
        <v>661</v>
      </c>
      <c r="H55" s="262" t="str">
        <f t="shared" si="48"/>
        <v>-</v>
      </c>
      <c r="I55" s="262">
        <f>IFERROR(IF(G55="y",IF(H55&lt;&gt;"-",H55,INDEX(Raw_Data,MATCH($A55,Look_Up,0),MATCH(I$4,Component,0))/1000*(1+'Raw Data'!$G$13)),(INDEX(Raw_Data,MATCH($A55,Look_Up,0),MATCH(I$4,Component,0))/1000)),"-")</f>
        <v>484.10405245260006</v>
      </c>
      <c r="J55" s="361"/>
      <c r="K55" s="361"/>
      <c r="L55" s="361"/>
      <c r="M55" s="262">
        <f t="shared" si="49"/>
        <v>290.46243147156002</v>
      </c>
      <c r="N55" s="362"/>
      <c r="O55" s="361"/>
      <c r="P55" s="262">
        <f t="shared" si="52"/>
        <v>774.56648392416014</v>
      </c>
      <c r="Q55" s="361"/>
      <c r="R55" s="361"/>
      <c r="S55" s="361"/>
      <c r="T55" s="262">
        <f t="shared" si="50"/>
        <v>528.06937470360083</v>
      </c>
      <c r="U55" s="362"/>
      <c r="V55" s="361"/>
      <c r="W55" s="262">
        <f t="shared" si="53"/>
        <v>1302.6358586277611</v>
      </c>
      <c r="X55" s="362"/>
      <c r="Y55" s="361"/>
      <c r="Z55" s="361"/>
      <c r="AA55" s="262">
        <f t="shared" si="51"/>
        <v>1340.2483952977611</v>
      </c>
      <c r="AB55" s="362"/>
    </row>
    <row r="56" spans="1:37" ht="14.5">
      <c r="A56" s="295" t="str">
        <f t="shared" si="47"/>
        <v>TSX:PAAS_2024_NEO3</v>
      </c>
      <c r="B56" s="295" t="str">
        <f t="shared" si="47"/>
        <v>TSX:PAAS</v>
      </c>
      <c r="C56" s="296" t="str">
        <f>_xll.ciqfunctions.udf.CIQ(B56,"IQ_COMPANY_NAME")</f>
        <v>Pan American Silver Corp.</v>
      </c>
      <c r="G56" s="294" t="s">
        <v>661</v>
      </c>
      <c r="H56" s="262" t="str">
        <f t="shared" si="48"/>
        <v>-</v>
      </c>
      <c r="I56" s="262">
        <f>IFERROR(IF(G56="y",IF(H56&lt;&gt;"-",H56,INDEX(Raw_Data,MATCH($A56,Look_Up,0),MATCH(I$4,Component,0))/1000*(1+'Raw Data'!$G$13)),(INDEX(Raw_Data,MATCH($A56,Look_Up,0),MATCH(I$4,Component,0))/1000)),"-")</f>
        <v>618</v>
      </c>
      <c r="J56" s="362"/>
      <c r="K56" s="362"/>
      <c r="L56" s="362"/>
      <c r="M56" s="262">
        <f t="shared" si="49"/>
        <v>494.40000000000003</v>
      </c>
      <c r="N56" s="362"/>
      <c r="O56" s="362"/>
      <c r="P56" s="262">
        <f t="shared" si="52"/>
        <v>1112.4000000000001</v>
      </c>
      <c r="Q56" s="362"/>
      <c r="R56" s="362"/>
      <c r="S56" s="362"/>
      <c r="T56" s="262">
        <f t="shared" si="50"/>
        <v>1112.4000000000001</v>
      </c>
      <c r="U56" s="362"/>
      <c r="V56" s="362"/>
      <c r="W56" s="262">
        <f t="shared" si="53"/>
        <v>2224.8000000000002</v>
      </c>
      <c r="X56" s="362"/>
      <c r="Y56" s="362"/>
      <c r="Z56" s="362"/>
      <c r="AA56" s="262">
        <f t="shared" si="51"/>
        <v>2454.2870000000003</v>
      </c>
      <c r="AB56" s="362"/>
    </row>
    <row r="57" spans="1:37" ht="14.5">
      <c r="A57" s="295" t="str">
        <f t="shared" si="47"/>
        <v>TSX:CS_2024_NEO3</v>
      </c>
      <c r="B57" s="295" t="str">
        <f t="shared" si="47"/>
        <v>TSX:CS</v>
      </c>
      <c r="C57" s="296" t="str">
        <f>_xll.ciqfunctions.udf.CIQ(B57,"IQ_COMPANY_NAME")</f>
        <v>Capstone Copper Corp.</v>
      </c>
      <c r="G57" s="294" t="s">
        <v>661</v>
      </c>
      <c r="H57" s="262" t="str">
        <f t="shared" si="48"/>
        <v>-</v>
      </c>
      <c r="I57" s="262">
        <f>IFERROR(IF(G57="y",IF(H57&lt;&gt;"-",H57,INDEX(Raw_Data,MATCH($A57,Look_Up,0),MATCH(I$4,Component,0))/1000*(1+'Raw Data'!$G$13)),(INDEX(Raw_Data,MATCH($A57,Look_Up,0),MATCH(I$4,Component,0))/1000)),"-")</f>
        <v>465.11504000000002</v>
      </c>
      <c r="J57" s="362"/>
      <c r="K57" s="362"/>
      <c r="L57" s="362"/>
      <c r="M57" s="262">
        <f t="shared" si="49"/>
        <v>348.83627999999999</v>
      </c>
      <c r="N57" s="362"/>
      <c r="O57" s="362"/>
      <c r="P57" s="262">
        <f t="shared" si="52"/>
        <v>813.95132000000001</v>
      </c>
      <c r="Q57" s="362"/>
      <c r="R57" s="362"/>
      <c r="S57" s="362"/>
      <c r="T57" s="262">
        <f t="shared" si="50"/>
        <v>697.67255999999998</v>
      </c>
      <c r="U57" s="362"/>
      <c r="V57" s="362"/>
      <c r="W57" s="262">
        <f t="shared" si="53"/>
        <v>1511.6238800000001</v>
      </c>
      <c r="X57" s="362"/>
      <c r="Y57" s="362"/>
      <c r="Z57" s="362"/>
      <c r="AA57" s="262">
        <f t="shared" si="51"/>
        <v>1584.42588</v>
      </c>
      <c r="AB57" s="362"/>
    </row>
    <row r="58" spans="1:37" ht="14.5">
      <c r="A58" s="295" t="str">
        <f t="shared" si="47"/>
        <v>TSX:IMG_2024_NEO3</v>
      </c>
      <c r="B58" s="295" t="str">
        <f t="shared" si="47"/>
        <v>TSX:IMG</v>
      </c>
      <c r="C58" s="296" t="str">
        <f>_xll.ciqfunctions.udf.CIQ(B58,"IQ_COMPANY_NAME")</f>
        <v>IAMGOLD Corporation</v>
      </c>
      <c r="G58" s="294" t="s">
        <v>661</v>
      </c>
      <c r="H58" s="262" t="str">
        <f t="shared" si="48"/>
        <v>-</v>
      </c>
      <c r="I58" s="262">
        <f>IFERROR(IF(G58="y",IF(H58&lt;&gt;"-",H58,INDEX(Raw_Data,MATCH($A58,Look_Up,0),MATCH(I$4,Component,0))/1000*(1+'Raw Data'!$G$13)),(INDEX(Raw_Data,MATCH($A58,Look_Up,0),MATCH(I$4,Component,0))/1000)),"-")</f>
        <v>412.14420000000001</v>
      </c>
      <c r="J58" s="362"/>
      <c r="K58" s="362"/>
      <c r="L58" s="362"/>
      <c r="M58" s="262">
        <f t="shared" si="49"/>
        <v>288.50094000000001</v>
      </c>
      <c r="N58" s="362"/>
      <c r="O58" s="362"/>
      <c r="P58" s="262">
        <f t="shared" si="52"/>
        <v>700.64514000000008</v>
      </c>
      <c r="Q58" s="362"/>
      <c r="R58" s="362"/>
      <c r="S58" s="362"/>
      <c r="T58" s="262">
        <f t="shared" si="50"/>
        <v>618.21630000000005</v>
      </c>
      <c r="U58" s="362"/>
      <c r="V58" s="362"/>
      <c r="W58" s="262">
        <f t="shared" si="53"/>
        <v>1318.8614400000001</v>
      </c>
      <c r="X58" s="362"/>
      <c r="Y58" s="362"/>
      <c r="Z58" s="362"/>
      <c r="AA58" s="262">
        <f t="shared" si="51"/>
        <v>1365.7864400000001</v>
      </c>
      <c r="AB58" s="362"/>
    </row>
    <row r="59" spans="1:37" ht="14.5">
      <c r="A59" s="295" t="str">
        <f t="shared" si="47"/>
        <v>TSX:BTO_2024_NEO3</v>
      </c>
      <c r="B59" s="295" t="str">
        <f t="shared" si="47"/>
        <v>TSX:BTO</v>
      </c>
      <c r="C59" s="296" t="str">
        <f>_xll.ciqfunctions.udf.CIQ(B59,"IQ_COMPANY_NAME")</f>
        <v>B2Gold Corp.</v>
      </c>
      <c r="G59" s="294" t="s">
        <v>661</v>
      </c>
      <c r="H59" s="262" t="str">
        <f t="shared" si="48"/>
        <v>-</v>
      </c>
      <c r="I59" s="262">
        <f>IFERROR(IF(G59="y",IF(H59&lt;&gt;"-",H59,INDEX(Raw_Data,MATCH($A59,Look_Up,0),MATCH(I$4,Component,0))/1000*(1+'Raw Data'!$G$13)),(INDEX(Raw_Data,MATCH($A59,Look_Up,0),MATCH(I$4,Component,0))/1000)),"-")</f>
        <v>618</v>
      </c>
      <c r="J59" s="362"/>
      <c r="K59" s="362"/>
      <c r="L59" s="362"/>
      <c r="M59" s="262">
        <f t="shared" si="49"/>
        <v>463.5</v>
      </c>
      <c r="N59" s="362"/>
      <c r="O59" s="362"/>
      <c r="P59" s="262">
        <f t="shared" si="52"/>
        <v>1081.5</v>
      </c>
      <c r="Q59" s="362"/>
      <c r="R59" s="362"/>
      <c r="S59" s="362"/>
      <c r="T59" s="262">
        <f t="shared" si="50"/>
        <v>1768.9999999999998</v>
      </c>
      <c r="U59" s="362"/>
      <c r="V59" s="362"/>
      <c r="W59" s="262">
        <f t="shared" si="53"/>
        <v>2850.5</v>
      </c>
      <c r="X59" s="362"/>
      <c r="Y59" s="362"/>
      <c r="Z59" s="362"/>
      <c r="AA59" s="262">
        <f t="shared" si="51"/>
        <v>2850.5</v>
      </c>
      <c r="AB59" s="362"/>
    </row>
    <row r="60" spans="1:37" s="17" customFormat="1" ht="14.5">
      <c r="A60" s="295" t="str">
        <f t="shared" si="47"/>
        <v>NYSE:HL_2024_NEO3</v>
      </c>
      <c r="B60" s="295" t="str">
        <f t="shared" si="47"/>
        <v>NYSE:HL</v>
      </c>
      <c r="C60" s="296" t="str">
        <f>_xll.ciqfunctions.udf.CIQ(B60,"IQ_COMPANY_NAME")</f>
        <v>Hecla Mining Company</v>
      </c>
      <c r="E60" s="22"/>
      <c r="F60" s="20"/>
      <c r="G60" s="294" t="s">
        <v>661</v>
      </c>
      <c r="H60" s="262" t="str">
        <f t="shared" si="48"/>
        <v>-</v>
      </c>
      <c r="I60" s="262">
        <f>IFERROR(IF(G60="y",IF(H60&lt;&gt;"-",H60,INDEX(Raw_Data,MATCH($A60,Look_Up,0),MATCH(I$4,Component,0))/1000*(1+'Raw Data'!$G$13)),(INDEX(Raw_Data,MATCH($A60,Look_Up,0),MATCH(I$4,Component,0))/1000)),"-")</f>
        <v>465.72078300000004</v>
      </c>
      <c r="J60" s="22"/>
      <c r="K60" s="363"/>
      <c r="L60" s="363"/>
      <c r="M60" s="262">
        <f t="shared" si="49"/>
        <v>326.00454810000002</v>
      </c>
      <c r="N60" s="364"/>
      <c r="O60" s="22"/>
      <c r="P60" s="262">
        <f t="shared" si="52"/>
        <v>791.72533110000006</v>
      </c>
      <c r="Q60" s="21"/>
      <c r="R60" s="365"/>
      <c r="S60" s="365"/>
      <c r="T60" s="262">
        <f t="shared" si="50"/>
        <v>882.54088378500012</v>
      </c>
      <c r="U60" s="364"/>
      <c r="V60" s="22"/>
      <c r="W60" s="262">
        <f t="shared" si="53"/>
        <v>1674.2662148850002</v>
      </c>
      <c r="X60" s="364"/>
      <c r="Y60" s="22"/>
      <c r="Z60" s="22"/>
      <c r="AA60" s="262">
        <f t="shared" si="51"/>
        <v>1788.6041610450002</v>
      </c>
      <c r="AB60" s="364"/>
      <c r="AC60" s="19"/>
      <c r="AD60" s="19"/>
    </row>
    <row r="61" spans="1:37" ht="14.5">
      <c r="A61" s="295" t="str">
        <f t="shared" si="47"/>
        <v>TSX:NGD_2024_NEO3</v>
      </c>
      <c r="B61" s="295" t="str">
        <f t="shared" si="47"/>
        <v>TSX:NGD</v>
      </c>
      <c r="C61" s="296" t="str">
        <f>_xll.ciqfunctions.udf.CIQ(B61,"IQ_COMPANY_NAME")</f>
        <v>New Gold Inc.</v>
      </c>
      <c r="G61" s="294" t="s">
        <v>661</v>
      </c>
      <c r="H61" s="262" t="str">
        <f t="shared" si="48"/>
        <v>-</v>
      </c>
      <c r="I61" s="262">
        <f>IFERROR(IF(G61="y",IF(H61&lt;&gt;"-",H61,INDEX(Raw_Data,MATCH($A61,Look_Up,0),MATCH(I$4,Component,0))/1000*(1+'Raw Data'!$G$13)),(INDEX(Raw_Data,MATCH($A61,Look_Up,0),MATCH(I$4,Component,0))/1000)),"-")</f>
        <v>453.2</v>
      </c>
      <c r="J61" s="366"/>
      <c r="K61" s="366"/>
      <c r="L61" s="366"/>
      <c r="M61" s="262">
        <f t="shared" si="49"/>
        <v>294.58</v>
      </c>
      <c r="N61" s="362"/>
      <c r="O61" s="366"/>
      <c r="P61" s="262">
        <f t="shared" si="52"/>
        <v>747.78</v>
      </c>
      <c r="Q61" s="366"/>
      <c r="R61" s="366"/>
      <c r="S61" s="366"/>
      <c r="T61" s="262">
        <f t="shared" si="50"/>
        <v>566.5</v>
      </c>
      <c r="U61" s="362"/>
      <c r="V61" s="366"/>
      <c r="W61" s="262">
        <f t="shared" si="53"/>
        <v>1314.28</v>
      </c>
      <c r="X61" s="362"/>
      <c r="Y61" s="366"/>
      <c r="Z61" s="366"/>
      <c r="AA61" s="262">
        <f t="shared" si="51"/>
        <v>1330.06</v>
      </c>
      <c r="AB61" s="362"/>
    </row>
    <row r="62" spans="1:37" ht="14.5">
      <c r="A62" s="295" t="str">
        <f t="shared" si="47"/>
        <v>TSX:ELD_2024_NEO3</v>
      </c>
      <c r="B62" s="295" t="str">
        <f t="shared" si="47"/>
        <v>TSX:ELD</v>
      </c>
      <c r="C62" s="296" t="str">
        <f>_xll.ciqfunctions.udf.CIQ(B62,"IQ_COMPANY_NAME")</f>
        <v>Eldorado Gold Corporation</v>
      </c>
      <c r="G62" s="294" t="s">
        <v>661</v>
      </c>
      <c r="H62" s="262" t="str">
        <f t="shared" si="48"/>
        <v>-</v>
      </c>
      <c r="I62" s="262">
        <f>IFERROR(IF(G62="y",IF(H62&lt;&gt;"-",H62,INDEX(Raw_Data,MATCH($A62,Look_Up,0),MATCH(I$4,Component,0))/1000*(1+'Raw Data'!$G$13)),(INDEX(Raw_Data,MATCH($A62,Look_Up,0),MATCH(I$4,Component,0))/1000)),"-")</f>
        <v>487.49900000000002</v>
      </c>
      <c r="J62" s="362"/>
      <c r="K62" s="362"/>
      <c r="L62" s="362"/>
      <c r="M62" s="262">
        <f t="shared" si="49"/>
        <v>389.99920000000003</v>
      </c>
      <c r="N62" s="362"/>
      <c r="O62" s="362"/>
      <c r="P62" s="262">
        <f t="shared" si="52"/>
        <v>877.4982</v>
      </c>
      <c r="Q62" s="362"/>
      <c r="R62" s="362"/>
      <c r="S62" s="362"/>
      <c r="T62" s="262">
        <f t="shared" si="50"/>
        <v>731.24850000000004</v>
      </c>
      <c r="U62" s="362"/>
      <c r="V62" s="362"/>
      <c r="W62" s="262">
        <f t="shared" si="53"/>
        <v>1608.7467000000001</v>
      </c>
      <c r="X62" s="362"/>
      <c r="Y62" s="362"/>
      <c r="Z62" s="362"/>
      <c r="AA62" s="262">
        <f t="shared" si="51"/>
        <v>1693.9357000000002</v>
      </c>
      <c r="AB62" s="362"/>
    </row>
    <row r="63" spans="1:37" ht="14.5">
      <c r="A63" s="295" t="str">
        <f t="shared" si="47"/>
        <v>TSX:SSRM_2024_NEO3</v>
      </c>
      <c r="B63" s="295" t="str">
        <f t="shared" si="47"/>
        <v>TSX:SSRM</v>
      </c>
      <c r="C63" s="296" t="str">
        <f>_xll.ciqfunctions.udf.CIQ(B63,"IQ_COMPANY_NAME")</f>
        <v>SSR Mining Inc.</v>
      </c>
      <c r="G63" s="294" t="s">
        <v>661</v>
      </c>
      <c r="H63" s="262" t="str">
        <f t="shared" si="48"/>
        <v>-</v>
      </c>
      <c r="I63" s="262">
        <f>IFERROR(IF(G63="y",IF(H63&lt;&gt;"-",H63,INDEX(Raw_Data,MATCH($A63,Look_Up,0),MATCH(I$4,Component,0))/1000*(1+'Raw Data'!$G$13)),(INDEX(Raw_Data,MATCH($A63,Look_Up,0),MATCH(I$4,Component,0))/1000)),"-")</f>
        <v>691.52479900000014</v>
      </c>
      <c r="J63" s="362"/>
      <c r="K63" s="362"/>
      <c r="L63" s="362"/>
      <c r="M63" s="262">
        <f t="shared" si="49"/>
        <v>518.64359925000008</v>
      </c>
      <c r="N63" s="362"/>
      <c r="O63" s="362"/>
      <c r="P63" s="262">
        <f t="shared" si="52"/>
        <v>1210.1683982500003</v>
      </c>
      <c r="Q63" s="362"/>
      <c r="R63" s="362"/>
      <c r="S63" s="362"/>
      <c r="T63" s="262">
        <f t="shared" si="50"/>
        <v>1037.2871985000002</v>
      </c>
      <c r="U63" s="362"/>
      <c r="V63" s="362"/>
      <c r="W63" s="262">
        <f t="shared" si="53"/>
        <v>2247.4555967500005</v>
      </c>
      <c r="X63" s="362"/>
      <c r="Y63" s="362"/>
      <c r="Z63" s="362"/>
      <c r="AA63" s="262">
        <f t="shared" si="51"/>
        <v>2285.2722887500004</v>
      </c>
      <c r="AB63" s="362"/>
    </row>
    <row r="64" spans="1:37" ht="14.5">
      <c r="A64" s="295" t="str">
        <f t="shared" si="47"/>
        <v>TSX:OGC
_2024_NEO3</v>
      </c>
      <c r="B64" s="295" t="str">
        <f t="shared" si="47"/>
        <v xml:space="preserve">TSX:OGC
</v>
      </c>
      <c r="C64" s="296" t="str">
        <f>_xll.ciqfunctions.udf.CIQ(B64,"IQ_COMPANY_NAME")</f>
        <v>OceanaGold Corporation</v>
      </c>
      <c r="G64" s="294" t="s">
        <v>661</v>
      </c>
      <c r="H64" s="262" t="str">
        <f t="shared" si="48"/>
        <v>-</v>
      </c>
      <c r="I64" s="262">
        <f>IFERROR(IF(G64="y",IF(H64&lt;&gt;"-",H64,INDEX(Raw_Data,MATCH($A64,Look_Up,0),MATCH(I$4,Component,0))/1000*(1+'Raw Data'!$G$13)),(INDEX(Raw_Data,MATCH($A64,Look_Up,0),MATCH(I$4,Component,0))/1000)),"-")</f>
        <v>462.2038854508001</v>
      </c>
      <c r="J64" s="362"/>
      <c r="K64" s="362"/>
      <c r="L64" s="362"/>
      <c r="M64" s="262">
        <f t="shared" si="49"/>
        <v>277.32233127048005</v>
      </c>
      <c r="N64" s="362"/>
      <c r="O64" s="362"/>
      <c r="P64" s="262">
        <f t="shared" si="52"/>
        <v>739.52621672128021</v>
      </c>
      <c r="Q64" s="362"/>
      <c r="R64" s="362"/>
      <c r="S64" s="362"/>
      <c r="T64" s="262">
        <f t="shared" si="50"/>
        <v>789.28258992363942</v>
      </c>
      <c r="U64" s="362"/>
      <c r="V64" s="362"/>
      <c r="W64" s="262">
        <f t="shared" si="53"/>
        <v>1528.8088066449195</v>
      </c>
      <c r="X64" s="362"/>
      <c r="Y64" s="362"/>
      <c r="Z64" s="362"/>
      <c r="AA64" s="262">
        <f t="shared" si="51"/>
        <v>1554.7050196449195</v>
      </c>
      <c r="AB64" s="362"/>
    </row>
    <row r="65" spans="1:28" ht="14.5">
      <c r="A65" s="295" t="str">
        <f t="shared" si="47"/>
        <v>TSX:ERO_2024_NEO3</v>
      </c>
      <c r="B65" s="295" t="str">
        <f t="shared" si="47"/>
        <v>TSX:ERO</v>
      </c>
      <c r="C65" s="296" t="str">
        <f>_xll.ciqfunctions.udf.CIQ(B65,"IQ_COMPANY_NAME")</f>
        <v>Ero Copper Corp.</v>
      </c>
      <c r="G65" s="294" t="s">
        <v>661</v>
      </c>
      <c r="H65" s="262" t="str">
        <f t="shared" si="48"/>
        <v>-</v>
      </c>
      <c r="I65" s="262">
        <f>IFERROR(IF(G65="y",IF(H65&lt;&gt;"-",H65,INDEX(Raw_Data,MATCH($A65,Look_Up,0),MATCH(I$4,Component,0))/1000*(1+'Raw Data'!$G$13)),(INDEX(Raw_Data,MATCH($A65,Look_Up,0),MATCH(I$4,Component,0))/1000)),"-")</f>
        <v>486.88990950000004</v>
      </c>
      <c r="J65" s="362"/>
      <c r="K65" s="362"/>
      <c r="L65" s="362"/>
      <c r="M65" s="262">
        <f t="shared" si="49"/>
        <v>365.167432125</v>
      </c>
      <c r="N65" s="362"/>
      <c r="O65" s="362"/>
      <c r="P65" s="262">
        <f t="shared" si="52"/>
        <v>852.05734162500005</v>
      </c>
      <c r="Q65" s="362"/>
      <c r="R65" s="362"/>
      <c r="S65" s="362"/>
      <c r="T65" s="262">
        <f t="shared" si="50"/>
        <v>722.42715922477282</v>
      </c>
      <c r="U65" s="362"/>
      <c r="V65" s="362"/>
      <c r="W65" s="262">
        <f t="shared" si="53"/>
        <v>1574.4845008497728</v>
      </c>
      <c r="X65" s="362"/>
      <c r="Y65" s="362"/>
      <c r="Z65" s="362"/>
      <c r="AA65" s="262">
        <f t="shared" si="51"/>
        <v>1574.9037728697729</v>
      </c>
      <c r="AB65" s="362"/>
    </row>
    <row r="66" spans="1:28" ht="14.5">
      <c r="A66" s="295" t="str">
        <f t="shared" si="47"/>
        <v>TSX:CG_2024_NEO3</v>
      </c>
      <c r="B66" s="295" t="str">
        <f t="shared" si="47"/>
        <v>TSX:CG</v>
      </c>
      <c r="C66" s="296" t="str">
        <f>_xll.ciqfunctions.udf.CIQ(B66,"IQ_COMPANY_NAME")</f>
        <v>Centerra Gold Inc.</v>
      </c>
      <c r="G66" s="294" t="s">
        <v>661</v>
      </c>
      <c r="H66" s="262" t="str">
        <f t="shared" si="48"/>
        <v>-</v>
      </c>
      <c r="I66" s="262">
        <f>IFERROR(IF(G66="y",IF(H66&lt;&gt;"-",H66,INDEX(Raw_Data,MATCH($A66,Look_Up,0),MATCH(I$4,Component,0))/1000*(1+'Raw Data'!$G$13)),(INDEX(Raw_Data,MATCH($A66,Look_Up,0),MATCH(I$4,Component,0))/1000)),"-")</f>
        <v>442.90000000000003</v>
      </c>
      <c r="J66" s="362"/>
      <c r="K66" s="362"/>
      <c r="L66" s="362"/>
      <c r="M66" s="262">
        <f t="shared" si="49"/>
        <v>287.88500000000005</v>
      </c>
      <c r="N66" s="362"/>
      <c r="O66" s="362"/>
      <c r="P66" s="262">
        <f t="shared" si="52"/>
        <v>730.78500000000008</v>
      </c>
      <c r="Q66" s="362"/>
      <c r="R66" s="362"/>
      <c r="S66" s="362"/>
      <c r="T66" s="262">
        <f t="shared" si="50"/>
        <v>708.6400000000001</v>
      </c>
      <c r="U66" s="362"/>
      <c r="V66" s="362"/>
      <c r="W66" s="262">
        <f t="shared" si="53"/>
        <v>1439.4250000000002</v>
      </c>
      <c r="X66" s="362"/>
      <c r="Y66" s="362"/>
      <c r="Z66" s="362"/>
      <c r="AA66" s="262">
        <f t="shared" si="51"/>
        <v>1564.3740000000003</v>
      </c>
      <c r="AB66" s="362"/>
    </row>
    <row r="67" spans="1:28" ht="14.5">
      <c r="A67" s="295" t="str">
        <f t="shared" si="47"/>
        <v>0_2024_NEO3</v>
      </c>
      <c r="B67" s="295">
        <f t="shared" si="47"/>
        <v>0</v>
      </c>
      <c r="C67" s="296" t="str">
        <f>_xll.ciqfunctions.udf.CIQ(B67,"IQ_COMPANY_NAME")</f>
        <v>(Invalid Identifier)</v>
      </c>
      <c r="G67" s="294" t="s">
        <v>661</v>
      </c>
      <c r="H67" s="262" t="str">
        <f t="shared" si="48"/>
        <v>-</v>
      </c>
      <c r="I67" s="262" t="str">
        <f>IFERROR(IF(G67="y",IF(H67&lt;&gt;"-",H67,INDEX(Raw_Data,MATCH($A67,Look_Up,0),MATCH(I$4,Component,0))/1000*(1+'Raw Data'!$G$13)),(INDEX(Raw_Data,MATCH($A67,Look_Up,0),MATCH(I$4,Component,0))/1000)),"-")</f>
        <v>-</v>
      </c>
      <c r="J67" s="362"/>
      <c r="K67" s="362"/>
      <c r="L67" s="362"/>
      <c r="M67" s="262" t="str">
        <f t="shared" si="49"/>
        <v>-</v>
      </c>
      <c r="N67" s="362"/>
      <c r="O67" s="362"/>
      <c r="P67" s="262" t="str">
        <f t="shared" si="52"/>
        <v>-</v>
      </c>
      <c r="Q67" s="362"/>
      <c r="R67" s="362"/>
      <c r="S67" s="362"/>
      <c r="T67" s="262" t="str">
        <f t="shared" si="50"/>
        <v>-</v>
      </c>
      <c r="U67" s="362"/>
      <c r="V67" s="362"/>
      <c r="W67" s="262" t="str">
        <f t="shared" si="53"/>
        <v>-</v>
      </c>
      <c r="X67" s="362"/>
      <c r="Y67" s="362"/>
      <c r="Z67" s="362"/>
      <c r="AA67" s="262" t="str">
        <f t="shared" si="51"/>
        <v>-</v>
      </c>
      <c r="AB67" s="362"/>
    </row>
    <row r="68" spans="1:28" ht="14.5">
      <c r="A68" s="295" t="str">
        <f t="shared" si="47"/>
        <v>0_2024_NEO3</v>
      </c>
      <c r="B68" s="295">
        <f t="shared" si="47"/>
        <v>0</v>
      </c>
      <c r="C68" s="296" t="str">
        <f>_xll.ciqfunctions.udf.CIQ(B68,"IQ_COMPANY_NAME")</f>
        <v>(Invalid Identifier)</v>
      </c>
      <c r="G68" s="294" t="s">
        <v>661</v>
      </c>
      <c r="H68" s="262" t="str">
        <f t="shared" si="48"/>
        <v>-</v>
      </c>
      <c r="I68" s="262" t="str">
        <f>IFERROR(IF(G68="y",IF(H68&lt;&gt;"-",H68,INDEX(Raw_Data,MATCH($A68,Look_Up,0),MATCH(I$4,Component,0))/1000*(1+'Raw Data'!$G$13)),(INDEX(Raw_Data,MATCH($A68,Look_Up,0),MATCH(I$4,Component,0))/1000)),"-")</f>
        <v>-</v>
      </c>
      <c r="J68" s="362"/>
      <c r="K68" s="362"/>
      <c r="L68" s="362"/>
      <c r="M68" s="262" t="str">
        <f t="shared" si="49"/>
        <v>-</v>
      </c>
      <c r="N68" s="362"/>
      <c r="O68" s="362"/>
      <c r="P68" s="262" t="str">
        <f t="shared" si="52"/>
        <v>-</v>
      </c>
      <c r="Q68" s="362"/>
      <c r="R68" s="362"/>
      <c r="S68" s="362"/>
      <c r="T68" s="262" t="str">
        <f t="shared" si="50"/>
        <v>-</v>
      </c>
      <c r="U68" s="362"/>
      <c r="V68" s="362"/>
      <c r="W68" s="262" t="str">
        <f t="shared" si="53"/>
        <v>-</v>
      </c>
      <c r="X68" s="362"/>
      <c r="Y68" s="362"/>
      <c r="Z68" s="362"/>
      <c r="AA68" s="262" t="str">
        <f t="shared" si="51"/>
        <v>-</v>
      </c>
      <c r="AB68" s="362"/>
    </row>
    <row r="69" spans="1:28" ht="14.5">
      <c r="A69" s="295" t="str">
        <f t="shared" si="47"/>
        <v>0_2024_NEO3</v>
      </c>
      <c r="B69" s="295">
        <f t="shared" si="47"/>
        <v>0</v>
      </c>
      <c r="C69" s="296" t="str">
        <f>_xll.ciqfunctions.udf.CIQ(B69,"IQ_COMPANY_NAME")</f>
        <v>(Invalid Identifier)</v>
      </c>
      <c r="G69" s="294" t="s">
        <v>661</v>
      </c>
      <c r="H69" s="262" t="str">
        <f t="shared" si="48"/>
        <v>-</v>
      </c>
      <c r="I69" s="262" t="str">
        <f>IFERROR(IF(G69="y",IF(H69&lt;&gt;"-",H69,INDEX(Raw_Data,MATCH($A69,Look_Up,0),MATCH(I$4,Component,0))/1000*(1+'Raw Data'!$G$13)),(INDEX(Raw_Data,MATCH($A69,Look_Up,0),MATCH(I$4,Component,0))/1000)),"-")</f>
        <v>-</v>
      </c>
      <c r="J69" s="362"/>
      <c r="K69" s="362"/>
      <c r="L69" s="362"/>
      <c r="M69" s="262" t="str">
        <f t="shared" si="49"/>
        <v>-</v>
      </c>
      <c r="N69" s="362"/>
      <c r="O69" s="362"/>
      <c r="P69" s="262" t="str">
        <f t="shared" si="52"/>
        <v>-</v>
      </c>
      <c r="Q69" s="362"/>
      <c r="R69" s="362"/>
      <c r="S69" s="362"/>
      <c r="T69" s="262" t="str">
        <f t="shared" si="50"/>
        <v>-</v>
      </c>
      <c r="U69" s="362"/>
      <c r="V69" s="362"/>
      <c r="W69" s="262" t="str">
        <f t="shared" si="53"/>
        <v>-</v>
      </c>
      <c r="X69" s="362"/>
      <c r="Y69" s="362"/>
      <c r="Z69" s="362"/>
      <c r="AA69" s="262" t="str">
        <f t="shared" si="51"/>
        <v>-</v>
      </c>
      <c r="AB69" s="362"/>
    </row>
    <row r="70" spans="1:28" ht="14.5">
      <c r="A70" s="295" t="str">
        <f t="shared" si="47"/>
        <v>0_2024_NEO3</v>
      </c>
      <c r="B70" s="295">
        <f t="shared" si="47"/>
        <v>0</v>
      </c>
      <c r="C70" s="296" t="str">
        <f>_xll.ciqfunctions.udf.CIQ(B70,"IQ_COMPANY_NAME")</f>
        <v>(Invalid Identifier)</v>
      </c>
      <c r="G70" s="294" t="s">
        <v>661</v>
      </c>
      <c r="H70" s="262" t="str">
        <f t="shared" si="48"/>
        <v>-</v>
      </c>
      <c r="I70" s="262" t="str">
        <f>IFERROR(IF(G70="y",IF(H70&lt;&gt;"-",H70,INDEX(Raw_Data,MATCH($A70,Look_Up,0),MATCH(I$4,Component,0))/1000*(1+'Raw Data'!$G$13)),(INDEX(Raw_Data,MATCH($A70,Look_Up,0),MATCH(I$4,Component,0))/1000)),"-")</f>
        <v>-</v>
      </c>
      <c r="J70" s="362"/>
      <c r="K70" s="362"/>
      <c r="L70" s="362"/>
      <c r="M70" s="262" t="str">
        <f t="shared" si="49"/>
        <v>-</v>
      </c>
      <c r="N70" s="362"/>
      <c r="O70" s="362"/>
      <c r="P70" s="262" t="str">
        <f t="shared" si="52"/>
        <v>-</v>
      </c>
      <c r="Q70" s="362"/>
      <c r="R70" s="362"/>
      <c r="S70" s="362"/>
      <c r="T70" s="262" t="str">
        <f t="shared" si="50"/>
        <v>-</v>
      </c>
      <c r="U70" s="362"/>
      <c r="V70" s="362"/>
      <c r="W70" s="262" t="str">
        <f t="shared" si="53"/>
        <v>-</v>
      </c>
      <c r="X70" s="362"/>
      <c r="Y70" s="362"/>
      <c r="Z70" s="362"/>
      <c r="AA70" s="262" t="str">
        <f t="shared" si="51"/>
        <v>-</v>
      </c>
      <c r="AB70" s="362"/>
    </row>
    <row r="71" spans="1:28" ht="14.5">
      <c r="A71" s="295" t="str">
        <f t="shared" si="47"/>
        <v>0_2024_NEO3</v>
      </c>
      <c r="B71" s="295">
        <f t="shared" si="47"/>
        <v>0</v>
      </c>
      <c r="C71" s="296" t="str">
        <f>_xll.ciqfunctions.udf.CIQ(B71,"IQ_COMPANY_NAME")</f>
        <v>(Invalid Identifier)</v>
      </c>
      <c r="G71" s="294" t="s">
        <v>661</v>
      </c>
      <c r="H71" s="262" t="str">
        <f t="shared" si="48"/>
        <v>-</v>
      </c>
      <c r="I71" s="262" t="str">
        <f>IFERROR(IF(G71="y",IF(H71&lt;&gt;"-",H71,INDEX(Raw_Data,MATCH($A71,Look_Up,0),MATCH(I$4,Component,0))/1000*(1+'Raw Data'!$G$13)),(INDEX(Raw_Data,MATCH($A71,Look_Up,0),MATCH(I$4,Component,0))/1000)),"-")</f>
        <v>-</v>
      </c>
      <c r="J71" s="362"/>
      <c r="K71" s="362"/>
      <c r="L71" s="362"/>
      <c r="M71" s="262" t="str">
        <f t="shared" si="49"/>
        <v>-</v>
      </c>
      <c r="N71" s="362"/>
      <c r="O71" s="362"/>
      <c r="P71" s="262" t="str">
        <f t="shared" si="52"/>
        <v>-</v>
      </c>
      <c r="Q71" s="362"/>
      <c r="R71" s="362"/>
      <c r="S71" s="362"/>
      <c r="T71" s="262" t="str">
        <f t="shared" si="50"/>
        <v>-</v>
      </c>
      <c r="U71" s="362"/>
      <c r="V71" s="362"/>
      <c r="W71" s="262" t="str">
        <f t="shared" si="53"/>
        <v>-</v>
      </c>
      <c r="X71" s="362"/>
      <c r="Y71" s="362"/>
      <c r="Z71" s="362"/>
      <c r="AA71" s="262" t="str">
        <f t="shared" si="51"/>
        <v>-</v>
      </c>
      <c r="AB71" s="362"/>
    </row>
    <row r="72" spans="1:28" ht="14.5">
      <c r="A72" s="295" t="str">
        <f t="shared" si="47"/>
        <v>0_2024_NEO3</v>
      </c>
      <c r="B72" s="295">
        <f t="shared" si="47"/>
        <v>0</v>
      </c>
      <c r="C72" s="296" t="str">
        <f>_xll.ciqfunctions.udf.CIQ(B72,"IQ_COMPANY_NAME")</f>
        <v>(Invalid Identifier)</v>
      </c>
      <c r="G72" s="294" t="s">
        <v>661</v>
      </c>
      <c r="H72" s="304" t="str">
        <f t="shared" si="48"/>
        <v>-</v>
      </c>
      <c r="I72" s="262" t="str">
        <f>IFERROR(IF(G72="y",IF(H72&lt;&gt;"-",H72,INDEX(Raw_Data,MATCH($A72,Look_Up,0),MATCH(I$4,Component,0))/1000*(1+'Raw Data'!$G$13)),(INDEX(Raw_Data,MATCH($A72,Look_Up,0),MATCH(I$4,Component,0))/1000)),"-")</f>
        <v>-</v>
      </c>
      <c r="J72" s="362"/>
      <c r="K72" s="362"/>
      <c r="L72" s="362"/>
      <c r="M72" s="262" t="str">
        <f t="shared" si="49"/>
        <v>-</v>
      </c>
      <c r="N72" s="362"/>
      <c r="O72" s="362"/>
      <c r="P72" s="304" t="str">
        <f t="shared" si="52"/>
        <v>-</v>
      </c>
      <c r="Q72" s="362"/>
      <c r="R72" s="362"/>
      <c r="S72" s="362"/>
      <c r="T72" s="262" t="str">
        <f t="shared" si="50"/>
        <v>-</v>
      </c>
      <c r="U72" s="362"/>
      <c r="V72" s="362"/>
      <c r="W72" s="304" t="str">
        <f t="shared" si="53"/>
        <v>-</v>
      </c>
      <c r="X72" s="362"/>
      <c r="Y72" s="362"/>
      <c r="Z72" s="362"/>
      <c r="AA72" s="304" t="str">
        <f t="shared" si="51"/>
        <v>-</v>
      </c>
      <c r="AB72" s="362"/>
    </row>
    <row r="73" spans="1:28" ht="14.5">
      <c r="A73" s="15"/>
      <c r="B73" s="15"/>
      <c r="I73" s="288"/>
      <c r="M73" s="288"/>
      <c r="P73" s="288"/>
      <c r="T73" s="288"/>
      <c r="W73" s="288"/>
      <c r="AA73" s="288"/>
    </row>
    <row r="74" spans="1:28" ht="14.5">
      <c r="A74" s="15"/>
      <c r="B74" s="15"/>
      <c r="I74" s="262">
        <f>PERCENTILE(I$53:I$72,$B29)</f>
        <v>597.25</v>
      </c>
      <c r="M74" s="262">
        <f>PERCENTILE(M$53:M$72,$B29)</f>
        <v>447.9375</v>
      </c>
      <c r="P74" s="262">
        <f>PERCENTILE(P$53:P$72,$B29)</f>
        <v>1045.1875</v>
      </c>
      <c r="T74" s="262">
        <f>PERCENTILE(T$53:T$72,$B29)</f>
        <v>1002.7057831853504</v>
      </c>
      <c r="W74" s="262">
        <f>PERCENTILE(W$53:W$72,$B29)</f>
        <v>2053.2028843103499</v>
      </c>
      <c r="AA74" s="262">
        <f>PERCENTILE(AA$53:AA$72,$B29)</f>
        <v>2284.5596532103505</v>
      </c>
    </row>
    <row r="75" spans="1:28" ht="14.5">
      <c r="A75" s="15"/>
      <c r="B75" s="15"/>
      <c r="I75" s="266">
        <f>PERCENTILE(I$53:I$72,$B30)</f>
        <v>485.49698097630005</v>
      </c>
      <c r="M75" s="266">
        <f>PERCENTILE(M$53:M$72,$B30)</f>
        <v>357.0018560625</v>
      </c>
      <c r="P75" s="266">
        <f>PERCENTILE(P$53:P$72,$B30)</f>
        <v>833.00433081250003</v>
      </c>
      <c r="T75" s="266">
        <f>PERCENTILE(T$53:T$72,$B30)</f>
        <v>760.26554496181973</v>
      </c>
      <c r="W75" s="266">
        <f>PERCENTILE(W$53:W$72,$B30)</f>
        <v>1591.6156004248865</v>
      </c>
      <c r="AA75" s="266">
        <f>PERCENTILE(AA$53:AA$72,$B30)</f>
        <v>1639.1807900000001</v>
      </c>
    </row>
    <row r="76" spans="1:28" ht="14.5">
      <c r="A76" s="15"/>
      <c r="B76" s="15"/>
      <c r="I76" s="262">
        <f>PERCENTILE(I$53:I$72,$B31)</f>
        <v>462.93167408810007</v>
      </c>
      <c r="M76" s="262">
        <f>PERCENTILE(M$53:M$72,$B31)</f>
        <v>291.49182360367001</v>
      </c>
      <c r="P76" s="262">
        <f>PERCENTILE(P$53:P$72,$B31)</f>
        <v>754.47662098104001</v>
      </c>
      <c r="T76" s="262">
        <f>PERCENTILE(T$53:T$72,$B31)</f>
        <v>700.41442000000006</v>
      </c>
      <c r="W76" s="262">
        <f>PERCENTILE(W$53:W$72,$B31)</f>
        <v>1457.4747200000002</v>
      </c>
      <c r="AA76" s="262">
        <f>PERCENTILE(AA$53:AA$72,$B31)</f>
        <v>1557.1222647336897</v>
      </c>
    </row>
    <row r="77" spans="1:28" ht="14.5">
      <c r="A77" s="15"/>
      <c r="B77" s="15"/>
      <c r="I77" s="270">
        <f>AVERAGE(I53:I72)</f>
        <v>518.0215478145285</v>
      </c>
      <c r="M77" s="270">
        <f>AVERAGE(M53:M72)</f>
        <v>372.78941158693152</v>
      </c>
      <c r="P77" s="270">
        <f>AVERAGE(P53:P72)</f>
        <v>890.81095940146008</v>
      </c>
      <c r="T77" s="270">
        <f>AVERAGE(T53:T72)</f>
        <v>871.17472166988671</v>
      </c>
      <c r="W77" s="270">
        <f>AVERAGE(W53:W72)</f>
        <v>1761.9856810713468</v>
      </c>
      <c r="AA77" s="270">
        <f>AVERAGE(AA53:AA72)</f>
        <v>1856.3996225099183</v>
      </c>
    </row>
    <row r="78" spans="1:28">
      <c r="A78" s="15"/>
      <c r="B78" s="15"/>
    </row>
  </sheetData>
  <sortState xmlns:xlrd2="http://schemas.microsoft.com/office/spreadsheetml/2017/richdata2" ref="A8:AP21">
    <sortCondition descending="1" ref="E8:E21"/>
  </sortState>
  <mergeCells count="10">
    <mergeCell ref="I6:I7"/>
    <mergeCell ref="X6:X7"/>
    <mergeCell ref="Y6:Y7"/>
    <mergeCell ref="Z6:AA6"/>
    <mergeCell ref="H6:H7"/>
    <mergeCell ref="C6:C7"/>
    <mergeCell ref="D6:D7"/>
    <mergeCell ref="E6:E7"/>
    <mergeCell ref="F6:F7"/>
    <mergeCell ref="G6:G7"/>
  </mergeCells>
  <conditionalFormatting sqref="C8:AA27">
    <cfRule type="expression" dxfId="111" priority="2">
      <formula>MOD(ROW(),2)=0</formula>
    </cfRule>
  </conditionalFormatting>
  <conditionalFormatting sqref="C29:AA32">
    <cfRule type="expression" dxfId="110" priority="3">
      <formula>MOD(ROW(),2)=0</formula>
    </cfRule>
  </conditionalFormatting>
  <conditionalFormatting sqref="C34:AA37">
    <cfRule type="expression" dxfId="109" priority="1">
      <formula>MOD(ROW(),2)=0</formula>
    </cfRule>
  </conditionalFormatting>
  <conditionalFormatting sqref="H53:I72">
    <cfRule type="expression" dxfId="108" priority="104">
      <formula>MOD(ROW(),2)=0</formula>
    </cfRule>
  </conditionalFormatting>
  <conditionalFormatting sqref="I74:I77">
    <cfRule type="expression" dxfId="107" priority="109">
      <formula>MOD(ROW(),2)=0</formula>
    </cfRule>
  </conditionalFormatting>
  <conditionalFormatting sqref="M53:M72">
    <cfRule type="expression" dxfId="106" priority="112">
      <formula>MOD(ROW(),2)=0</formula>
    </cfRule>
  </conditionalFormatting>
  <conditionalFormatting sqref="M74:M77">
    <cfRule type="expression" dxfId="105" priority="108">
      <formula>MOD(ROW(),2)=0</formula>
    </cfRule>
  </conditionalFormatting>
  <conditionalFormatting sqref="P53:P72">
    <cfRule type="expression" dxfId="104" priority="111">
      <formula>MOD(ROW(),2)=0</formula>
    </cfRule>
  </conditionalFormatting>
  <conditionalFormatting sqref="P74:P77">
    <cfRule type="expression" dxfId="103" priority="107">
      <formula>MOD(ROW(),2)=0</formula>
    </cfRule>
  </conditionalFormatting>
  <conditionalFormatting sqref="T53:T72">
    <cfRule type="expression" dxfId="102" priority="110">
      <formula>MOD(ROW(),2)=0</formula>
    </cfRule>
  </conditionalFormatting>
  <conditionalFormatting sqref="T74:T77">
    <cfRule type="expression" dxfId="101" priority="106">
      <formula>MOD(ROW(),2)=0</formula>
    </cfRule>
  </conditionalFormatting>
  <conditionalFormatting sqref="W53:W72">
    <cfRule type="expression" dxfId="100" priority="102">
      <formula>MOD(ROW(),2)=0</formula>
    </cfRule>
  </conditionalFormatting>
  <conditionalFormatting sqref="W74:W77">
    <cfRule type="expression" dxfId="99" priority="105">
      <formula>MOD(ROW(),2)=0</formula>
    </cfRule>
  </conditionalFormatting>
  <conditionalFormatting sqref="AA53:AA72">
    <cfRule type="expression" dxfId="98" priority="99">
      <formula>MOD(ROW(),2)=0</formula>
    </cfRule>
  </conditionalFormatting>
  <conditionalFormatting sqref="AA74:AA77">
    <cfRule type="expression" dxfId="97" priority="100">
      <formula>MOD(ROW(),2)=0</formula>
    </cfRule>
  </conditionalFormatting>
  <conditionalFormatting sqref="AC8:AD27">
    <cfRule type="expression" dxfId="96" priority="9">
      <formula>MOD(ROW(),2)=0</formula>
    </cfRule>
  </conditionalFormatting>
  <conditionalFormatting sqref="AC29:AD37">
    <cfRule type="expression" dxfId="95" priority="8">
      <formula>MOD(ROW(),2)=0</formula>
    </cfRule>
  </conditionalFormatting>
  <conditionalFormatting sqref="AG8:AK21 AG22:AM27">
    <cfRule type="expression" dxfId="94" priority="6">
      <formula>MOD(ROW(),2)=0</formula>
    </cfRule>
  </conditionalFormatting>
  <conditionalFormatting sqref="AL8:AM8 AL9 AL10:AM14 AL15 AL16:AM21">
    <cfRule type="expression" dxfId="93" priority="5">
      <formula>MOD(ROW(),2)=0</formula>
    </cfRule>
  </conditionalFormatting>
  <conditionalFormatting sqref="AL8:AM21">
    <cfRule type="expression" dxfId="92" priority="4">
      <formula>$AJ8="Y"</formula>
    </cfRule>
  </conditionalFormatting>
  <conditionalFormatting sqref="AL29:AM33">
    <cfRule type="expression" dxfId="91" priority="7">
      <formula>MOD(ROW(),2)=0</formula>
    </cfRule>
  </conditionalFormatting>
  <conditionalFormatting sqref="AN8:AN27">
    <cfRule type="expression" dxfId="90" priority="49">
      <formula>MOD(ROW(),2)=0</formula>
    </cfRule>
  </conditionalFormatting>
  <dataValidations count="1">
    <dataValidation type="list" allowBlank="1" showInputMessage="1" showErrorMessage="1" sqref="G53:G72" xr:uid="{A00D290F-F12A-4EBA-98F3-C33F5B7FB41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F67E-80DA-43EE-AC38-1BDA4283CB84}">
  <sheetPr>
    <tabColor theme="2" tint="0.749992370372631"/>
    <pageSetUpPr fitToPage="1"/>
  </sheetPr>
  <dimension ref="A1:AQ77"/>
  <sheetViews>
    <sheetView showGridLines="0" topLeftCell="A8" zoomScale="85" zoomScaleNormal="85" workbookViewId="0">
      <selection activeCell="C6" sqref="C6:AA28"/>
    </sheetView>
  </sheetViews>
  <sheetFormatPr defaultColWidth="9.1796875" defaultRowHeight="14" outlineLevelRow="1" outlineLevelCol="3"/>
  <cols>
    <col min="1" max="1" width="10.453125" style="12" bestFit="1" customWidth="1"/>
    <col min="2" max="2" width="8.1796875" style="12" customWidth="1"/>
    <col min="3" max="3" width="26.7265625" style="12" bestFit="1" customWidth="1"/>
    <col min="4" max="5" width="14.453125" style="12" hidden="1" customWidth="1" outlineLevel="1"/>
    <col min="6" max="6" width="20.26953125" style="12" bestFit="1" customWidth="1" outlineLevel="1"/>
    <col min="7" max="7" width="55.453125" style="12" bestFit="1"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468</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Legal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07" t="s">
        <v>22</v>
      </c>
      <c r="D6" s="1109" t="s">
        <v>21</v>
      </c>
      <c r="E6" s="1109" t="s">
        <v>20</v>
      </c>
      <c r="F6" s="1109" t="s">
        <v>19</v>
      </c>
      <c r="G6" s="1109" t="s">
        <v>18</v>
      </c>
      <c r="H6" s="1100" t="s">
        <v>114</v>
      </c>
      <c r="I6" s="1100" t="s">
        <v>17</v>
      </c>
      <c r="J6" s="899" t="s">
        <v>16</v>
      </c>
      <c r="K6" s="899"/>
      <c r="L6" s="899"/>
      <c r="M6" s="899" t="s">
        <v>16</v>
      </c>
      <c r="N6" s="899"/>
      <c r="O6" s="899" t="s">
        <v>15</v>
      </c>
      <c r="P6" s="899"/>
      <c r="Q6" s="899" t="s">
        <v>14</v>
      </c>
      <c r="R6" s="899"/>
      <c r="S6" s="899"/>
      <c r="T6" s="899" t="s">
        <v>14</v>
      </c>
      <c r="U6" s="899"/>
      <c r="V6" s="899" t="s">
        <v>656</v>
      </c>
      <c r="W6" s="899"/>
      <c r="X6" s="1122" t="s">
        <v>31</v>
      </c>
      <c r="Y6" s="1124" t="s">
        <v>245</v>
      </c>
      <c r="Z6" s="1124" t="s">
        <v>244</v>
      </c>
      <c r="AA6" s="1126"/>
      <c r="AB6" s="910"/>
      <c r="AC6" s="911" t="s">
        <v>12</v>
      </c>
      <c r="AD6" s="900"/>
      <c r="AE6" s="910">
        <v>2023</v>
      </c>
      <c r="AF6" s="912"/>
      <c r="AG6" s="906" t="s">
        <v>657</v>
      </c>
      <c r="AH6" s="913"/>
      <c r="AI6" s="913"/>
      <c r="AJ6" s="913"/>
      <c r="AK6" s="913"/>
      <c r="AL6" s="906" t="s">
        <v>657</v>
      </c>
      <c r="AM6" s="907"/>
      <c r="AN6" s="682"/>
    </row>
    <row r="7" spans="1:42" ht="20.149999999999999" customHeight="1">
      <c r="A7" s="52" t="s">
        <v>54</v>
      </c>
      <c r="B7" s="52" t="s">
        <v>25</v>
      </c>
      <c r="C7" s="1108"/>
      <c r="D7" s="1110" t="s">
        <v>21</v>
      </c>
      <c r="E7" s="1110" t="s">
        <v>20</v>
      </c>
      <c r="F7" s="1110" t="s">
        <v>19</v>
      </c>
      <c r="G7" s="1110" t="s">
        <v>18</v>
      </c>
      <c r="H7" s="1101" t="s">
        <v>17</v>
      </c>
      <c r="I7" s="1101" t="s">
        <v>17</v>
      </c>
      <c r="J7" s="901" t="s">
        <v>40</v>
      </c>
      <c r="K7" s="902" t="s">
        <v>51</v>
      </c>
      <c r="L7" s="902" t="s">
        <v>104</v>
      </c>
      <c r="M7" s="902" t="s">
        <v>42</v>
      </c>
      <c r="N7" s="901" t="s">
        <v>41</v>
      </c>
      <c r="O7" s="901" t="s">
        <v>53</v>
      </c>
      <c r="P7" s="901" t="s">
        <v>42</v>
      </c>
      <c r="Q7" s="902" t="s">
        <v>40</v>
      </c>
      <c r="R7" s="903" t="s">
        <v>52</v>
      </c>
      <c r="S7" s="903" t="s">
        <v>105</v>
      </c>
      <c r="T7" s="902" t="s">
        <v>42</v>
      </c>
      <c r="U7" s="904" t="s">
        <v>41</v>
      </c>
      <c r="V7" s="901" t="s">
        <v>40</v>
      </c>
      <c r="W7" s="901" t="s">
        <v>42</v>
      </c>
      <c r="X7" s="1123"/>
      <c r="Y7" s="1125"/>
      <c r="Z7" s="901" t="s">
        <v>40</v>
      </c>
      <c r="AA7" s="905" t="s">
        <v>42</v>
      </c>
      <c r="AB7" s="910"/>
      <c r="AC7" s="914" t="s">
        <v>11</v>
      </c>
      <c r="AD7" s="915" t="s">
        <v>10</v>
      </c>
      <c r="AE7" s="912" t="str">
        <f>AE6&amp;" Lookup"</f>
        <v>2023 Lookup</v>
      </c>
      <c r="AF7" s="912"/>
      <c r="AG7" s="916" t="s">
        <v>22</v>
      </c>
      <c r="AH7" s="917" t="s">
        <v>19</v>
      </c>
      <c r="AI7" s="917" t="s">
        <v>660</v>
      </c>
      <c r="AJ7" s="918" t="s">
        <v>658</v>
      </c>
      <c r="AK7" s="917" t="s">
        <v>18</v>
      </c>
      <c r="AL7" s="908" t="s">
        <v>40</v>
      </c>
      <c r="AM7" s="909" t="s">
        <v>42</v>
      </c>
      <c r="AN7" s="502" t="s">
        <v>659</v>
      </c>
      <c r="AO7" s="12" t="s">
        <v>766</v>
      </c>
    </row>
    <row r="8" spans="1:42" ht="20.25" customHeight="1">
      <c r="A8" s="12" t="str">
        <f t="shared" ref="A8:A15" si="0">$B8&amp;"_"&amp;$C$3&amp;"_"&amp;$C$2</f>
        <v>TSX:LUN_2024_Legal</v>
      </c>
      <c r="B8" s="12" t="str">
        <f>'Raw Data'!D6</f>
        <v>TSX:LUN</v>
      </c>
      <c r="C8" s="846" t="str">
        <f t="shared" ref="C8:C15" si="1">IFERROR(INDEX(Raw_Data,MATCH($A8,Look_Up2,0),MATCH(C$4,Component,0)),"-")</f>
        <v>Lundin Mining Corporation</v>
      </c>
      <c r="D8" s="847">
        <f>_xll.ciqfunctions.udf.CIQ(B8, "IQ_MARKETCAP", $A$1,$A$2)</f>
        <v>11855.56763</v>
      </c>
      <c r="E8" s="847">
        <f>_xll.ciqfunctions.udf.CIQ($B8, "IQ_TEV", $A$1,$A$2)</f>
        <v>16005.2402</v>
      </c>
      <c r="F8" s="848" t="str">
        <f t="shared" ref="F8:G15" si="2">IFERROR(INDEX(Raw_Data,MATCH($A8,Look_Up2,0),MATCH(F$4,Component,0)),"-")</f>
        <v>Peter Brady</v>
      </c>
      <c r="G8" s="848" t="str">
        <f t="shared" si="2"/>
        <v>General Counsel</v>
      </c>
      <c r="H8" s="847">
        <f t="shared" ref="H8:J15" si="3">IFERROR(INDEX(Raw_Data,MATCH($A8,Look_Up2,0),MATCH(H$4,Component,0))/1000,"-")</f>
        <v>630</v>
      </c>
      <c r="I8" s="847">
        <f t="shared" si="3"/>
        <v>615</v>
      </c>
      <c r="J8" s="849">
        <f t="shared" si="3"/>
        <v>1114.4647640900002</v>
      </c>
      <c r="K8" s="850">
        <f t="shared" ref="K8:L15" si="4">IFERROR(INDEX(Raw_Data,MATCH($A8,Look_Up2,0),MATCH(K$4,Component,0)),"-")</f>
        <v>1.8121378277886182</v>
      </c>
      <c r="L8" s="850">
        <f t="shared" si="4"/>
        <v>1.3288333403015002</v>
      </c>
      <c r="M8" s="851">
        <f t="shared" ref="M8:M15" si="5">IFERROR(INDEX(Raw_Data,MATCH($A8,Look_Up2,0),MATCH(M$4,Component,0))/1000,"-")</f>
        <v>461.25</v>
      </c>
      <c r="N8" s="852">
        <f t="shared" ref="N8:N15" si="6">IFERROR(IF(INDEX(Raw_Data,MATCH($A8,Look_Up2,0),MATCH(N$4,Component,0))="-",L8,INDEX(Raw_Data,MATCH($A8,Look_Up2,0),MATCH(N$4,Component,0))),"-")</f>
        <v>0.75</v>
      </c>
      <c r="O8" s="849">
        <f t="shared" ref="O8:Q15" si="7">IFERROR(INDEX(Raw_Data,MATCH($A8,Look_Up2,0),MATCH(O$4,Component,0))/1000,"-")</f>
        <v>1729.4647640900002</v>
      </c>
      <c r="P8" s="853">
        <f t="shared" si="7"/>
        <v>1076.25</v>
      </c>
      <c r="Q8" s="849">
        <f t="shared" si="7"/>
        <v>930.50848023000015</v>
      </c>
      <c r="R8" s="850">
        <f t="shared" ref="R8:S15" si="8">IFERROR(INDEX(Raw_Data,MATCH($A8,Look_Up2,0),MATCH(R$4,Component,0)),"-")</f>
        <v>1.5130219190731709</v>
      </c>
      <c r="S8" s="850">
        <f t="shared" si="8"/>
        <v>1.4269230749863508</v>
      </c>
      <c r="T8" s="851">
        <f t="shared" ref="T8:T15" si="9">IFERROR(INDEX(Raw_Data,MATCH($A8,Look_Up2,0),MATCH(T$4,Component,0))/1000,"-")</f>
        <v>877.55769111660572</v>
      </c>
      <c r="U8" s="852">
        <f t="shared" ref="U8:U15" si="10">IFERROR(IF(INDEX(Raw_Data,MATCH($A8,Look_Up2,0),MATCH(U$4,Component,0))="-",S8,INDEX(Raw_Data,MATCH($A8,Look_Up2,0),MATCH(U$4,Component,0))),"-")</f>
        <v>1.4269230749863508</v>
      </c>
      <c r="V8" s="849">
        <f t="shared" ref="V8:W15" si="11">IFERROR(INDEX(Raw_Data,MATCH($A8,Look_Up2,0),MATCH(V$4,Component,0))/1000,"-")</f>
        <v>2659.9732443200005</v>
      </c>
      <c r="W8" s="854">
        <f t="shared" si="11"/>
        <v>1953.8076911166058</v>
      </c>
      <c r="X8" s="769" t="str">
        <f t="shared" ref="X8:Y15" si="12">IFERROR((INDEX(Raw_Data,MATCH($A8,Look_Up2,0),MATCH(X$4,Component,0))/1000),"-")</f>
        <v>-</v>
      </c>
      <c r="Y8" s="774">
        <f t="shared" si="12"/>
        <v>280.96020935000001</v>
      </c>
      <c r="Z8" s="769">
        <f t="shared" ref="Z8:AA15" si="13">IFERROR(INDEX(Raw_Data,MATCH($A8,Look_Up2,0),MATCH(Z$4,Component,0))/1000,"-")</f>
        <v>2940.9334536700007</v>
      </c>
      <c r="AA8" s="774">
        <f t="shared" si="13"/>
        <v>2234.7679004666061</v>
      </c>
      <c r="AB8" s="775"/>
      <c r="AC8" s="776">
        <f t="shared" ref="AC8:AC15" si="14">IFERROR(P8/W8,"-")</f>
        <v>0.550847457962928</v>
      </c>
      <c r="AD8" s="777">
        <f t="shared" ref="AD8:AD15" si="15">IFERROR(T8/W8,"-")</f>
        <v>0.44915254203707189</v>
      </c>
      <c r="AE8" s="778" t="str">
        <f t="shared" ref="AE8:AE15" si="16">B8&amp;"_"&amp;$AE$6&amp;"_"&amp;$C$2</f>
        <v>TSX:LUN_2023_Legal</v>
      </c>
      <c r="AF8" s="778"/>
      <c r="AG8" s="855" t="str" cm="1">
        <f t="array" ref="AG8">IFERROR(INDEX('Import 2023 Data'!$E$4:$I$113,_xlfn.XMATCH(Legal!$AE8,'Import 2023 Data'!$C$4:$C$113),_xlfn.XMATCH(Legal!AG$5,'Import 2023 Data'!$E$3:$I$3)),"-")</f>
        <v>Lundin Mining Corporation</v>
      </c>
      <c r="AH8" s="856" t="str" cm="1">
        <f t="array" ref="AH8">IFERROR(INDEX('Import 2023 Data'!$E$4:$I$113,_xlfn.XMATCH(Legal!$AE8,'Import 2023 Data'!$C$4:$C$113),_xlfn.XMATCH(Legal!AH$5,'Import 2023 Data'!$E$3:$I$3)),"-")</f>
        <v>Peter Brady</v>
      </c>
      <c r="AI8" s="857" t="str">
        <f>IF(ISNUMBER(_xlfn.XMATCH(C8,'Import 2023 Data'!$E$4:$E$113)),"N","Y")</f>
        <v>N</v>
      </c>
      <c r="AJ8" s="857" t="str">
        <f t="shared" ref="AJ8:AJ15" si="17">IFERROR(IF(TRIM(LOWER(AH8))=TRIM(LOWER(F8)),"N","Y"),"-")</f>
        <v>N</v>
      </c>
      <c r="AK8" s="856" t="str" cm="1">
        <f t="array" ref="AK8">IFERROR(INDEX('Import 2023 Data'!$E$4:$I$113,_xlfn.XMATCH(Legal!$AE8,'Import 2023 Data'!$C$4:$C$113),_xlfn.XMATCH(Legal!AK$5,'Import 2023 Data'!$E$3:$I$3)),"-")</f>
        <v xml:space="preserve">General Counsel </v>
      </c>
      <c r="AL8" s="889" cm="1">
        <f t="array" ref="AL8">IFERROR(INDEX('Import 2023 Data'!$E$4:$I$113,_xlfn.XMATCH(Legal!$AE8,'Import 2023 Data'!$C$4:$C$113),_xlfn.XMATCH(Legal!AL$5,'Import 2023 Data'!$E$3:$I$3)),"-")</f>
        <v>1940.0917381925253</v>
      </c>
      <c r="AM8" s="890" cm="1">
        <f t="array" ref="AM8">IFERROR(INDEX('Import 2023 Data'!$E$4:$I$113,_xlfn.XMATCH(Legal!$AE8,'Import 2023 Data'!$C$4:$C$113),_xlfn.XMATCH(Legal!AM$5,'Import 2023 Data'!$E$3:$I$3)),"-")</f>
        <v>1851.4828120641209</v>
      </c>
      <c r="AN8" s="733">
        <f>IF(AJ8="N",IFERROR(W8/AM8-1,"-"),"-")</f>
        <v>5.5266448268244117E-2</v>
      </c>
      <c r="AP8" s="12" t="s">
        <v>764</v>
      </c>
    </row>
    <row r="9" spans="1:42" ht="20.25" customHeight="1">
      <c r="A9" s="12" t="str">
        <f t="shared" si="0"/>
        <v>TSX:PAAS_2024_Legal</v>
      </c>
      <c r="B9" s="12" t="str">
        <f>'Raw Data'!D8</f>
        <v>TSX:PAAS</v>
      </c>
      <c r="C9" s="766" t="str">
        <f t="shared" si="1"/>
        <v>Pan American Silver Corp.</v>
      </c>
      <c r="D9" s="767">
        <f>_xll.ciqfunctions.udf.CIQ(B9, "IQ_MARKETCAP", $A$1,$A$2)</f>
        <v>14762.84492</v>
      </c>
      <c r="E9" s="767">
        <f>_xll.ciqfunctions.udf.CIQ($B9, "IQ_TEV", $A$1,$A$2)</f>
        <v>14643.113660000001</v>
      </c>
      <c r="F9" s="768" t="str">
        <f t="shared" si="2"/>
        <v>Christopher Lemon</v>
      </c>
      <c r="G9" s="768" t="str">
        <f t="shared" si="2"/>
        <v>General Counsel</v>
      </c>
      <c r="H9" s="767" t="str">
        <f t="shared" si="3"/>
        <v>-</v>
      </c>
      <c r="I9" s="767">
        <f t="shared" si="3"/>
        <v>634.4</v>
      </c>
      <c r="J9" s="769">
        <f t="shared" si="3"/>
        <v>567.79</v>
      </c>
      <c r="K9" s="770">
        <f t="shared" si="4"/>
        <v>0.89500315258511975</v>
      </c>
      <c r="L9" s="770">
        <f t="shared" si="4"/>
        <v>0.833377236032525</v>
      </c>
      <c r="M9" s="771">
        <f t="shared" si="5"/>
        <v>507.52</v>
      </c>
      <c r="N9" s="772">
        <f t="shared" si="6"/>
        <v>0.8</v>
      </c>
      <c r="O9" s="769">
        <f t="shared" si="7"/>
        <v>1202.19</v>
      </c>
      <c r="P9" s="773">
        <f t="shared" si="7"/>
        <v>1141.92</v>
      </c>
      <c r="Q9" s="769">
        <f t="shared" si="7"/>
        <v>1395.68</v>
      </c>
      <c r="R9" s="770">
        <f t="shared" si="8"/>
        <v>2.2000000000000002</v>
      </c>
      <c r="S9" s="770">
        <f t="shared" si="8"/>
        <v>1.9508427398486567</v>
      </c>
      <c r="T9" s="771">
        <f t="shared" si="9"/>
        <v>1395.68</v>
      </c>
      <c r="U9" s="772">
        <f t="shared" si="10"/>
        <v>2.2000000000000002</v>
      </c>
      <c r="V9" s="769">
        <f t="shared" si="11"/>
        <v>2597.87</v>
      </c>
      <c r="W9" s="774">
        <f t="shared" si="11"/>
        <v>2537.6</v>
      </c>
      <c r="X9" s="769">
        <f t="shared" si="12"/>
        <v>285.48</v>
      </c>
      <c r="Y9" s="774" t="str">
        <f t="shared" si="12"/>
        <v>-</v>
      </c>
      <c r="Z9" s="769">
        <f t="shared" si="13"/>
        <v>2883.35</v>
      </c>
      <c r="AA9" s="774">
        <f t="shared" si="13"/>
        <v>2823.08</v>
      </c>
      <c r="AB9" s="775"/>
      <c r="AC9" s="776">
        <f t="shared" si="14"/>
        <v>0.45000000000000007</v>
      </c>
      <c r="AD9" s="777">
        <f t="shared" si="15"/>
        <v>0.55000000000000004</v>
      </c>
      <c r="AE9" s="778" t="str">
        <f t="shared" si="16"/>
        <v>TSX:PAAS_2023_Legal</v>
      </c>
      <c r="AF9" s="778"/>
      <c r="AG9" s="782" t="str" cm="1">
        <f t="array" ref="AG9">IFERROR(INDEX('Import 2023 Data'!$E$4:$I$113,_xlfn.XMATCH(Legal!$AE9,'Import 2023 Data'!$C$4:$C$113),_xlfn.XMATCH(Legal!AG$5,'Import 2023 Data'!$E$3:$I$3)),"-")</f>
        <v>Pan American Silver Corp.</v>
      </c>
      <c r="AH9" s="778" t="str" cm="1">
        <f t="array" ref="AH9">IFERROR(INDEX('Import 2023 Data'!$E$4:$I$113,_xlfn.XMATCH(Legal!$AE9,'Import 2023 Data'!$C$4:$C$113),_xlfn.XMATCH(Legal!AH$5,'Import 2023 Data'!$E$3:$I$3)),"-")</f>
        <v>Christopher Lemon</v>
      </c>
      <c r="AI9" s="783" t="str">
        <f>IF(ISNUMBER(_xlfn.XMATCH(C9,'Import 2023 Data'!$E$4:$E$113)),"N","Y")</f>
        <v>N</v>
      </c>
      <c r="AJ9" s="783" t="str">
        <f t="shared" si="17"/>
        <v>N</v>
      </c>
      <c r="AK9" s="778" t="str" cm="1">
        <f t="array" ref="AK9">IFERROR(INDEX('Import 2023 Data'!$E$4:$I$113,_xlfn.XMATCH(Legal!$AE9,'Import 2023 Data'!$C$4:$C$113),_xlfn.XMATCH(Legal!AK$5,'Import 2023 Data'!$E$3:$I$3)),"-")</f>
        <v xml:space="preserve">General Counsel </v>
      </c>
      <c r="AL9" s="891" cm="1">
        <f t="array" ref="AL9">IFERROR(INDEX('Import 2023 Data'!$E$4:$I$113,_xlfn.XMATCH(Legal!$AE9,'Import 2023 Data'!$C$4:$C$113),_xlfn.XMATCH(Legal!AL$5,'Import 2023 Data'!$E$3:$I$3)),"-")</f>
        <v>2497.875</v>
      </c>
      <c r="AM9" s="892" cm="1">
        <f t="array" ref="AM9">IFERROR(INDEX('Import 2023 Data'!$E$4:$I$113,_xlfn.XMATCH(Legal!$AE9,'Import 2023 Data'!$C$4:$C$113),_xlfn.XMATCH(Legal!AM$5,'Import 2023 Data'!$E$3:$I$3)),"-")</f>
        <v>2383.1</v>
      </c>
      <c r="AN9" s="733">
        <f t="shared" ref="AN9:AN15" si="18">IF(AJ9="N",IFERROR(W9/AM9-1,"-"),"-")</f>
        <v>6.4831521967185557E-2</v>
      </c>
    </row>
    <row r="10" spans="1:42" ht="20.25" customHeight="1">
      <c r="A10" s="12" t="str">
        <f t="shared" si="0"/>
        <v>TSX:CS_2024_Legal</v>
      </c>
      <c r="B10" s="12" t="str">
        <f>'Raw Data'!D9</f>
        <v>TSX:CS</v>
      </c>
      <c r="C10" s="766" t="str">
        <f t="shared" si="1"/>
        <v>Capstone Copper Corp.</v>
      </c>
      <c r="D10" s="767">
        <f>_xll.ciqfunctions.udf.CIQ(B10, "IQ_MARKETCAP", $A$1,$A$2)</f>
        <v>5953.1492900000003</v>
      </c>
      <c r="E10" s="767">
        <f>_xll.ciqfunctions.udf.CIQ($B10, "IQ_TEV", $A$1,$A$2)</f>
        <v>8486.01584</v>
      </c>
      <c r="F10" s="768" t="str">
        <f t="shared" si="2"/>
        <v>Wendy King</v>
      </c>
      <c r="G10" s="768" t="str">
        <f t="shared" si="2"/>
        <v>SVP, Risk, ESG, General Counsel &amp; Corporate Secretary</v>
      </c>
      <c r="H10" s="767" t="str">
        <f t="shared" si="3"/>
        <v>-</v>
      </c>
      <c r="I10" s="767">
        <f t="shared" si="3"/>
        <v>451.56799999999998</v>
      </c>
      <c r="J10" s="769">
        <f t="shared" si="3"/>
        <v>306.50200000000001</v>
      </c>
      <c r="K10" s="770">
        <f t="shared" si="4"/>
        <v>0.67875048719129782</v>
      </c>
      <c r="L10" s="770">
        <f t="shared" si="4"/>
        <v>0.66025013168928404</v>
      </c>
      <c r="M10" s="771">
        <f t="shared" si="5"/>
        <v>338.67599999999999</v>
      </c>
      <c r="N10" s="772">
        <f t="shared" si="6"/>
        <v>0.75</v>
      </c>
      <c r="O10" s="769">
        <f t="shared" si="7"/>
        <v>758.07</v>
      </c>
      <c r="P10" s="773">
        <f t="shared" si="7"/>
        <v>790.24400000000003</v>
      </c>
      <c r="Q10" s="769">
        <f t="shared" si="7"/>
        <v>677.35199999999998</v>
      </c>
      <c r="R10" s="770">
        <f t="shared" si="8"/>
        <v>1.5</v>
      </c>
      <c r="S10" s="770">
        <f t="shared" si="8"/>
        <v>1.545632734530938</v>
      </c>
      <c r="T10" s="771">
        <f t="shared" si="9"/>
        <v>677.35199999999998</v>
      </c>
      <c r="U10" s="772">
        <f t="shared" si="10"/>
        <v>1.5</v>
      </c>
      <c r="V10" s="769">
        <f t="shared" si="11"/>
        <v>1435.422</v>
      </c>
      <c r="W10" s="774">
        <f t="shared" si="11"/>
        <v>1467.596</v>
      </c>
      <c r="X10" s="769" t="str">
        <f t="shared" si="12"/>
        <v>-</v>
      </c>
      <c r="Y10" s="774">
        <f t="shared" si="12"/>
        <v>72.802000000000007</v>
      </c>
      <c r="Z10" s="769">
        <f t="shared" si="13"/>
        <v>1508.2239999999999</v>
      </c>
      <c r="AA10" s="774">
        <f t="shared" si="13"/>
        <v>1540.3979999999999</v>
      </c>
      <c r="AB10" s="775"/>
      <c r="AC10" s="776">
        <f t="shared" si="14"/>
        <v>0.53846153846153844</v>
      </c>
      <c r="AD10" s="777">
        <f t="shared" si="15"/>
        <v>0.46153846153846151</v>
      </c>
      <c r="AE10" s="778" t="str">
        <f t="shared" si="16"/>
        <v>TSX:CS_2023_Legal</v>
      </c>
      <c r="AF10" s="778"/>
      <c r="AG10" s="782" t="str" cm="1">
        <f t="array" ref="AG10">IFERROR(INDEX('Import 2023 Data'!$E$4:$I$113,_xlfn.XMATCH(Legal!$AE10,'Import 2023 Data'!$C$4:$C$113),_xlfn.XMATCH(Legal!AG$5,'Import 2023 Data'!$E$3:$I$3)),"-")</f>
        <v>Capstone Copper Corp.</v>
      </c>
      <c r="AH10" s="778" t="str" cm="1">
        <f t="array" ref="AH10">IFERROR(INDEX('Import 2023 Data'!$E$4:$I$113,_xlfn.XMATCH(Legal!$AE10,'Import 2023 Data'!$C$4:$C$113),_xlfn.XMATCH(Legal!AH$5,'Import 2023 Data'!$E$3:$I$3)),"-")</f>
        <v>Wendy King</v>
      </c>
      <c r="AI10" s="783" t="str">
        <f>IF(ISNUMBER(_xlfn.XMATCH(C10,'Import 2023 Data'!$E$4:$E$113)),"N","Y")</f>
        <v>N</v>
      </c>
      <c r="AJ10" s="783" t="str">
        <f t="shared" si="17"/>
        <v>N</v>
      </c>
      <c r="AK10" s="778" t="str" cm="1">
        <f t="array" ref="AK10">IFERROR(INDEX('Import 2023 Data'!$E$4:$I$113,_xlfn.XMATCH(Legal!$AE10,'Import 2023 Data'!$C$4:$C$113),_xlfn.XMATCH(Legal!AK$5,'Import 2023 Data'!$E$3:$I$3)),"-")</f>
        <v xml:space="preserve">SVP, Risk, ESG, General Counsel and Corporate Secretary </v>
      </c>
      <c r="AL10" s="893" cm="1">
        <f t="array" ref="AL10">IFERROR(INDEX('Import 2023 Data'!$E$4:$I$113,_xlfn.XMATCH(Legal!$AE10,'Import 2023 Data'!$C$4:$C$113),_xlfn.XMATCH(Legal!AL$5,'Import 2023 Data'!$E$3:$I$3)),"-")</f>
        <v>1365.885</v>
      </c>
      <c r="AM10" s="894" cm="1">
        <f t="array" ref="AM10">IFERROR(INDEX('Import 2023 Data'!$E$4:$I$113,_xlfn.XMATCH(Legal!$AE10,'Import 2023 Data'!$C$4:$C$113),_xlfn.XMATCH(Legal!AM$5,'Import 2023 Data'!$E$3:$I$3)),"-")</f>
        <v>1411.15</v>
      </c>
      <c r="AN10" s="733">
        <f t="shared" si="18"/>
        <v>4.0000000000000036E-2</v>
      </c>
    </row>
    <row r="11" spans="1:42" ht="20.25" customHeight="1">
      <c r="A11" s="12" t="str">
        <f t="shared" si="0"/>
        <v>TSX:IMG_2024_Legal</v>
      </c>
      <c r="B11" s="12" t="str">
        <f>'Raw Data'!D10</f>
        <v>TSX:IMG</v>
      </c>
      <c r="C11" s="766" t="str">
        <f t="shared" si="1"/>
        <v>IAMGOLD Corporation</v>
      </c>
      <c r="D11" s="767">
        <f>_xll.ciqfunctions.udf.CIQ(B11, "IQ_MARKETCAP", $A$1,$A$2)</f>
        <v>5554.9869099999996</v>
      </c>
      <c r="E11" s="767">
        <f>_xll.ciqfunctions.udf.CIQ($B11, "IQ_TEV", $A$1,$A$2)</f>
        <v>6834.0846799999999</v>
      </c>
      <c r="F11" s="768" t="str">
        <f t="shared" si="2"/>
        <v>Tim Bradburn</v>
      </c>
      <c r="G11" s="768" t="str">
        <f t="shared" si="2"/>
        <v>SVP, General Counsel &amp; Corporate Secretary</v>
      </c>
      <c r="H11" s="767" t="str">
        <f t="shared" si="3"/>
        <v>-</v>
      </c>
      <c r="I11" s="767">
        <f t="shared" si="3"/>
        <v>449.904</v>
      </c>
      <c r="J11" s="769" t="str">
        <f t="shared" si="3"/>
        <v>-</v>
      </c>
      <c r="K11" s="770" t="str">
        <f t="shared" si="4"/>
        <v>-</v>
      </c>
      <c r="L11" s="770">
        <f t="shared" si="4"/>
        <v>0.70174061355311357</v>
      </c>
      <c r="M11" s="771">
        <f t="shared" si="5"/>
        <v>292.43760000000003</v>
      </c>
      <c r="N11" s="772">
        <f t="shared" si="6"/>
        <v>0.65</v>
      </c>
      <c r="O11" s="769">
        <f t="shared" si="7"/>
        <v>449.904</v>
      </c>
      <c r="P11" s="773">
        <f t="shared" si="7"/>
        <v>742.34160000000008</v>
      </c>
      <c r="Q11" s="769" t="str">
        <f t="shared" si="7"/>
        <v>-</v>
      </c>
      <c r="R11" s="770" t="str">
        <f t="shared" si="8"/>
        <v>-</v>
      </c>
      <c r="S11" s="770">
        <f t="shared" si="8"/>
        <v>1.2639732600732603</v>
      </c>
      <c r="T11" s="771">
        <f t="shared" si="9"/>
        <v>584.87520000000006</v>
      </c>
      <c r="U11" s="772">
        <f t="shared" si="10"/>
        <v>1.3</v>
      </c>
      <c r="V11" s="769">
        <f t="shared" si="11"/>
        <v>449.904</v>
      </c>
      <c r="W11" s="774">
        <f t="shared" si="11"/>
        <v>1327.2168000000004</v>
      </c>
      <c r="X11" s="769">
        <f t="shared" si="12"/>
        <v>19.481999999999999</v>
      </c>
      <c r="Y11" s="774">
        <f t="shared" si="12"/>
        <v>36.734999999999999</v>
      </c>
      <c r="Z11" s="769">
        <f t="shared" si="13"/>
        <v>506.12099999999998</v>
      </c>
      <c r="AA11" s="774">
        <f t="shared" si="13"/>
        <v>1383.4338000000002</v>
      </c>
      <c r="AB11" s="775"/>
      <c r="AC11" s="776">
        <f t="shared" si="14"/>
        <v>0.55932203389830504</v>
      </c>
      <c r="AD11" s="777">
        <f t="shared" si="15"/>
        <v>0.44067796610169485</v>
      </c>
      <c r="AE11" s="778" t="str">
        <f t="shared" si="16"/>
        <v>TSX:IMG_2023_Legal</v>
      </c>
      <c r="AF11" s="778"/>
      <c r="AG11" s="782" t="str" cm="1">
        <f t="array" ref="AG11">IFERROR(INDEX('Import 2023 Data'!$E$4:$I$113,_xlfn.XMATCH(Legal!$AE11,'Import 2023 Data'!$C$4:$C$113),_xlfn.XMATCH(Legal!AG$5,'Import 2023 Data'!$E$3:$I$3)),"-")</f>
        <v>IAMGOLD Corporation</v>
      </c>
      <c r="AH11" s="778" t="str" cm="1">
        <f t="array" ref="AH11">IFERROR(INDEX('Import 2023 Data'!$E$4:$I$113,_xlfn.XMATCH(Legal!$AE11,'Import 2023 Data'!$C$4:$C$113),_xlfn.XMATCH(Legal!AH$5,'Import 2023 Data'!$E$3:$I$3)),"-")</f>
        <v>Tim Bradburn</v>
      </c>
      <c r="AI11" s="783" t="str">
        <f>IF(ISNUMBER(_xlfn.XMATCH(C11,'Import 2023 Data'!$E$4:$E$113)),"N","Y")</f>
        <v>N</v>
      </c>
      <c r="AJ11" s="783" t="str">
        <f t="shared" si="17"/>
        <v>N</v>
      </c>
      <c r="AK11" s="778" t="str" cm="1">
        <f t="array" ref="AK11">IFERROR(INDEX('Import 2023 Data'!$E$4:$I$113,_xlfn.XMATCH(Legal!$AE11,'Import 2023 Data'!$C$4:$C$113),_xlfn.XMATCH(Legal!AK$5,'Import 2023 Data'!$E$3:$I$3)),"-")</f>
        <v xml:space="preserve">SVP, General Counsel and Corporate Secretary </v>
      </c>
      <c r="AL11" s="893" cm="1">
        <f t="array" ref="AL11">IFERROR(INDEX('Import 2023 Data'!$E$4:$I$113,_xlfn.XMATCH(Legal!$AE11,'Import 2023 Data'!$C$4:$C$113),_xlfn.XMATCH(Legal!AL$5,'Import 2023 Data'!$E$3:$I$3)),"-")</f>
        <v>1301.413</v>
      </c>
      <c r="AM11" s="894" cm="1">
        <f t="array" ref="AM11">IFERROR(INDEX('Import 2023 Data'!$E$4:$I$113,_xlfn.XMATCH(Legal!$AE11,'Import 2023 Data'!$C$4:$C$113),_xlfn.XMATCH(Legal!AM$5,'Import 2023 Data'!$E$3:$I$3)),"-")</f>
        <v>1288.56</v>
      </c>
      <c r="AN11" s="733">
        <f t="shared" si="18"/>
        <v>3.0000000000000249E-2</v>
      </c>
    </row>
    <row r="12" spans="1:42" ht="20.25" customHeight="1">
      <c r="A12" s="12" t="str">
        <f t="shared" si="0"/>
        <v>TSX:BTO_2024_Legal</v>
      </c>
      <c r="B12" s="12" t="str">
        <f>'Raw Data'!D11</f>
        <v>TSX:BTO</v>
      </c>
      <c r="C12" s="766" t="str">
        <f t="shared" si="1"/>
        <v>B2Gold Corp.</v>
      </c>
      <c r="D12" s="767">
        <f>_xll.ciqfunctions.udf.CIQ(B12, "IQ_MARKETCAP", $A$1,$A$2)</f>
        <v>6289.7347200000004</v>
      </c>
      <c r="E12" s="767">
        <f>_xll.ciqfunctions.udf.CIQ($B12, "IQ_TEV", $A$1,$A$2)</f>
        <v>6472.2609199999997</v>
      </c>
      <c r="F12" s="768" t="str">
        <f t="shared" si="2"/>
        <v>Randall Chatwin</v>
      </c>
      <c r="G12" s="768" t="str">
        <f t="shared" si="2"/>
        <v>SVP, Legal and Corporate Communications</v>
      </c>
      <c r="H12" s="767" t="str">
        <f t="shared" si="3"/>
        <v>-</v>
      </c>
      <c r="I12" s="767">
        <f t="shared" si="3"/>
        <v>625</v>
      </c>
      <c r="J12" s="769">
        <f t="shared" si="3"/>
        <v>309.375</v>
      </c>
      <c r="K12" s="770">
        <f t="shared" si="4"/>
        <v>0.495</v>
      </c>
      <c r="L12" s="770">
        <f t="shared" si="4"/>
        <v>0.69175276752767534</v>
      </c>
      <c r="M12" s="771">
        <f t="shared" si="5"/>
        <v>468.75</v>
      </c>
      <c r="N12" s="772">
        <f t="shared" si="6"/>
        <v>0.75</v>
      </c>
      <c r="O12" s="769">
        <f t="shared" si="7"/>
        <v>934.375</v>
      </c>
      <c r="P12" s="773">
        <f t="shared" si="7"/>
        <v>1093.75</v>
      </c>
      <c r="Q12" s="769">
        <f t="shared" si="7"/>
        <v>1700</v>
      </c>
      <c r="R12" s="770">
        <f t="shared" si="8"/>
        <v>2.72</v>
      </c>
      <c r="S12" s="770">
        <f t="shared" si="8"/>
        <v>2.7150922509225097</v>
      </c>
      <c r="T12" s="771">
        <f t="shared" si="9"/>
        <v>1696.9326568265685</v>
      </c>
      <c r="U12" s="772">
        <f t="shared" si="10"/>
        <v>2.7150922509225097</v>
      </c>
      <c r="V12" s="769">
        <f t="shared" si="11"/>
        <v>2634.375</v>
      </c>
      <c r="W12" s="774">
        <f t="shared" si="11"/>
        <v>2790.6826568265687</v>
      </c>
      <c r="X12" s="769" t="str">
        <f t="shared" si="12"/>
        <v>-</v>
      </c>
      <c r="Y12" s="774">
        <f t="shared" si="12"/>
        <v>6.952</v>
      </c>
      <c r="Z12" s="769">
        <f t="shared" si="13"/>
        <v>2641.3270000000002</v>
      </c>
      <c r="AA12" s="774">
        <f t="shared" si="13"/>
        <v>2797.634656826569</v>
      </c>
      <c r="AB12" s="775"/>
      <c r="AC12" s="776">
        <f t="shared" si="14"/>
        <v>0.39192919242339092</v>
      </c>
      <c r="AD12" s="777">
        <f t="shared" si="15"/>
        <v>0.60807080757660903</v>
      </c>
      <c r="AE12" s="778" t="str">
        <f t="shared" si="16"/>
        <v>TSX:BTO_2023_Legal</v>
      </c>
      <c r="AF12" s="778"/>
      <c r="AG12" s="782" t="str" cm="1">
        <f t="array" ref="AG12">IFERROR(INDEX('Import 2023 Data'!$E$4:$I$113,_xlfn.XMATCH(Legal!$AE12,'Import 2023 Data'!$C$4:$C$113),_xlfn.XMATCH(Legal!AG$5,'Import 2023 Data'!$E$3:$I$3)),"-")</f>
        <v>B2Gold Corp.</v>
      </c>
      <c r="AH12" s="778" t="str" cm="1">
        <f t="array" ref="AH12">IFERROR(INDEX('Import 2023 Data'!$E$4:$I$113,_xlfn.XMATCH(Legal!$AE12,'Import 2023 Data'!$C$4:$C$113),_xlfn.XMATCH(Legal!AH$5,'Import 2023 Data'!$E$3:$I$3)),"-")</f>
        <v xml:space="preserve">Randall Chatwin </v>
      </c>
      <c r="AI12" s="783" t="str">
        <f>IF(ISNUMBER(_xlfn.XMATCH(C12,'Import 2023 Data'!$E$4:$E$113)),"N","Y")</f>
        <v>N</v>
      </c>
      <c r="AJ12" s="783" t="str">
        <f t="shared" si="17"/>
        <v>N</v>
      </c>
      <c r="AK12" s="778" t="str" cm="1">
        <f t="array" ref="AK12">IFERROR(INDEX('Import 2023 Data'!$E$4:$I$113,_xlfn.XMATCH(Legal!$AE12,'Import 2023 Data'!$C$4:$C$113),_xlfn.XMATCH(Legal!AK$5,'Import 2023 Data'!$E$3:$I$3)),"-")</f>
        <v>SVP Legal and Coporate Communications</v>
      </c>
      <c r="AL12" s="893" cm="1">
        <f t="array" ref="AL12">IFERROR(INDEX('Import 2023 Data'!$E$4:$I$113,_xlfn.XMATCH(Legal!$AE12,'Import 2023 Data'!$C$4:$C$113),_xlfn.XMATCH(Legal!AL$5,'Import 2023 Data'!$E$3:$I$3)),"-")</f>
        <v>2295</v>
      </c>
      <c r="AM12" s="894" cm="1">
        <f t="array" ref="AM12">IFERROR(INDEX('Import 2023 Data'!$E$4:$I$113,_xlfn.XMATCH(Legal!$AE12,'Import 2023 Data'!$C$4:$C$113),_xlfn.XMATCH(Legal!AM$5,'Import 2023 Data'!$E$3:$I$3)),"-")</f>
        <v>2677.5830258302585</v>
      </c>
      <c r="AN12" s="733">
        <f t="shared" si="18"/>
        <v>4.2239448751076658E-2</v>
      </c>
    </row>
    <row r="13" spans="1:42" ht="20.25" customHeight="1">
      <c r="A13" s="12" t="str">
        <f t="shared" si="0"/>
        <v>NYSE:HL_2024_Legal</v>
      </c>
      <c r="B13" s="12" t="str">
        <f>'Raw Data'!D12</f>
        <v>NYSE:HL</v>
      </c>
      <c r="C13" s="766" t="str">
        <f t="shared" si="1"/>
        <v>Hecla Mining Company</v>
      </c>
      <c r="D13" s="767">
        <f>_xll.ciqfunctions.udf.CIQ(B13, "IQ_MARKETCAP", $A$1,$A$2)</f>
        <v>5232.0834199999999</v>
      </c>
      <c r="E13" s="767">
        <f>_xll.ciqfunctions.udf.CIQ($B13, "IQ_TEV", $A$1,$A$2)</f>
        <v>5991.3399399999998</v>
      </c>
      <c r="F13" s="768" t="str">
        <f t="shared" si="2"/>
        <v>David C. Sienko</v>
      </c>
      <c r="G13" s="768" t="str">
        <f t="shared" si="2"/>
        <v>SVP &amp; General Counsel and Corporate Secretary</v>
      </c>
      <c r="H13" s="767" t="str">
        <f t="shared" si="3"/>
        <v>-</v>
      </c>
      <c r="I13" s="767">
        <f t="shared" si="3"/>
        <v>447.87431875000004</v>
      </c>
      <c r="J13" s="769">
        <f t="shared" si="3"/>
        <v>739.78766708000001</v>
      </c>
      <c r="K13" s="770">
        <f t="shared" si="4"/>
        <v>1.6517751434034416</v>
      </c>
      <c r="L13" s="770">
        <f t="shared" si="4"/>
        <v>1.6517751434034416</v>
      </c>
      <c r="M13" s="771">
        <f t="shared" si="5"/>
        <v>447.87431875000004</v>
      </c>
      <c r="N13" s="772">
        <f t="shared" si="6"/>
        <v>1</v>
      </c>
      <c r="O13" s="769">
        <f t="shared" si="7"/>
        <v>1187.66198583</v>
      </c>
      <c r="P13" s="773">
        <f t="shared" si="7"/>
        <v>895.74863750000009</v>
      </c>
      <c r="Q13" s="769">
        <f t="shared" si="7"/>
        <v>757.70675033999999</v>
      </c>
      <c r="R13" s="770">
        <f t="shared" si="8"/>
        <v>1.6917843212237094</v>
      </c>
      <c r="S13" s="770">
        <f t="shared" si="8"/>
        <v>1.6917843212237094</v>
      </c>
      <c r="T13" s="771">
        <f t="shared" si="9"/>
        <v>891.01025702626816</v>
      </c>
      <c r="U13" s="772">
        <f t="shared" si="10"/>
        <v>1.9894202898550724</v>
      </c>
      <c r="V13" s="769">
        <f t="shared" si="11"/>
        <v>1945.3687361700001</v>
      </c>
      <c r="W13" s="774">
        <f t="shared" si="11"/>
        <v>1786.7588945262683</v>
      </c>
      <c r="X13" s="769">
        <f t="shared" si="12"/>
        <v>188.97247623000004</v>
      </c>
      <c r="Y13" s="774">
        <f t="shared" si="12"/>
        <v>30.608227630000002</v>
      </c>
      <c r="Z13" s="769">
        <f t="shared" si="13"/>
        <v>2164.94944003</v>
      </c>
      <c r="AA13" s="774">
        <f t="shared" si="13"/>
        <v>2006.3395983862686</v>
      </c>
      <c r="AB13" s="775"/>
      <c r="AC13" s="776">
        <f t="shared" si="14"/>
        <v>0.50132597086496899</v>
      </c>
      <c r="AD13" s="777">
        <f t="shared" si="15"/>
        <v>0.49867402913503106</v>
      </c>
      <c r="AE13" s="778" t="str">
        <f t="shared" si="16"/>
        <v>NYSE:HL_2023_Legal</v>
      </c>
      <c r="AF13" s="778"/>
      <c r="AG13" s="782" t="str" cm="1">
        <f t="array" ref="AG13">IFERROR(INDEX('Import 2023 Data'!$E$4:$I$113,_xlfn.XMATCH(Legal!$AE13,'Import 2023 Data'!$C$4:$C$113),_xlfn.XMATCH(Legal!AG$5,'Import 2023 Data'!$E$3:$I$3)),"-")</f>
        <v>Hecla Mining Company</v>
      </c>
      <c r="AH13" s="778" t="str" cm="1">
        <f t="array" ref="AH13">IFERROR(INDEX('Import 2023 Data'!$E$4:$I$113,_xlfn.XMATCH(Legal!$AE13,'Import 2023 Data'!$C$4:$C$113),_xlfn.XMATCH(Legal!AH$5,'Import 2023 Data'!$E$3:$I$3)),"-")</f>
        <v xml:space="preserve">David C. Sienko </v>
      </c>
      <c r="AI13" s="783" t="str">
        <f>IF(ISNUMBER(_xlfn.XMATCH(C13,'Import 2023 Data'!$E$4:$E$113)),"N","Y")</f>
        <v>N</v>
      </c>
      <c r="AJ13" s="783" t="str">
        <f t="shared" si="17"/>
        <v>N</v>
      </c>
      <c r="AK13" s="778" t="str" cm="1">
        <f t="array" ref="AK13">IFERROR(INDEX('Import 2023 Data'!$E$4:$I$113,_xlfn.XMATCH(Legal!$AE13,'Import 2023 Data'!$C$4:$C$113),_xlfn.XMATCH(Legal!AK$5,'Import 2023 Data'!$E$3:$I$3)),"-")</f>
        <v xml:space="preserve">VP and General Counsel </v>
      </c>
      <c r="AL13" s="893" cm="1">
        <f t="array" ref="AL13">IFERROR(INDEX('Import 2023 Data'!$E$4:$I$113,_xlfn.XMATCH(Legal!$AE13,'Import 2023 Data'!$C$4:$C$113),_xlfn.XMATCH(Legal!AL$5,'Import 2023 Data'!$E$3:$I$3)),"-")</f>
        <v>1230.68871128</v>
      </c>
      <c r="AM13" s="894" cm="1">
        <f t="array" ref="AM13">IFERROR(INDEX('Import 2023 Data'!$E$4:$I$113,_xlfn.XMATCH(Legal!$AE13,'Import 2023 Data'!$C$4:$C$113),_xlfn.XMATCH(Legal!AM$5,'Import 2023 Data'!$E$3:$I$3)),"-")</f>
        <v>1488.8336145624999</v>
      </c>
      <c r="AN13" s="733">
        <f t="shared" si="18"/>
        <v>0.20010649749556797</v>
      </c>
      <c r="AP13" s="12" t="s">
        <v>765</v>
      </c>
    </row>
    <row r="14" spans="1:42" ht="20.25" customHeight="1">
      <c r="A14" s="12" t="str">
        <f t="shared" si="0"/>
        <v>TSX:ELD_2024_Legal</v>
      </c>
      <c r="B14" s="12" t="str">
        <f>'Raw Data'!D14</f>
        <v>TSX:ELD</v>
      </c>
      <c r="C14" s="846" t="str">
        <f t="shared" si="1"/>
        <v>Eldorado Gold Corporation</v>
      </c>
      <c r="D14" s="847">
        <f>_xll.ciqfunctions.udf.CIQ(B14, "IQ_MARKETCAP", $A$1,$A$2)</f>
        <v>5759.9111199999998</v>
      </c>
      <c r="E14" s="847">
        <f>_xll.ciqfunctions.udf.CIQ($B14, "IQ_TEV", $A$1,$A$2)</f>
        <v>5657.0414199999996</v>
      </c>
      <c r="F14" s="848" t="str">
        <f t="shared" si="2"/>
        <v>Frank Herbert</v>
      </c>
      <c r="G14" s="848" t="str">
        <f t="shared" si="2"/>
        <v>EVP, General Counsel &amp; Chief Compliance Officer</v>
      </c>
      <c r="H14" s="847" t="str">
        <f t="shared" si="3"/>
        <v>-</v>
      </c>
      <c r="I14" s="847">
        <f t="shared" si="3"/>
        <v>473.3</v>
      </c>
      <c r="J14" s="849">
        <f t="shared" si="3"/>
        <v>435.41199999999998</v>
      </c>
      <c r="K14" s="850">
        <f t="shared" si="4"/>
        <v>0.91994929220367627</v>
      </c>
      <c r="L14" s="850">
        <f t="shared" si="4"/>
        <v>0.94397464610183812</v>
      </c>
      <c r="M14" s="851">
        <f t="shared" si="5"/>
        <v>378.64</v>
      </c>
      <c r="N14" s="852">
        <f t="shared" si="6"/>
        <v>0.8</v>
      </c>
      <c r="O14" s="849">
        <f t="shared" si="7"/>
        <v>908.71199999999999</v>
      </c>
      <c r="P14" s="853">
        <f t="shared" si="7"/>
        <v>851.94</v>
      </c>
      <c r="Q14" s="849">
        <f t="shared" si="7"/>
        <v>709.93299999999999</v>
      </c>
      <c r="R14" s="850">
        <f t="shared" si="8"/>
        <v>1.4999640819776041</v>
      </c>
      <c r="S14" s="850">
        <f t="shared" si="8"/>
        <v>1.499950929877691</v>
      </c>
      <c r="T14" s="851">
        <f t="shared" si="9"/>
        <v>709.95</v>
      </c>
      <c r="U14" s="852">
        <f t="shared" si="10"/>
        <v>1.5</v>
      </c>
      <c r="V14" s="849">
        <f t="shared" si="11"/>
        <v>1618.645</v>
      </c>
      <c r="W14" s="854">
        <f t="shared" si="11"/>
        <v>1561.89</v>
      </c>
      <c r="X14" s="769">
        <f t="shared" si="12"/>
        <v>85.188999999999993</v>
      </c>
      <c r="Y14" s="774" t="str">
        <f t="shared" si="12"/>
        <v>-</v>
      </c>
      <c r="Z14" s="769">
        <f t="shared" si="13"/>
        <v>1703.8340000000001</v>
      </c>
      <c r="AA14" s="774">
        <f t="shared" si="13"/>
        <v>1647.079</v>
      </c>
      <c r="AB14" s="775"/>
      <c r="AC14" s="776">
        <f t="shared" si="14"/>
        <v>0.54545454545454541</v>
      </c>
      <c r="AD14" s="777">
        <f t="shared" si="15"/>
        <v>0.45454545454545453</v>
      </c>
      <c r="AE14" s="778" t="str">
        <f t="shared" si="16"/>
        <v>TSX:ELD_2023_Legal</v>
      </c>
      <c r="AF14" s="778"/>
      <c r="AG14" s="855" t="str" cm="1">
        <f t="array" ref="AG14">IFERROR(INDEX('Import 2023 Data'!$E$4:$I$113,_xlfn.XMATCH(Legal!$AE14,'Import 2023 Data'!$C$4:$C$113),_xlfn.XMATCH(Legal!AG$5,'Import 2023 Data'!$E$3:$I$3)),"-")</f>
        <v>Eldorado Gold Corporation</v>
      </c>
      <c r="AH14" s="856" t="str" cm="1">
        <f t="array" ref="AH14">IFERROR(INDEX('Import 2023 Data'!$E$4:$I$113,_xlfn.XMATCH(Legal!$AE14,'Import 2023 Data'!$C$4:$C$113),_xlfn.XMATCH(Legal!AH$5,'Import 2023 Data'!$E$3:$I$3)),"-")</f>
        <v xml:space="preserve">Frank Herbert </v>
      </c>
      <c r="AI14" s="857" t="str">
        <f>IF(ISNUMBER(_xlfn.XMATCH(C14,'Import 2023 Data'!$E$4:$E$113)),"N","Y")</f>
        <v>N</v>
      </c>
      <c r="AJ14" s="857" t="str">
        <f t="shared" si="17"/>
        <v>N</v>
      </c>
      <c r="AK14" s="856" t="str" cm="1">
        <f t="array" ref="AK14">IFERROR(INDEX('Import 2023 Data'!$E$4:$I$113,_xlfn.XMATCH(Legal!$AE14,'Import 2023 Data'!$C$4:$C$113),_xlfn.XMATCH(Legal!AK$5,'Import 2023 Data'!$E$3:$I$3)),"-")</f>
        <v>EVP, General Counsel and Chief Compliance Officer</v>
      </c>
      <c r="AL14" s="893" cm="1">
        <f t="array" ref="AL14">IFERROR(INDEX('Import 2023 Data'!$E$4:$I$113,_xlfn.XMATCH(Legal!$AE14,'Import 2023 Data'!$C$4:$C$113),_xlfn.XMATCH(Legal!AL$5,'Import 2023 Data'!$E$3:$I$3)),"-")</f>
        <v>1560.5719999999999</v>
      </c>
      <c r="AM14" s="894" cm="1">
        <f t="array" ref="AM14">IFERROR(INDEX('Import 2023 Data'!$E$4:$I$113,_xlfn.XMATCH(Legal!$AE14,'Import 2023 Data'!$C$4:$C$113),_xlfn.XMATCH(Legal!AM$5,'Import 2023 Data'!$E$3:$I$3)),"-")</f>
        <v>1485</v>
      </c>
      <c r="AN14" s="733">
        <f t="shared" si="18"/>
        <v>5.1777777777777922E-2</v>
      </c>
    </row>
    <row r="15" spans="1:42" ht="20.25" customHeight="1">
      <c r="A15" s="12" t="str">
        <f t="shared" si="0"/>
        <v>TSX:CG_2024_Legal</v>
      </c>
      <c r="B15" s="12" t="str">
        <f>'Raw Data'!D18</f>
        <v>TSX:CG</v>
      </c>
      <c r="C15" s="766" t="str">
        <f t="shared" si="1"/>
        <v>Centerra Gold Inc.</v>
      </c>
      <c r="D15" s="767">
        <f>_xll.ciqfunctions.udf.CIQ(B15, "IQ_MARKETCAP", $A$1,$A$2)</f>
        <v>2054.8528000000001</v>
      </c>
      <c r="E15" s="767">
        <f>_xll.ciqfunctions.udf.CIQ($B15, "IQ_TEV", $A$1,$A$2)</f>
        <v>1190.4233200000001</v>
      </c>
      <c r="F15" s="768" t="str">
        <f t="shared" si="2"/>
        <v>Yousef Rehman</v>
      </c>
      <c r="G15" s="768" t="str">
        <f t="shared" si="2"/>
        <v>EVP, Legal &amp; Public Affairs</v>
      </c>
      <c r="H15" s="767" t="str">
        <f t="shared" si="3"/>
        <v>-</v>
      </c>
      <c r="I15" s="767">
        <f t="shared" si="3"/>
        <v>445</v>
      </c>
      <c r="J15" s="769">
        <f t="shared" si="3"/>
        <v>279.12599999999998</v>
      </c>
      <c r="K15" s="770">
        <f t="shared" si="4"/>
        <v>0.62724943820224721</v>
      </c>
      <c r="L15" s="770">
        <f t="shared" si="4"/>
        <v>0.69366217228464411</v>
      </c>
      <c r="M15" s="771">
        <f t="shared" si="5"/>
        <v>289.25</v>
      </c>
      <c r="N15" s="772">
        <f t="shared" si="6"/>
        <v>0.65</v>
      </c>
      <c r="O15" s="769">
        <f t="shared" si="7"/>
        <v>724.12599999999998</v>
      </c>
      <c r="P15" s="773">
        <f t="shared" si="7"/>
        <v>734.25</v>
      </c>
      <c r="Q15" s="769">
        <f t="shared" si="7"/>
        <v>712.00000000000023</v>
      </c>
      <c r="R15" s="770">
        <f t="shared" si="8"/>
        <v>1.6000000000000005</v>
      </c>
      <c r="S15" s="770">
        <f t="shared" si="8"/>
        <v>1.6000000000000005</v>
      </c>
      <c r="T15" s="771">
        <f t="shared" si="9"/>
        <v>712</v>
      </c>
      <c r="U15" s="772">
        <f t="shared" si="10"/>
        <v>1.6</v>
      </c>
      <c r="V15" s="769">
        <f t="shared" si="11"/>
        <v>1436.1260000000002</v>
      </c>
      <c r="W15" s="774">
        <f t="shared" si="11"/>
        <v>1446.25</v>
      </c>
      <c r="X15" s="769">
        <f t="shared" si="12"/>
        <v>86.894999999999996</v>
      </c>
      <c r="Y15" s="774">
        <f t="shared" si="12"/>
        <v>72.695999999999998</v>
      </c>
      <c r="Z15" s="769">
        <f t="shared" si="13"/>
        <v>1595.7170000000003</v>
      </c>
      <c r="AA15" s="774">
        <f t="shared" si="13"/>
        <v>1605.8409999999999</v>
      </c>
      <c r="AB15" s="775"/>
      <c r="AC15" s="776">
        <f t="shared" si="14"/>
        <v>0.50769230769230766</v>
      </c>
      <c r="AD15" s="777">
        <f t="shared" si="15"/>
        <v>0.49230769230769234</v>
      </c>
      <c r="AE15" s="778" t="str">
        <f t="shared" si="16"/>
        <v>TSX:CG_2023_Legal</v>
      </c>
      <c r="AF15" s="778"/>
      <c r="AG15" s="784" t="str" cm="1">
        <f t="array" ref="AG15">IFERROR(INDEX('Import 2023 Data'!$E$4:$I$113,_xlfn.XMATCH(Legal!$AE15,'Import 2023 Data'!$C$4:$C$113),_xlfn.XMATCH(Legal!AG$5,'Import 2023 Data'!$E$3:$I$3)),"-")</f>
        <v>Centerra Gold Inc.</v>
      </c>
      <c r="AH15" s="785" t="str" cm="1">
        <f t="array" ref="AH15">IFERROR(INDEX('Import 2023 Data'!$E$4:$I$113,_xlfn.XMATCH(Legal!$AE15,'Import 2023 Data'!$C$4:$C$113),_xlfn.XMATCH(Legal!AH$5,'Import 2023 Data'!$E$3:$I$3)),"-")</f>
        <v xml:space="preserve">Yousef Rehman </v>
      </c>
      <c r="AI15" s="786" t="str">
        <f>IF(ISNUMBER(_xlfn.XMATCH(C15,'Import 2023 Data'!$E$4:$E$113)),"N","Y")</f>
        <v>N</v>
      </c>
      <c r="AJ15" s="786" t="str">
        <f t="shared" si="17"/>
        <v>N</v>
      </c>
      <c r="AK15" s="785" t="str" cm="1">
        <f t="array" ref="AK15">IFERROR(INDEX('Import 2023 Data'!$E$4:$I$113,_xlfn.XMATCH(Legal!$AE15,'Import 2023 Data'!$C$4:$C$113),_xlfn.XMATCH(Legal!AK$5,'Import 2023 Data'!$E$3:$I$3)),"-")</f>
        <v xml:space="preserve">EVP and General Counsel </v>
      </c>
      <c r="AL15" s="891" cm="1">
        <f t="array" ref="AL15">IFERROR(INDEX('Import 2023 Data'!$E$4:$I$113,_xlfn.XMATCH(Legal!$AE15,'Import 2023 Data'!$C$4:$C$113),_xlfn.XMATCH(Legal!AL$5,'Import 2023 Data'!$E$3:$I$3)),"-")</f>
        <v>1448.8530000000001</v>
      </c>
      <c r="AM15" s="892" cm="1">
        <f t="array" ref="AM15">IFERROR(INDEX('Import 2023 Data'!$E$4:$I$113,_xlfn.XMATCH(Legal!$AE15,'Import 2023 Data'!$C$4:$C$113),_xlfn.XMATCH(Legal!AM$5,'Import 2023 Data'!$E$3:$I$3)),"-")</f>
        <v>1446.25</v>
      </c>
      <c r="AN15" s="733">
        <f t="shared" si="18"/>
        <v>0</v>
      </c>
    </row>
    <row r="16" spans="1:42" ht="20.25" customHeight="1">
      <c r="C16" s="788" t="str">
        <f>$C$3&amp;" Summary Statistics"</f>
        <v>2024 Summary Statistics</v>
      </c>
      <c r="D16" s="789"/>
      <c r="E16" s="789"/>
      <c r="F16" s="789"/>
      <c r="G16" s="789"/>
      <c r="H16" s="789"/>
      <c r="I16" s="789"/>
      <c r="J16" s="789"/>
      <c r="K16" s="790"/>
      <c r="L16" s="790"/>
      <c r="M16" s="789"/>
      <c r="N16" s="790"/>
      <c r="O16" s="789"/>
      <c r="P16" s="789"/>
      <c r="Q16" s="789"/>
      <c r="R16" s="790"/>
      <c r="S16" s="790"/>
      <c r="T16" s="789"/>
      <c r="U16" s="790"/>
      <c r="V16" s="789"/>
      <c r="W16" s="791"/>
      <c r="X16" s="789"/>
      <c r="Y16" s="791"/>
      <c r="Z16" s="789"/>
      <c r="AA16" s="791"/>
      <c r="AB16" s="775"/>
      <c r="AC16" s="792"/>
      <c r="AD16" s="793"/>
      <c r="AE16" s="778"/>
      <c r="AF16" s="778"/>
      <c r="AG16" s="778"/>
      <c r="AH16" s="778"/>
      <c r="AI16" s="778"/>
      <c r="AJ16" s="778"/>
      <c r="AK16" s="778"/>
      <c r="AL16" s="794"/>
      <c r="AM16" s="795"/>
    </row>
    <row r="17" spans="1:43" s="17" customFormat="1" ht="20.25" customHeight="1">
      <c r="B17" s="17">
        <v>0.75</v>
      </c>
      <c r="C17" s="796" t="s">
        <v>9</v>
      </c>
      <c r="D17" s="797">
        <f t="shared" ref="D17:E19" si="19">PERCENTILE(D$8:D$15,$B17)</f>
        <v>7681.1929474999997</v>
      </c>
      <c r="E17" s="797">
        <f t="shared" si="19"/>
        <v>10025.290295000001</v>
      </c>
      <c r="F17" s="798"/>
      <c r="G17" s="798"/>
      <c r="H17" s="798"/>
      <c r="I17" s="797">
        <f t="shared" ref="I17:R19" si="20">PERCENTILE(I$8:I$15,$B17)</f>
        <v>617.5</v>
      </c>
      <c r="J17" s="799">
        <f t="shared" si="20"/>
        <v>653.78883354000004</v>
      </c>
      <c r="K17" s="800">
        <f t="shared" si="20"/>
        <v>1.285862217803559</v>
      </c>
      <c r="L17" s="800">
        <f t="shared" si="20"/>
        <v>1.0401893196517538</v>
      </c>
      <c r="M17" s="801">
        <f t="shared" si="20"/>
        <v>463.125</v>
      </c>
      <c r="N17" s="777">
        <f t="shared" si="20"/>
        <v>0.8</v>
      </c>
      <c r="O17" s="799">
        <f t="shared" si="20"/>
        <v>1191.2939893725002</v>
      </c>
      <c r="P17" s="802">
        <f t="shared" si="20"/>
        <v>1080.625</v>
      </c>
      <c r="Q17" s="799">
        <f t="shared" si="20"/>
        <v>1163.094240115</v>
      </c>
      <c r="R17" s="800">
        <f t="shared" si="20"/>
        <v>1.9458921606118547</v>
      </c>
      <c r="S17" s="800">
        <f t="shared" ref="S17:AA19" si="21">PERCENTILE(S$8:S$15,$B17)</f>
        <v>1.7565489258799463</v>
      </c>
      <c r="T17" s="801">
        <f t="shared" si="21"/>
        <v>1017.1776927697011</v>
      </c>
      <c r="U17" s="777">
        <f t="shared" si="21"/>
        <v>2.0420652173913041</v>
      </c>
      <c r="V17" s="799">
        <f t="shared" si="21"/>
        <v>2606.9962500000001</v>
      </c>
      <c r="W17" s="802">
        <f t="shared" si="21"/>
        <v>2099.7557683374544</v>
      </c>
      <c r="X17" s="799">
        <f t="shared" si="21"/>
        <v>188.97247623000004</v>
      </c>
      <c r="Y17" s="802">
        <f t="shared" si="21"/>
        <v>72.775500000000008</v>
      </c>
      <c r="Z17" s="799">
        <f t="shared" si="21"/>
        <v>2701.83275</v>
      </c>
      <c r="AA17" s="802">
        <f t="shared" si="21"/>
        <v>2375.4845895565968</v>
      </c>
      <c r="AB17" s="803"/>
      <c r="AC17" s="776">
        <f t="shared" ref="AC17:AD19" si="22">PERCENTILE(AC$8:AC$15,$B17)</f>
        <v>0.54680277358164109</v>
      </c>
      <c r="AD17" s="777">
        <f t="shared" si="22"/>
        <v>0.51150552185127329</v>
      </c>
      <c r="AE17" s="778"/>
      <c r="AF17" s="778"/>
      <c r="AG17" s="778"/>
      <c r="AH17" s="778"/>
      <c r="AI17" s="778"/>
      <c r="AJ17" s="778"/>
      <c r="AK17" s="778"/>
      <c r="AL17" s="804">
        <v>2022.682628564394</v>
      </c>
      <c r="AM17" s="805">
        <v>1980.7227840480905</v>
      </c>
      <c r="AN17" s="666">
        <f>PERCENTILE(AN$8:AN$15,$B17)</f>
        <v>5.7657716692979477E-2</v>
      </c>
      <c r="AQ17" s="733" t="str">
        <f>IFERROR(Z17/AP17-1,"-")</f>
        <v>-</v>
      </c>
    </row>
    <row r="18" spans="1:43" s="17" customFormat="1" ht="20.25" customHeight="1">
      <c r="B18" s="17">
        <v>0.5</v>
      </c>
      <c r="C18" s="806" t="s">
        <v>8</v>
      </c>
      <c r="D18" s="807">
        <f t="shared" si="19"/>
        <v>5856.530205</v>
      </c>
      <c r="E18" s="807">
        <f t="shared" si="19"/>
        <v>6653.1728000000003</v>
      </c>
      <c r="F18" s="808"/>
      <c r="G18" s="808"/>
      <c r="H18" s="808"/>
      <c r="I18" s="807">
        <f t="shared" si="20"/>
        <v>462.43399999999997</v>
      </c>
      <c r="J18" s="809">
        <f t="shared" si="20"/>
        <v>435.41199999999998</v>
      </c>
      <c r="K18" s="810">
        <f t="shared" si="20"/>
        <v>0.89500315258511975</v>
      </c>
      <c r="L18" s="810">
        <f t="shared" si="20"/>
        <v>0.76755892479281929</v>
      </c>
      <c r="M18" s="811">
        <f t="shared" si="20"/>
        <v>413.25715937500001</v>
      </c>
      <c r="N18" s="812">
        <f t="shared" si="20"/>
        <v>0.75</v>
      </c>
      <c r="O18" s="809">
        <f t="shared" si="20"/>
        <v>921.54349999999999</v>
      </c>
      <c r="P18" s="813">
        <f t="shared" si="20"/>
        <v>873.84431875000007</v>
      </c>
      <c r="Q18" s="809">
        <f t="shared" si="20"/>
        <v>757.70675033999999</v>
      </c>
      <c r="R18" s="810">
        <f t="shared" si="20"/>
        <v>1.6000000000000005</v>
      </c>
      <c r="S18" s="810">
        <f t="shared" si="21"/>
        <v>1.5728163672654691</v>
      </c>
      <c r="T18" s="811">
        <f t="shared" si="21"/>
        <v>794.77884555830292</v>
      </c>
      <c r="U18" s="812">
        <f t="shared" si="21"/>
        <v>1.55</v>
      </c>
      <c r="V18" s="809">
        <f t="shared" si="21"/>
        <v>1782.006868085</v>
      </c>
      <c r="W18" s="813">
        <f t="shared" si="21"/>
        <v>1674.3244472631341</v>
      </c>
      <c r="X18" s="809">
        <f t="shared" si="21"/>
        <v>86.894999999999996</v>
      </c>
      <c r="Y18" s="813">
        <f t="shared" si="21"/>
        <v>54.715499999999999</v>
      </c>
      <c r="Z18" s="809">
        <f t="shared" si="21"/>
        <v>1934.3917200149999</v>
      </c>
      <c r="AA18" s="813">
        <f t="shared" si="21"/>
        <v>1826.7092991931343</v>
      </c>
      <c r="AB18" s="803"/>
      <c r="AC18" s="814">
        <f t="shared" si="22"/>
        <v>0.52307692307692299</v>
      </c>
      <c r="AD18" s="812">
        <f t="shared" si="22"/>
        <v>0.47692307692307689</v>
      </c>
      <c r="AE18" s="778"/>
      <c r="AF18" s="778"/>
      <c r="AG18" s="778"/>
      <c r="AH18" s="778"/>
      <c r="AI18" s="778"/>
      <c r="AJ18" s="778"/>
      <c r="AK18" s="778"/>
      <c r="AL18" s="809">
        <v>1504.7125000000001</v>
      </c>
      <c r="AM18" s="813">
        <v>1476.6326545805</v>
      </c>
      <c r="AN18" s="667">
        <f>PERCENTILE(AN$8:AN$15,$B18)</f>
        <v>4.700861326442729E-2</v>
      </c>
      <c r="AO18" s="17">
        <f>W18/AM18</f>
        <v>1.1338801441708579</v>
      </c>
      <c r="AQ18" s="733" t="str">
        <f t="shared" ref="AQ18:AQ30" si="23">IFERROR(Z18/AP18-1,"-")</f>
        <v>-</v>
      </c>
    </row>
    <row r="19" spans="1:43" s="17" customFormat="1" ht="20.25" customHeight="1">
      <c r="B19" s="17">
        <v>0.25</v>
      </c>
      <c r="C19" s="796" t="s">
        <v>7</v>
      </c>
      <c r="D19" s="797">
        <f t="shared" si="19"/>
        <v>5474.2610374999995</v>
      </c>
      <c r="E19" s="797">
        <f t="shared" si="19"/>
        <v>5907.7653099999998</v>
      </c>
      <c r="F19" s="798"/>
      <c r="G19" s="798"/>
      <c r="H19" s="798"/>
      <c r="I19" s="797">
        <f t="shared" si="20"/>
        <v>449.39657968749998</v>
      </c>
      <c r="J19" s="799">
        <f t="shared" si="20"/>
        <v>307.93849999999998</v>
      </c>
      <c r="K19" s="800">
        <f t="shared" si="20"/>
        <v>0.65299996269677252</v>
      </c>
      <c r="L19" s="800">
        <f t="shared" si="20"/>
        <v>0.69318482109540192</v>
      </c>
      <c r="M19" s="801">
        <f t="shared" si="20"/>
        <v>327.1164</v>
      </c>
      <c r="N19" s="777">
        <f t="shared" si="20"/>
        <v>0.72499999999999998</v>
      </c>
      <c r="O19" s="799">
        <f t="shared" si="20"/>
        <v>749.58400000000006</v>
      </c>
      <c r="P19" s="802">
        <f t="shared" si="20"/>
        <v>778.26840000000004</v>
      </c>
      <c r="Q19" s="799">
        <f t="shared" si="20"/>
        <v>710.96650000000011</v>
      </c>
      <c r="R19" s="800">
        <f t="shared" si="20"/>
        <v>1.5065109595365853</v>
      </c>
      <c r="S19" s="800">
        <f t="shared" si="21"/>
        <v>1.481693966154856</v>
      </c>
      <c r="T19" s="801">
        <f t="shared" si="21"/>
        <v>701.80050000000006</v>
      </c>
      <c r="U19" s="777">
        <f t="shared" si="21"/>
        <v>1.4817307687465877</v>
      </c>
      <c r="V19" s="799">
        <f t="shared" si="21"/>
        <v>1435.9500000000003</v>
      </c>
      <c r="W19" s="802">
        <f t="shared" si="21"/>
        <v>1462.2595000000001</v>
      </c>
      <c r="X19" s="799">
        <f t="shared" si="21"/>
        <v>85.188999999999993</v>
      </c>
      <c r="Y19" s="802">
        <f t="shared" si="21"/>
        <v>32.139920722500001</v>
      </c>
      <c r="Z19" s="799">
        <f t="shared" si="21"/>
        <v>1573.8437500000002</v>
      </c>
      <c r="AA19" s="802">
        <f t="shared" si="21"/>
        <v>1589.4802499999998</v>
      </c>
      <c r="AB19" s="803"/>
      <c r="AC19" s="776">
        <f t="shared" si="22"/>
        <v>0.48849447814872676</v>
      </c>
      <c r="AD19" s="777">
        <f t="shared" si="22"/>
        <v>0.45319722641835886</v>
      </c>
      <c r="AE19" s="778"/>
      <c r="AF19" s="778"/>
      <c r="AG19" s="778"/>
      <c r="AH19" s="778"/>
      <c r="AI19" s="778"/>
      <c r="AJ19" s="778"/>
      <c r="AK19" s="778"/>
      <c r="AL19" s="799">
        <v>1291.6270742050001</v>
      </c>
      <c r="AM19" s="802">
        <v>1380.5025000000001</v>
      </c>
      <c r="AN19" s="668">
        <f>PERCENTILE(AN$8:AN$15,$B19)</f>
        <v>3.7500000000000089E-2</v>
      </c>
      <c r="AQ19" s="733" t="str">
        <f t="shared" si="23"/>
        <v>-</v>
      </c>
    </row>
    <row r="20" spans="1:43" s="17" customFormat="1" ht="20.25" customHeight="1">
      <c r="A20" s="12"/>
      <c r="B20" s="12"/>
      <c r="C20" s="815" t="s">
        <v>6</v>
      </c>
      <c r="D20" s="816">
        <f>AVERAGE(D8:D15)</f>
        <v>7182.8913512500003</v>
      </c>
      <c r="E20" s="816">
        <f>AVERAGE(E8:E15)</f>
        <v>8159.9399975000006</v>
      </c>
      <c r="F20" s="815"/>
      <c r="G20" s="815"/>
      <c r="H20" s="815"/>
      <c r="I20" s="816">
        <f t="shared" ref="I20:Z20" si="24">AVERAGE(I8:I15)</f>
        <v>517.75578984375011</v>
      </c>
      <c r="J20" s="817">
        <f t="shared" si="24"/>
        <v>536.06534730999999</v>
      </c>
      <c r="K20" s="818">
        <f t="shared" si="24"/>
        <v>1.0114093344820572</v>
      </c>
      <c r="L20" s="818">
        <f t="shared" si="24"/>
        <v>0.93817075636175284</v>
      </c>
      <c r="M20" s="819">
        <f t="shared" si="24"/>
        <v>398.04973984374999</v>
      </c>
      <c r="N20" s="820">
        <f t="shared" si="24"/>
        <v>0.76874999999999993</v>
      </c>
      <c r="O20" s="817">
        <f t="shared" si="24"/>
        <v>986.81296874000009</v>
      </c>
      <c r="P20" s="821">
        <f t="shared" si="24"/>
        <v>915.80552968749998</v>
      </c>
      <c r="Q20" s="817">
        <f t="shared" si="24"/>
        <v>983.31146151000007</v>
      </c>
      <c r="R20" s="818">
        <f t="shared" si="24"/>
        <v>1.8178243317534977</v>
      </c>
      <c r="S20" s="818">
        <f t="shared" si="24"/>
        <v>1.7117749139328895</v>
      </c>
      <c r="T20" s="819">
        <f t="shared" si="24"/>
        <v>943.16972562118019</v>
      </c>
      <c r="U20" s="820">
        <f t="shared" si="24"/>
        <v>1.7789294519704917</v>
      </c>
      <c r="V20" s="817">
        <f t="shared" si="24"/>
        <v>1847.2104975612501</v>
      </c>
      <c r="W20" s="821">
        <f t="shared" si="24"/>
        <v>1858.9752553086805</v>
      </c>
      <c r="X20" s="817">
        <f t="shared" si="24"/>
        <v>133.203695246</v>
      </c>
      <c r="Y20" s="821">
        <f t="shared" si="24"/>
        <v>83.458906163333339</v>
      </c>
      <c r="Z20" s="817">
        <f t="shared" si="24"/>
        <v>1993.0569867125002</v>
      </c>
      <c r="AA20" s="821">
        <f t="shared" ref="AA20" si="25">AVERAGE(AA8:AA15)</f>
        <v>2004.8217444599304</v>
      </c>
      <c r="AB20" s="803"/>
      <c r="AC20" s="822">
        <f>AVERAGE(AC8:AC15)</f>
        <v>0.50562913084474803</v>
      </c>
      <c r="AD20" s="820">
        <f>AVERAGE(AD8:AD15)</f>
        <v>0.49437086915525191</v>
      </c>
      <c r="AE20" s="778"/>
      <c r="AF20" s="778"/>
      <c r="AG20" s="778"/>
      <c r="AH20" s="778"/>
      <c r="AI20" s="778"/>
      <c r="AJ20" s="778"/>
      <c r="AK20" s="778"/>
      <c r="AL20" s="817">
        <v>1665.7663064643773</v>
      </c>
      <c r="AM20" s="821">
        <v>1683.0830305862385</v>
      </c>
      <c r="AN20" s="669">
        <f>PERCENTILE(AN$8:AN$15,$B20)</f>
        <v>0</v>
      </c>
      <c r="AQ20" s="733" t="str">
        <f t="shared" si="23"/>
        <v>-</v>
      </c>
    </row>
    <row r="21" spans="1:43" s="17" customFormat="1" ht="20.25" customHeight="1" outlineLevel="1">
      <c r="A21" s="12"/>
      <c r="B21" s="12"/>
      <c r="C21" s="788" t="str">
        <f>$C$3+1&amp;" Estimated Summary Statistics "</f>
        <v xml:space="preserve">2025 Estimated Summary Statistics </v>
      </c>
      <c r="D21" s="789"/>
      <c r="E21" s="789"/>
      <c r="F21" s="789"/>
      <c r="G21" s="789"/>
      <c r="H21" s="789"/>
      <c r="I21" s="789"/>
      <c r="J21" s="789"/>
      <c r="K21" s="790"/>
      <c r="L21" s="790"/>
      <c r="M21" s="789"/>
      <c r="N21" s="790"/>
      <c r="O21" s="789"/>
      <c r="P21" s="789"/>
      <c r="Q21" s="789"/>
      <c r="R21" s="790"/>
      <c r="S21" s="790"/>
      <c r="T21" s="789"/>
      <c r="U21" s="790"/>
      <c r="V21" s="789"/>
      <c r="W21" s="791"/>
      <c r="X21" s="788"/>
      <c r="Y21" s="788"/>
      <c r="Z21" s="789"/>
      <c r="AA21" s="791"/>
      <c r="AB21" s="803"/>
      <c r="AC21" s="824"/>
      <c r="AD21" s="824"/>
      <c r="AE21" s="778"/>
      <c r="AF21" s="778"/>
      <c r="AG21" s="778"/>
      <c r="AH21" s="778"/>
      <c r="AI21" s="778"/>
      <c r="AJ21" s="778"/>
      <c r="AK21" s="778"/>
      <c r="AL21" s="823"/>
      <c r="AM21" s="823"/>
      <c r="AQ21" s="733" t="str">
        <f t="shared" si="23"/>
        <v>-</v>
      </c>
    </row>
    <row r="22" spans="1:43" s="17" customFormat="1" ht="20.25" customHeight="1" outlineLevel="1">
      <c r="A22" s="12"/>
      <c r="B22" s="17">
        <v>0.75</v>
      </c>
      <c r="C22" s="796" t="s">
        <v>9</v>
      </c>
      <c r="D22" s="797">
        <f t="shared" ref="D22:E24" si="26">PERCENTILE(D$8:D$15,$B22)</f>
        <v>7681.1929474999997</v>
      </c>
      <c r="E22" s="797">
        <f t="shared" si="26"/>
        <v>10025.290295000001</v>
      </c>
      <c r="F22" s="798"/>
      <c r="G22" s="798"/>
      <c r="H22" s="798"/>
      <c r="I22" s="797">
        <f>I56</f>
        <v>633.4375</v>
      </c>
      <c r="J22" s="799">
        <f>J56</f>
        <v>0</v>
      </c>
      <c r="K22" s="800">
        <f>K56</f>
        <v>0</v>
      </c>
      <c r="L22" s="800">
        <f>L56</f>
        <v>0</v>
      </c>
      <c r="M22" s="801">
        <f>M56</f>
        <v>475.078125</v>
      </c>
      <c r="N22" s="777">
        <f>PERCENTILE(N$8:N$15,$B22)</f>
        <v>0.8</v>
      </c>
      <c r="O22" s="799" t="s">
        <v>78</v>
      </c>
      <c r="P22" s="797">
        <f>P56</f>
        <v>1108.515625</v>
      </c>
      <c r="Q22" s="799">
        <f>Q56</f>
        <v>0</v>
      </c>
      <c r="R22" s="800">
        <f>R56</f>
        <v>0</v>
      </c>
      <c r="S22" s="800">
        <f>S56</f>
        <v>0</v>
      </c>
      <c r="T22" s="801">
        <f>T56</f>
        <v>1047.6930235527921</v>
      </c>
      <c r="U22" s="777">
        <f>PERCENTILE(U$8:U$15,$B22)</f>
        <v>2.0420652173913041</v>
      </c>
      <c r="V22" s="799" t="s">
        <v>78</v>
      </c>
      <c r="W22" s="802">
        <f>W56</f>
        <v>2154.5281529310505</v>
      </c>
      <c r="X22" s="984">
        <f>X17</f>
        <v>188.97247623000004</v>
      </c>
      <c r="Y22" s="988">
        <f>Y17</f>
        <v>72.775500000000008</v>
      </c>
      <c r="Z22" s="799" t="s">
        <v>78</v>
      </c>
      <c r="AA22" s="802">
        <f>AA56</f>
        <v>2432.1550940763918</v>
      </c>
      <c r="AB22" s="803"/>
      <c r="AC22" s="824"/>
      <c r="AD22" s="824"/>
      <c r="AE22" s="778"/>
      <c r="AF22" s="778"/>
      <c r="AG22" s="778"/>
      <c r="AH22" s="778"/>
      <c r="AI22" s="778"/>
      <c r="AJ22" s="778"/>
      <c r="AK22" s="778"/>
      <c r="AL22"/>
      <c r="AM22"/>
      <c r="AQ22" s="733" t="str">
        <f t="shared" si="23"/>
        <v>-</v>
      </c>
    </row>
    <row r="23" spans="1:43" s="17" customFormat="1" ht="20.25" customHeight="1" outlineLevel="1">
      <c r="A23" s="12"/>
      <c r="B23" s="17">
        <v>0.5</v>
      </c>
      <c r="C23" s="806" t="s">
        <v>8</v>
      </c>
      <c r="D23" s="807">
        <f t="shared" si="26"/>
        <v>5856.530205</v>
      </c>
      <c r="E23" s="807">
        <f t="shared" si="26"/>
        <v>6653.1728000000003</v>
      </c>
      <c r="F23" s="808"/>
      <c r="G23" s="808"/>
      <c r="H23" s="808"/>
      <c r="I23" s="807">
        <f t="shared" ref="I23:M25" si="27">I57</f>
        <v>476.30702000000002</v>
      </c>
      <c r="J23" s="809">
        <f t="shared" si="27"/>
        <v>0</v>
      </c>
      <c r="K23" s="810">
        <f t="shared" si="27"/>
        <v>0</v>
      </c>
      <c r="L23" s="810">
        <f t="shared" si="27"/>
        <v>0</v>
      </c>
      <c r="M23" s="811">
        <f t="shared" si="27"/>
        <v>425.65487415625</v>
      </c>
      <c r="N23" s="812">
        <f>PERCENTILE(N$8:N$15,$B23)</f>
        <v>0.75</v>
      </c>
      <c r="O23" s="809" t="s">
        <v>78</v>
      </c>
      <c r="P23" s="807">
        <f t="shared" ref="P23:T25" si="28">P57</f>
        <v>900.05964831250003</v>
      </c>
      <c r="Q23" s="809">
        <f t="shared" si="28"/>
        <v>0</v>
      </c>
      <c r="R23" s="810">
        <f t="shared" si="28"/>
        <v>0</v>
      </c>
      <c r="S23" s="810">
        <f t="shared" si="28"/>
        <v>0</v>
      </c>
      <c r="T23" s="811">
        <f t="shared" si="28"/>
        <v>816.16076862070054</v>
      </c>
      <c r="U23" s="812">
        <f>PERCENTILE(U$8:U$15,$B23)</f>
        <v>1.55</v>
      </c>
      <c r="V23" s="809" t="s">
        <v>78</v>
      </c>
      <c r="W23" s="813">
        <f>W57</f>
        <v>1724.5541806810281</v>
      </c>
      <c r="X23" s="992">
        <f t="shared" ref="X23:Y25" si="29">X18</f>
        <v>86.894999999999996</v>
      </c>
      <c r="Y23" s="996">
        <f t="shared" si="29"/>
        <v>54.715499999999999</v>
      </c>
      <c r="Z23" s="809" t="s">
        <v>78</v>
      </c>
      <c r="AA23" s="813">
        <f t="shared" ref="AA23:AA25" si="30">AA57</f>
        <v>1876.9390326110283</v>
      </c>
      <c r="AB23" s="803"/>
      <c r="AC23" s="824"/>
      <c r="AD23" s="824"/>
      <c r="AE23" s="778"/>
      <c r="AF23" s="778"/>
      <c r="AG23" s="778"/>
      <c r="AH23" s="778"/>
      <c r="AI23" s="778"/>
      <c r="AJ23" s="778"/>
      <c r="AK23" s="778"/>
      <c r="AL23"/>
      <c r="AM23"/>
      <c r="AQ23" s="733" t="str">
        <f t="shared" si="23"/>
        <v>-</v>
      </c>
    </row>
    <row r="24" spans="1:43" s="17" customFormat="1" ht="20.25" customHeight="1" outlineLevel="1">
      <c r="A24" s="12"/>
      <c r="B24" s="17">
        <v>0.25</v>
      </c>
      <c r="C24" s="796" t="s">
        <v>7</v>
      </c>
      <c r="D24" s="797">
        <f t="shared" si="26"/>
        <v>5474.2610374999995</v>
      </c>
      <c r="E24" s="797">
        <f t="shared" si="26"/>
        <v>5907.7653099999998</v>
      </c>
      <c r="F24" s="798"/>
      <c r="G24" s="798"/>
      <c r="H24" s="798"/>
      <c r="I24" s="797">
        <f t="shared" si="27"/>
        <v>462.878477078125</v>
      </c>
      <c r="J24" s="799">
        <f t="shared" si="27"/>
        <v>0</v>
      </c>
      <c r="K24" s="800">
        <f t="shared" si="27"/>
        <v>0</v>
      </c>
      <c r="L24" s="800">
        <f t="shared" si="27"/>
        <v>0</v>
      </c>
      <c r="M24" s="801">
        <f t="shared" si="27"/>
        <v>336.929892</v>
      </c>
      <c r="N24" s="777">
        <f>PERCENTILE(N$8:N$15,$B24)</f>
        <v>0.72499999999999998</v>
      </c>
      <c r="O24" s="799" t="s">
        <v>78</v>
      </c>
      <c r="P24" s="797">
        <f t="shared" si="28"/>
        <v>801.61645199999998</v>
      </c>
      <c r="Q24" s="799">
        <f t="shared" si="28"/>
        <v>0</v>
      </c>
      <c r="R24" s="800">
        <f t="shared" si="28"/>
        <v>0</v>
      </c>
      <c r="S24" s="800">
        <f t="shared" si="28"/>
        <v>0</v>
      </c>
      <c r="T24" s="801">
        <f t="shared" si="28"/>
        <v>722.85451499999999</v>
      </c>
      <c r="U24" s="777">
        <f>PERCENTILE(U$8:U$15,$B24)</f>
        <v>1.4817307687465877</v>
      </c>
      <c r="V24" s="799" t="s">
        <v>78</v>
      </c>
      <c r="W24" s="802">
        <f>W58</f>
        <v>1506.127285</v>
      </c>
      <c r="X24" s="984">
        <f t="shared" si="29"/>
        <v>85.188999999999993</v>
      </c>
      <c r="Y24" s="988">
        <f t="shared" si="29"/>
        <v>32.139920722500001</v>
      </c>
      <c r="Z24" s="799" t="s">
        <v>78</v>
      </c>
      <c r="AA24" s="802">
        <f t="shared" si="30"/>
        <v>1633.0278450000001</v>
      </c>
      <c r="AB24" s="803"/>
      <c r="AC24" s="824"/>
      <c r="AD24" s="824"/>
      <c r="AE24" s="778"/>
      <c r="AF24" s="778"/>
      <c r="AG24" s="778"/>
      <c r="AH24" s="778"/>
      <c r="AI24" s="778"/>
      <c r="AJ24" s="778"/>
      <c r="AK24" s="778"/>
      <c r="AL24"/>
      <c r="AM24"/>
      <c r="AQ24" s="733" t="str">
        <f t="shared" si="23"/>
        <v>-</v>
      </c>
    </row>
    <row r="25" spans="1:43" s="17" customFormat="1" ht="20.25" customHeight="1" outlineLevel="1">
      <c r="A25" s="12"/>
      <c r="B25" s="12"/>
      <c r="C25" s="815" t="s">
        <v>6</v>
      </c>
      <c r="D25" s="816">
        <f>AVERAGE(D11:D20)</f>
        <v>5676.2716123611117</v>
      </c>
      <c r="E25" s="816">
        <f>AVERAGE(E11:E20)</f>
        <v>6321.2576313888894</v>
      </c>
      <c r="F25" s="815"/>
      <c r="G25" s="815"/>
      <c r="H25" s="815"/>
      <c r="I25" s="816">
        <f t="shared" si="27"/>
        <v>532.85721353906251</v>
      </c>
      <c r="J25" s="817">
        <f t="shared" si="27"/>
        <v>0</v>
      </c>
      <c r="K25" s="818">
        <f t="shared" si="27"/>
        <v>0</v>
      </c>
      <c r="L25" s="818">
        <f t="shared" si="27"/>
        <v>0</v>
      </c>
      <c r="M25" s="819">
        <f t="shared" si="27"/>
        <v>409.66779453906258</v>
      </c>
      <c r="N25" s="820">
        <f>AVERAGE(N11:N20)</f>
        <v>0.76597222222222217</v>
      </c>
      <c r="O25" s="817" t="s">
        <v>78</v>
      </c>
      <c r="P25" s="816">
        <f t="shared" si="28"/>
        <v>942.52500807812498</v>
      </c>
      <c r="Q25" s="817">
        <f t="shared" si="28"/>
        <v>0</v>
      </c>
      <c r="R25" s="818">
        <f t="shared" si="28"/>
        <v>0</v>
      </c>
      <c r="S25" s="818">
        <f t="shared" si="28"/>
        <v>0</v>
      </c>
      <c r="T25" s="819">
        <f t="shared" si="28"/>
        <v>970.84945681372778</v>
      </c>
      <c r="U25" s="820">
        <f>AVERAGE(U11:U20)</f>
        <v>1.7730264420984405</v>
      </c>
      <c r="V25" s="817" t="s">
        <v>78</v>
      </c>
      <c r="W25" s="821">
        <f>W59</f>
        <v>1913.374464891853</v>
      </c>
      <c r="X25" s="999">
        <f t="shared" si="29"/>
        <v>133.203695246</v>
      </c>
      <c r="Y25" s="1003">
        <f t="shared" si="29"/>
        <v>83.458906163333339</v>
      </c>
      <c r="Z25" s="817" t="s">
        <v>78</v>
      </c>
      <c r="AA25" s="821">
        <f t="shared" si="30"/>
        <v>2059.2209540431031</v>
      </c>
      <c r="AB25" s="803"/>
      <c r="AC25" s="824"/>
      <c r="AD25" s="824"/>
      <c r="AE25" s="778"/>
      <c r="AF25" s="778"/>
      <c r="AG25" s="778"/>
      <c r="AH25" s="778"/>
      <c r="AI25" s="778"/>
      <c r="AJ25" s="778"/>
      <c r="AK25" s="778"/>
      <c r="AL25"/>
      <c r="AM25"/>
      <c r="AQ25" s="733" t="str">
        <f t="shared" si="23"/>
        <v>-</v>
      </c>
    </row>
    <row r="26" spans="1:43" ht="7.5" customHeight="1">
      <c r="C26" s="825"/>
      <c r="D26" s="825"/>
      <c r="E26" s="825"/>
      <c r="F26" s="825"/>
      <c r="G26" s="825"/>
      <c r="H26" s="825"/>
      <c r="I26" s="826"/>
      <c r="J26" s="827"/>
      <c r="K26" s="828"/>
      <c r="L26" s="828"/>
      <c r="M26" s="826"/>
      <c r="N26" s="829"/>
      <c r="O26" s="827"/>
      <c r="P26" s="826"/>
      <c r="Q26" s="826"/>
      <c r="R26" s="829"/>
      <c r="S26" s="829"/>
      <c r="T26" s="827"/>
      <c r="U26" s="828"/>
      <c r="V26" s="827"/>
      <c r="W26" s="826"/>
      <c r="X26" s="828"/>
      <c r="Y26" s="827"/>
      <c r="Z26" s="826"/>
      <c r="AA26" s="826"/>
      <c r="AB26" s="775"/>
      <c r="AC26" s="825"/>
      <c r="AD26" s="825"/>
      <c r="AE26" s="778"/>
      <c r="AF26" s="778"/>
      <c r="AG26" s="778"/>
      <c r="AH26" s="778"/>
      <c r="AI26" s="778"/>
      <c r="AJ26" s="778"/>
      <c r="AK26" s="778"/>
      <c r="AL26"/>
      <c r="AM26"/>
      <c r="AQ26" s="733" t="str">
        <f t="shared" si="23"/>
        <v>-</v>
      </c>
    </row>
    <row r="27" spans="1:43" s="35" customFormat="1" ht="20.25" customHeight="1">
      <c r="A27" s="35" t="str">
        <f>$B27&amp;"_"&amp;$C$3&amp;"_"&amp;$C$2</f>
        <v>TSX:HBM_2024_Legal</v>
      </c>
      <c r="B27" s="35" t="str">
        <f>'Raw Data'!G6</f>
        <v>TSX:HBM</v>
      </c>
      <c r="C27" s="830" t="str">
        <f>IFERROR(INDEX(Raw_Data,MATCH($A27,Look_Up2,0),MATCH(C$4,Component,0)),"-")</f>
        <v>Hudbay Minerals Inc.</v>
      </c>
      <c r="D27" s="831">
        <f>_xll.ciqfunctions.udf.CIQ(B27, "IQ_MARKETCAP", $A$1,$A$2)</f>
        <v>5664.3295799999996</v>
      </c>
      <c r="E27" s="831">
        <f>_xll.ciqfunctions.udf.CIQ($B27, "IQ_TEV", $A$1,$A$2)</f>
        <v>6773.8200500000003</v>
      </c>
      <c r="F27" s="832" t="str">
        <f>IFERROR(INDEX(Raw_Data,MATCH($A27,Look_Up2,0),MATCH(F$4,Component,0)),"-")</f>
        <v>Patrick Donnelly</v>
      </c>
      <c r="G27" s="832" t="str">
        <f>IFERROR(INDEX(Raw_Data,MATCH($A27,Look_Up2,0),MATCH(G$4,Component,0)),"-")</f>
        <v>SVP, Legal and Organizational Effectiveness</v>
      </c>
      <c r="H27" s="832" t="str">
        <f>IFERROR(INDEX(Raw_Data,MATCH($A27,Look_Up2,0),MATCH(H$4,Component,0))/1000,"-")</f>
        <v>-</v>
      </c>
      <c r="I27" s="831">
        <f>IFERROR(INDEX(Raw_Data,MATCH($A27,Look_Up2,0),MATCH(I$4,Component,0))/1000,"-")</f>
        <v>501.65899999999999</v>
      </c>
      <c r="J27" s="831">
        <f>IFERROR(INDEX(Raw_Data,MATCH($A27,Look_Up2,0),MATCH(J$4,Component,0))/1000,"-")</f>
        <v>479.25599999999997</v>
      </c>
      <c r="K27" s="833">
        <f>IFERROR(INDEX(Raw_Data,MATCH($A27,Look_Up2,0),MATCH(K$4,Component,0)),"-")</f>
        <v>0.95534217466446336</v>
      </c>
      <c r="L27" s="833">
        <f>IFERROR(INDEX(Raw_Data,MATCH($A27,Look_Up2,0),MATCH(L$4,Component,0)),"-")</f>
        <v>0.95534217466446336</v>
      </c>
      <c r="M27" s="831">
        <f>IFERROR(INDEX(Raw_Data,MATCH($A27,Look_Up2,0),MATCH(M$4,Component,0))/1000,"-")</f>
        <v>376.24425000000002</v>
      </c>
      <c r="N27" s="833">
        <f>IFERROR(IF(INDEX(Raw_Data,MATCH($A27,Look_Up2,0),MATCH(N$4,Component,0))="-",L27,INDEX(Raw_Data,MATCH($A27,Look_Up2,0),MATCH(N$4,Component,0))),"-")</f>
        <v>0.75</v>
      </c>
      <c r="O27" s="831" t="s">
        <v>78</v>
      </c>
      <c r="P27" s="831">
        <f>IFERROR(INDEX(Raw_Data,MATCH($A27,Look_Up2,0),MATCH(P$4,Component,0))/1000,"-")</f>
        <v>877.90324999999996</v>
      </c>
      <c r="Q27" s="831">
        <f>IFERROR(INDEX(Raw_Data,MATCH($A27,Look_Up2,0),MATCH(Q$4,Component,0))/1000,"-")</f>
        <v>730.572</v>
      </c>
      <c r="R27" s="833">
        <f>IFERROR(INDEX(Raw_Data,MATCH($A27,Look_Up2,0),MATCH(R$4,Component,0)),"-")</f>
        <v>1.4563119569269165</v>
      </c>
      <c r="S27" s="833">
        <f>IFERROR(INDEX(Raw_Data,MATCH($A27,Look_Up2,0),MATCH(S$4,Component,0)),"-")</f>
        <v>1.4563119569269165</v>
      </c>
      <c r="T27" s="831">
        <f>IFERROR(INDEX(Raw_Data,MATCH($A27,Look_Up2,0),MATCH(T$4,Component,0))/1000,"-")</f>
        <v>752.48850000000004</v>
      </c>
      <c r="U27" s="833">
        <f>IFERROR(IF(INDEX(Raw_Data,MATCH($A27,Look_Up2,0),MATCH(U$4,Component,0))="-",S27,INDEX(Raw_Data,MATCH($A27,Look_Up2,0),MATCH(U$4,Component,0))),"-")</f>
        <v>1.5</v>
      </c>
      <c r="V27" s="831" t="s">
        <v>78</v>
      </c>
      <c r="W27" s="831">
        <f>IFERROR(INDEX(Raw_Data,MATCH($A27,Look_Up2,0),MATCH(W$4,Component,0))/1000,"-")</f>
        <v>1630.39175</v>
      </c>
      <c r="X27" s="835">
        <f>IFERROR((INDEX(Raw_Data,MATCH($A27,Look_Up2,0),MATCH(X$4,Component,0))/1000),"-")</f>
        <v>122.673</v>
      </c>
      <c r="Y27" s="831">
        <f>IFERROR((INDEX(Raw_Data,MATCH($A27,Look_Up2,0),MATCH(Y$4,Component,0))/1000),"-")</f>
        <v>84.863</v>
      </c>
      <c r="Z27" s="831">
        <f>IFERROR(INDEX(Raw_Data,MATCH($A27,Look_Up2,0),MATCH(Z$4,Component,0))/1000,"-")</f>
        <v>1919.0229999999999</v>
      </c>
      <c r="AA27" s="834">
        <f>IFERROR(INDEX(Raw_Data,MATCH($A27,Look_Up2,0),MATCH(AA$4,Component,0))/1000,"-")</f>
        <v>1837.9277500000001</v>
      </c>
      <c r="AB27" s="836"/>
      <c r="AC27" s="837">
        <f>IFERROR(P27/W27,0)</f>
        <v>0.53846153846153844</v>
      </c>
      <c r="AD27" s="838">
        <f>IFERROR(T27/W27,0)</f>
        <v>0.46153846153846156</v>
      </c>
      <c r="AE27" s="778" t="str">
        <f>B27&amp;"_"&amp;$AE$6&amp;"_"&amp;$C$2</f>
        <v>TSX:HBM_2023_Legal</v>
      </c>
      <c r="AF27" s="778"/>
      <c r="AG27" s="778"/>
      <c r="AH27" s="778"/>
      <c r="AI27" s="778"/>
      <c r="AJ27" s="778"/>
      <c r="AK27" s="778"/>
      <c r="AL27"/>
      <c r="AM27"/>
      <c r="AQ27" s="733" t="str">
        <f t="shared" si="23"/>
        <v>-</v>
      </c>
    </row>
    <row r="28" spans="1:43" ht="20.25" customHeight="1">
      <c r="B28" s="33"/>
      <c r="C28" s="839" t="s">
        <v>5</v>
      </c>
      <c r="D28" s="840">
        <f>IF(D$27&gt;=MAX(D$8:D$15),"max",IF(D$27&lt;=MIN(D$8:D$15),"min",PERCENTRANK(D$8:D$15,D$27)))</f>
        <v>0.36099999999999999</v>
      </c>
      <c r="E28" s="840">
        <f>IF(E$27&gt;=MAX(E$8:E$15),"max",IF(E$27&lt;=MIN(E$8:E$15),"min",PERCENTRANK(E$8:E$15,E$27)))</f>
        <v>0.54700000000000004</v>
      </c>
      <c r="F28" s="841"/>
      <c r="G28" s="841"/>
      <c r="H28" s="841"/>
      <c r="I28" s="840">
        <f>IF(I$27&gt;=MAX(I$35:I$54),"max",IF(I$27&lt;=MIN(I$35:I$54),"min",PERCENTRANK(I$35:I$54,I$27)))</f>
        <v>0.58499999999999996</v>
      </c>
      <c r="J28" s="840">
        <f>IF(J$27&gt;=MAX(J$8:J$15),"max",IF(J$27&lt;=MIN(J$8:J$15),"min",PERCENTRANK(J$8:J$15,J$27)))</f>
        <v>0.55500000000000005</v>
      </c>
      <c r="K28" s="840">
        <f>IF(K$27&gt;=MAX(K$8:K$15),"max",IF(K$27&lt;=MIN(K$8:K$15),"min",PERCENTRANK(K$8:K$15,K$27)))</f>
        <v>0.67400000000000004</v>
      </c>
      <c r="L28" s="840">
        <f>IF(L$27&gt;=MAX(L$8:L$15),"max",IF(L$27&lt;=MIN(L$8:L$15),"min",PERCENTRANK(L$8:L$15,L$27)))</f>
        <v>0.71799999999999997</v>
      </c>
      <c r="M28" s="840">
        <f>IF(M$27&gt;=MAX(M$35:M$54),"max",IF(M$27&lt;=MIN(M$35:M$54),"min",PERCENTRANK(M$35:M$54,M$27)))</f>
        <v>0.38</v>
      </c>
      <c r="N28" s="840">
        <f>IF(N$27&gt;=MAX(N$8:N$15),"max",IF(N$27&lt;=MIN(N$8:N$15),"min",PERCENTRANK(N$8:N$15,N$27)))</f>
        <v>0.28499999999999998</v>
      </c>
      <c r="O28" s="840" t="s">
        <v>78</v>
      </c>
      <c r="P28" s="840">
        <f>IF(P$27&gt;=MAX(P$35:P$54),"max",IF(P$27&lt;=MIN(P$35:P$54),"min",PERCENTRANK(P$35:P$54,P$27)))</f>
        <v>0.42899999999999999</v>
      </c>
      <c r="Q28" s="840">
        <f>IF(Q$27&gt;=MAX(Q$8:Q$15),"max",IF(Q$27&lt;=MIN(Q$8:Q$15),"min",PERCENTRANK(Q$8:Q$15,Q$27)))</f>
        <v>0.40100000000000002</v>
      </c>
      <c r="R28" s="840" t="str">
        <f>IF(R$27&gt;=MAX(R$8:R$15),"max",IF(R$27&lt;=MIN(R$8:R$15),"min",PERCENTRANK(R$8:R$15,R$27)))</f>
        <v>min</v>
      </c>
      <c r="S28" s="840">
        <f>IF(S$27&gt;=MAX(S$8:S$15),"max",IF(S$27&lt;=MIN(S$8:S$15),"min",PERCENTRANK(S$8:S$15,S$27)))</f>
        <v>0.2</v>
      </c>
      <c r="T28" s="840">
        <f>IF(T$27&gt;=MAX(T$35:T$54),"max",IF(T$27&lt;=MIN(T$35:T$54),"min",PERCENTRANK(T$35:T$54,T$27)))</f>
        <v>0.44500000000000001</v>
      </c>
      <c r="U28" s="840">
        <f>IF(U$27&gt;=MAX(U$8:U$15),"max",IF(U$27&lt;=MIN(U$8:U$15),"min",PERCENTRANK(U$8:U$15,U$27)))</f>
        <v>0.28499999999999998</v>
      </c>
      <c r="V28" s="840" t="s">
        <v>78</v>
      </c>
      <c r="W28" s="840">
        <f>IF(W$27&gt;=MAX(W$35:W$54),"max",IF(W$27&lt;=MIN(W$35:W$54),"min",PERCENTRANK(W$35:W$54,W$27)))</f>
        <v>0.441</v>
      </c>
      <c r="X28" s="840">
        <f>IF(X$27&gt;=MAX(X$8:X$15),"max",IF(X$27&lt;=MIN(X$8:X$15),"min",PERCENTRANK(X$8:X$15,X$27)))</f>
        <v>0.58699999999999997</v>
      </c>
      <c r="Y28" s="840">
        <f>IF(Y$27&gt;=MAX(Y$8:Y$15),"max",IF(Y$27&lt;=MIN(Y$8:Y$15),"min",PERCENTRANK(Y$8:Y$15,Y$27)))</f>
        <v>0.81100000000000005</v>
      </c>
      <c r="Z28" s="840">
        <f>IF(Z$27&gt;=MAX(Z$8:Z$15),"max",IF(Z$27&lt;=MIN(Z$8:Z$15),"min",PERCENTRANK(Z$8:Z$15,Z$27)))</f>
        <v>0.495</v>
      </c>
      <c r="AA28" s="842">
        <f>IF(AA$27&gt;=MAX(AA$35:AA$54),"max",IF(AA$27&lt;=MIN(AA$35:AA$54),"min",PERCENTRANK(AA$35:AA$54,AA$27)))</f>
        <v>0.48399999999999999</v>
      </c>
      <c r="AB28" s="775"/>
      <c r="AC28" s="843">
        <f>IF(AC$27&gt;=MAX(AC$8:AC15),"max",IF(AC$27&lt;=MIN(AC$8:AC15),"min",PERCENTRANK(AC$8:AC15,AC$27)))</f>
        <v>0.57099999999999995</v>
      </c>
      <c r="AD28" s="844">
        <f>IF(AD$27&gt;=MAX(AD$8:AD15),"max",IF(AD$27&lt;=MIN(AD$8:AD15),"min",PERCENTRANK(AD$8:AD15,AD$27)))</f>
        <v>0.42799999999999999</v>
      </c>
      <c r="AE28" s="778"/>
      <c r="AF28" s="778"/>
      <c r="AG28" s="778"/>
      <c r="AH28" s="778"/>
      <c r="AI28" s="778"/>
      <c r="AJ28" s="778"/>
      <c r="AK28" s="778"/>
      <c r="AL28"/>
      <c r="AM28"/>
      <c r="AQ28" s="733" t="str">
        <f t="shared" si="23"/>
        <v>-</v>
      </c>
    </row>
    <row r="29" spans="1:43" ht="7.5" customHeight="1">
      <c r="B29" s="33"/>
      <c r="C29" s="286"/>
      <c r="D29" s="286"/>
      <c r="E29" s="259"/>
      <c r="F29" s="259"/>
      <c r="G29" s="259"/>
      <c r="H29" s="259"/>
      <c r="I29" s="275"/>
      <c r="J29" s="275"/>
      <c r="K29" s="275"/>
      <c r="L29" s="275"/>
      <c r="M29" s="275"/>
      <c r="N29" s="275"/>
      <c r="O29" s="275"/>
      <c r="P29" s="275"/>
      <c r="Q29" s="275"/>
      <c r="R29" s="275"/>
      <c r="S29" s="275"/>
      <c r="T29" s="275"/>
      <c r="U29" s="275"/>
      <c r="V29" s="275"/>
      <c r="W29" s="275"/>
      <c r="X29" s="275"/>
      <c r="Y29" s="275"/>
      <c r="Z29" s="275"/>
      <c r="AA29" s="275"/>
      <c r="AC29" s="259"/>
      <c r="AD29" s="259"/>
      <c r="AE29" s="316"/>
      <c r="AF29" s="316"/>
      <c r="AG29" s="316"/>
      <c r="AH29" s="316"/>
      <c r="AI29" s="316"/>
      <c r="AJ29" s="316"/>
      <c r="AK29" s="316"/>
      <c r="AQ29" s="733" t="str">
        <f t="shared" si="23"/>
        <v>-</v>
      </c>
    </row>
    <row r="30" spans="1:43" ht="15" customHeight="1">
      <c r="B30" s="33"/>
      <c r="C30" s="286" t="s">
        <v>243</v>
      </c>
      <c r="D30" s="286"/>
      <c r="E30" s="259"/>
      <c r="F30" s="259"/>
      <c r="G30" s="259"/>
      <c r="H30" s="259"/>
      <c r="I30" s="275"/>
      <c r="J30" s="275"/>
      <c r="K30" s="275"/>
      <c r="L30" s="275"/>
      <c r="M30" s="275"/>
      <c r="N30" s="275"/>
      <c r="O30" s="275"/>
      <c r="P30" s="275"/>
      <c r="Q30" s="275"/>
      <c r="R30" s="275"/>
      <c r="S30" s="275"/>
      <c r="T30" s="275"/>
      <c r="U30" s="275"/>
      <c r="V30" s="275" t="s">
        <v>724</v>
      </c>
      <c r="W30" s="600">
        <f>W27/W23-1</f>
        <v>-5.4601027753064413E-2</v>
      </c>
      <c r="X30" s="275"/>
      <c r="Y30" s="275"/>
      <c r="Z30" s="275"/>
      <c r="AA30" s="275"/>
      <c r="AC30" s="259"/>
      <c r="AD30" s="259"/>
      <c r="AE30" s="316"/>
      <c r="AF30" s="316"/>
      <c r="AG30" s="259" t="s">
        <v>717</v>
      </c>
      <c r="AH30" s="606">
        <f>AM27</f>
        <v>0</v>
      </c>
      <c r="AI30" s="316"/>
      <c r="AJ30" s="316"/>
      <c r="AK30" s="316"/>
      <c r="AQ30" s="733" t="str">
        <f t="shared" si="23"/>
        <v>-</v>
      </c>
    </row>
    <row r="31" spans="1:43" ht="14.5">
      <c r="B31" s="15"/>
      <c r="C31" s="284"/>
      <c r="D31" s="284"/>
      <c r="E31" s="284"/>
      <c r="F31" s="284"/>
      <c r="G31" s="284"/>
      <c r="H31" s="284"/>
      <c r="I31" s="284"/>
      <c r="J31" s="284"/>
      <c r="K31" s="284"/>
      <c r="L31" s="284"/>
      <c r="M31" s="284"/>
      <c r="N31" s="284"/>
      <c r="O31" s="284"/>
      <c r="P31" s="284"/>
      <c r="Q31" s="284"/>
      <c r="R31" s="284"/>
      <c r="S31" s="284"/>
      <c r="T31" s="284"/>
      <c r="U31" s="284"/>
      <c r="V31" s="275" t="s">
        <v>725</v>
      </c>
      <c r="W31" s="604">
        <f>W27-W23</f>
        <v>-94.162430681028127</v>
      </c>
      <c r="X31" s="284"/>
      <c r="Y31" s="284"/>
      <c r="Z31" s="284"/>
      <c r="AA31" s="284"/>
      <c r="AC31" s="258"/>
      <c r="AD31" s="258"/>
      <c r="AG31" s="12" t="s">
        <v>713</v>
      </c>
      <c r="AH31" s="607" t="e">
        <f>W27/AH30-1</f>
        <v>#DIV/0!</v>
      </c>
    </row>
    <row r="32" spans="1:43">
      <c r="B32" s="15"/>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C32" s="27"/>
      <c r="AD32" s="27"/>
    </row>
    <row r="33" spans="1:37">
      <c r="B33" s="15"/>
      <c r="C33" s="305" t="s">
        <v>110</v>
      </c>
      <c r="D33" s="313"/>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C33" s="307"/>
      <c r="AD33" s="307"/>
      <c r="AE33" s="308"/>
      <c r="AF33" s="308"/>
      <c r="AG33" s="308"/>
      <c r="AH33" s="308"/>
      <c r="AI33" s="308"/>
      <c r="AJ33" s="308"/>
      <c r="AK33" s="308"/>
    </row>
    <row r="34" spans="1:37" ht="50">
      <c r="B34" s="15"/>
      <c r="C34" s="297" t="s">
        <v>111</v>
      </c>
      <c r="E34" s="14"/>
      <c r="F34" s="14"/>
      <c r="G34" s="315" t="s">
        <v>119</v>
      </c>
      <c r="H34" s="314" t="s">
        <v>115</v>
      </c>
      <c r="I34" s="314" t="s">
        <v>116</v>
      </c>
      <c r="J34" s="314"/>
      <c r="K34" s="314"/>
      <c r="L34" s="314"/>
      <c r="M34" s="314" t="s">
        <v>16</v>
      </c>
      <c r="O34" s="314"/>
      <c r="P34" s="314" t="s">
        <v>117</v>
      </c>
      <c r="Q34" s="314"/>
      <c r="R34" s="314"/>
      <c r="S34" s="314"/>
      <c r="T34" s="314" t="s">
        <v>14</v>
      </c>
      <c r="V34" s="314"/>
      <c r="W34" s="314" t="s">
        <v>118</v>
      </c>
      <c r="Y34" s="314"/>
      <c r="Z34" s="314"/>
      <c r="AA34" s="314" t="s">
        <v>246</v>
      </c>
      <c r="AC34" s="27"/>
      <c r="AD34" s="27"/>
    </row>
    <row r="35" spans="1:37" ht="14.5">
      <c r="A35" s="295" t="e">
        <f>#REF!</f>
        <v>#REF!</v>
      </c>
      <c r="B35" s="295" t="e">
        <f>#REF!</f>
        <v>#REF!</v>
      </c>
      <c r="C35" s="296" t="str">
        <f>_xll.ciqfunctions.udf.CIQ(B35,"IQ_COMPANY_NAME")</f>
        <v>#NA</v>
      </c>
      <c r="E35" s="14"/>
      <c r="F35" s="14"/>
      <c r="G35" s="294" t="s">
        <v>661</v>
      </c>
      <c r="H35" s="303" t="str">
        <f t="shared" ref="H35:H54" si="31">IFERROR(INDEX(Raw_Data,MATCH($A35,Look_Up2,0),MATCH(H$4,Component,0))/1000,"-")</f>
        <v>-</v>
      </c>
      <c r="I35" s="303" t="str">
        <f>IFERROR(IF(G35="y",IF(H35&lt;&gt;"-",H35,INDEX(Raw_Data,MATCH($A35,Look_Up2,0),MATCH(I$4,Component,0))/1000*(1+'Raw Data'!$G$13)),(INDEX(Raw_Data,MATCH($A35,Look_Up2,0),MATCH(I$4,Component,0))/1000)),"-")</f>
        <v>-</v>
      </c>
      <c r="J35" s="361"/>
      <c r="K35" s="361"/>
      <c r="L35" s="361"/>
      <c r="M35" s="303" t="str">
        <f>IFERROR(I35*#REF!,"-")</f>
        <v>-</v>
      </c>
      <c r="N35" s="362"/>
      <c r="O35" s="361"/>
      <c r="P35" s="303" t="str">
        <f>IFERROR(IF(SUM(M35,I35)=0,"-",SUM(M35,I35)),"-")</f>
        <v>-</v>
      </c>
      <c r="Q35" s="361"/>
      <c r="R35" s="361"/>
      <c r="S35" s="361"/>
      <c r="T35" s="303" t="str">
        <f>IFERROR(I35*#REF!,"-")</f>
        <v>-</v>
      </c>
      <c r="U35" s="362"/>
      <c r="V35" s="361"/>
      <c r="W35" s="303" t="str">
        <f>IFERROR(IF(SUM(T35,P35)=0,"-",SUM(T35,P35)),"-")</f>
        <v>-</v>
      </c>
      <c r="X35" s="362"/>
      <c r="Y35" s="361"/>
      <c r="Z35" s="361"/>
      <c r="AA35" s="303" t="str">
        <f>IFERROR(IF(SUM(W35,#REF!,#REF!)=0,"-",SUM(W35,#REF!,#REF!)),"-")</f>
        <v>-</v>
      </c>
      <c r="AB35" s="362"/>
    </row>
    <row r="36" spans="1:37" ht="14.5">
      <c r="A36" s="295" t="str">
        <f>A8</f>
        <v>TSX:LUN_2024_Legal</v>
      </c>
      <c r="B36" s="295" t="str">
        <f>B8</f>
        <v>TSX:LUN</v>
      </c>
      <c r="C36" s="296" t="str">
        <f>_xll.ciqfunctions.udf.CIQ(B36,"IQ_COMPANY_NAME")</f>
        <v>Lundin Mining Corporation</v>
      </c>
      <c r="E36" s="14"/>
      <c r="F36" s="14"/>
      <c r="G36" s="294" t="s">
        <v>661</v>
      </c>
      <c r="H36" s="262">
        <f t="shared" si="31"/>
        <v>630</v>
      </c>
      <c r="I36" s="262">
        <f>IFERROR(IF(G36="y",IF(H36&lt;&gt;"-",H36,INDEX(Raw_Data,MATCH($A36,Look_Up2,0),MATCH(I$4,Component,0))/1000*(1+'Raw Data'!$G$13)),(INDEX(Raw_Data,MATCH($A36,Look_Up2,0),MATCH(I$4,Component,0))/1000)),"-")</f>
        <v>630</v>
      </c>
      <c r="J36" s="361"/>
      <c r="K36" s="361"/>
      <c r="L36" s="361"/>
      <c r="M36" s="262">
        <f>IFERROR(I36*N8,"-")</f>
        <v>472.5</v>
      </c>
      <c r="N36" s="362"/>
      <c r="O36" s="361"/>
      <c r="P36" s="262">
        <f t="shared" ref="P36:P54" si="32">IFERROR(IF(SUM(M36,I36)=0,"-",SUM(M36,I36)),"-")</f>
        <v>1102.5</v>
      </c>
      <c r="Q36" s="361"/>
      <c r="R36" s="361"/>
      <c r="S36" s="361"/>
      <c r="T36" s="262">
        <f>IFERROR(I36*U8,"-")</f>
        <v>898.96153724140106</v>
      </c>
      <c r="U36" s="362"/>
      <c r="V36" s="361"/>
      <c r="W36" s="262">
        <f t="shared" ref="W36:W54" si="33">IFERROR(IF(SUM(T36,P36)=0,"-",SUM(T36,P36)),"-")</f>
        <v>2001.4615372414009</v>
      </c>
      <c r="X36" s="362"/>
      <c r="Y36" s="361"/>
      <c r="Z36" s="361"/>
      <c r="AA36" s="262">
        <f>IFERROR(IF(SUM(W36,X8,Y8)=0,"-",SUM(W36,X8,Y8)),"-")</f>
        <v>2282.4217465914007</v>
      </c>
      <c r="AB36" s="362"/>
    </row>
    <row r="37" spans="1:37" ht="14.5">
      <c r="A37" s="295" t="e">
        <f>#REF!</f>
        <v>#REF!</v>
      </c>
      <c r="B37" s="295" t="e">
        <f>#REF!</f>
        <v>#REF!</v>
      </c>
      <c r="C37" s="296" t="str">
        <f>_xll.ciqfunctions.udf.CIQ(B37,"IQ_COMPANY_NAME")</f>
        <v>#NA</v>
      </c>
      <c r="E37" s="14"/>
      <c r="F37" s="14"/>
      <c r="G37" s="294" t="s">
        <v>661</v>
      </c>
      <c r="H37" s="262" t="str">
        <f t="shared" si="31"/>
        <v>-</v>
      </c>
      <c r="I37" s="262" t="str">
        <f>IFERROR(IF(G37="y",IF(H37&lt;&gt;"-",H37,INDEX(Raw_Data,MATCH($A37,Look_Up2,0),MATCH(I$4,Component,0))/1000*(1+'Raw Data'!$G$13)),(INDEX(Raw_Data,MATCH($A37,Look_Up2,0),MATCH(I$4,Component,0))/1000)),"-")</f>
        <v>-</v>
      </c>
      <c r="J37" s="361"/>
      <c r="K37" s="361"/>
      <c r="L37" s="361"/>
      <c r="M37" s="262" t="str">
        <f>IFERROR(I37*#REF!,"-")</f>
        <v>-</v>
      </c>
      <c r="N37" s="362"/>
      <c r="O37" s="361"/>
      <c r="P37" s="262" t="str">
        <f t="shared" si="32"/>
        <v>-</v>
      </c>
      <c r="Q37" s="361"/>
      <c r="R37" s="361"/>
      <c r="S37" s="361"/>
      <c r="T37" s="262" t="str">
        <f>IFERROR(I37*#REF!,"-")</f>
        <v>-</v>
      </c>
      <c r="U37" s="362"/>
      <c r="V37" s="361"/>
      <c r="W37" s="262" t="str">
        <f t="shared" si="33"/>
        <v>-</v>
      </c>
      <c r="X37" s="362"/>
      <c r="Y37" s="361"/>
      <c r="Z37" s="361"/>
      <c r="AA37" s="262" t="str">
        <f>IFERROR(IF(SUM(W37,#REF!,#REF!)=0,"-",SUM(W37,#REF!,#REF!)),"-")</f>
        <v>-</v>
      </c>
      <c r="AB37" s="362"/>
    </row>
    <row r="38" spans="1:37" ht="14.5">
      <c r="A38" s="295" t="str">
        <f t="shared" ref="A38:B42" si="34">A9</f>
        <v>TSX:PAAS_2024_Legal</v>
      </c>
      <c r="B38" s="295" t="str">
        <f t="shared" si="34"/>
        <v>TSX:PAAS</v>
      </c>
      <c r="C38" s="296" t="str">
        <f>_xll.ciqfunctions.udf.CIQ(B38,"IQ_COMPANY_NAME")</f>
        <v>Pan American Silver Corp.</v>
      </c>
      <c r="G38" s="294" t="s">
        <v>661</v>
      </c>
      <c r="H38" s="262" t="str">
        <f t="shared" si="31"/>
        <v>-</v>
      </c>
      <c r="I38" s="262">
        <f>IFERROR(IF(G38="y",IF(H38&lt;&gt;"-",H38,INDEX(Raw_Data,MATCH($A38,Look_Up2,0),MATCH(I$4,Component,0))/1000*(1+'Raw Data'!$G$13)),(INDEX(Raw_Data,MATCH($A38,Look_Up2,0),MATCH(I$4,Component,0))/1000)),"-")</f>
        <v>653.43200000000002</v>
      </c>
      <c r="J38" s="362"/>
      <c r="K38" s="362"/>
      <c r="L38" s="362"/>
      <c r="M38" s="262">
        <f>IFERROR(I38*N9,"-")</f>
        <v>522.74560000000008</v>
      </c>
      <c r="N38" s="362"/>
      <c r="O38" s="362"/>
      <c r="P38" s="262">
        <f t="shared" si="32"/>
        <v>1176.1776</v>
      </c>
      <c r="Q38" s="362"/>
      <c r="R38" s="362"/>
      <c r="S38" s="362"/>
      <c r="T38" s="262">
        <f>IFERROR(I38*U9,"-")</f>
        <v>1437.5504000000001</v>
      </c>
      <c r="U38" s="362"/>
      <c r="V38" s="362"/>
      <c r="W38" s="262">
        <f t="shared" si="33"/>
        <v>2613.7280000000001</v>
      </c>
      <c r="X38" s="362"/>
      <c r="Y38" s="362"/>
      <c r="Z38" s="362"/>
      <c r="AA38" s="262">
        <f>IFERROR(IF(SUM(W38,X9,Y9)=0,"-",SUM(W38,X9,Y9)),"-")</f>
        <v>2899.2080000000001</v>
      </c>
      <c r="AB38" s="362"/>
    </row>
    <row r="39" spans="1:37" ht="14.5">
      <c r="A39" s="295" t="str">
        <f t="shared" si="34"/>
        <v>TSX:CS_2024_Legal</v>
      </c>
      <c r="B39" s="295" t="str">
        <f t="shared" si="34"/>
        <v>TSX:CS</v>
      </c>
      <c r="C39" s="296" t="str">
        <f>_xll.ciqfunctions.udf.CIQ(B39,"IQ_COMPANY_NAME")</f>
        <v>Capstone Copper Corp.</v>
      </c>
      <c r="G39" s="294" t="s">
        <v>661</v>
      </c>
      <c r="H39" s="262" t="str">
        <f t="shared" si="31"/>
        <v>-</v>
      </c>
      <c r="I39" s="262">
        <f>IFERROR(IF(G39="y",IF(H39&lt;&gt;"-",H39,INDEX(Raw_Data,MATCH($A39,Look_Up2,0),MATCH(I$4,Component,0))/1000*(1+'Raw Data'!$G$13)),(INDEX(Raw_Data,MATCH($A39,Look_Up2,0),MATCH(I$4,Component,0))/1000)),"-")</f>
        <v>465.11504000000002</v>
      </c>
      <c r="J39" s="362"/>
      <c r="K39" s="362"/>
      <c r="L39" s="362"/>
      <c r="M39" s="262">
        <f>IFERROR(I39*N10,"-")</f>
        <v>348.83627999999999</v>
      </c>
      <c r="N39" s="362"/>
      <c r="O39" s="362"/>
      <c r="P39" s="262">
        <f t="shared" si="32"/>
        <v>813.95132000000001</v>
      </c>
      <c r="Q39" s="362"/>
      <c r="R39" s="362"/>
      <c r="S39" s="362"/>
      <c r="T39" s="262">
        <f>IFERROR(I39*U10,"-")</f>
        <v>697.67255999999998</v>
      </c>
      <c r="U39" s="362"/>
      <c r="V39" s="362"/>
      <c r="W39" s="262">
        <f t="shared" si="33"/>
        <v>1511.6238800000001</v>
      </c>
      <c r="X39" s="362"/>
      <c r="Y39" s="362"/>
      <c r="Z39" s="362"/>
      <c r="AA39" s="262">
        <f>IFERROR(IF(SUM(W39,X10,Y10)=0,"-",SUM(W39,X10,Y10)),"-")</f>
        <v>1584.42588</v>
      </c>
      <c r="AB39" s="362"/>
    </row>
    <row r="40" spans="1:37" ht="14.5">
      <c r="A40" s="295" t="str">
        <f t="shared" si="34"/>
        <v>TSX:IMG_2024_Legal</v>
      </c>
      <c r="B40" s="295" t="str">
        <f t="shared" si="34"/>
        <v>TSX:IMG</v>
      </c>
      <c r="C40" s="296" t="str">
        <f>_xll.ciqfunctions.udf.CIQ(B40,"IQ_COMPANY_NAME")</f>
        <v>IAMGOLD Corporation</v>
      </c>
      <c r="G40" s="294" t="s">
        <v>661</v>
      </c>
      <c r="H40" s="262" t="str">
        <f t="shared" si="31"/>
        <v>-</v>
      </c>
      <c r="I40" s="262">
        <f>IFERROR(IF(G40="y",IF(H40&lt;&gt;"-",H40,INDEX(Raw_Data,MATCH($A40,Look_Up2,0),MATCH(I$4,Component,0))/1000*(1+'Raw Data'!$G$13)),(INDEX(Raw_Data,MATCH($A40,Look_Up2,0),MATCH(I$4,Component,0))/1000)),"-")</f>
        <v>463.40111999999999</v>
      </c>
      <c r="J40" s="362"/>
      <c r="K40" s="362"/>
      <c r="L40" s="362"/>
      <c r="M40" s="262">
        <f>IFERROR(I40*N11,"-")</f>
        <v>301.21072800000002</v>
      </c>
      <c r="N40" s="362"/>
      <c r="O40" s="362"/>
      <c r="P40" s="262">
        <f t="shared" si="32"/>
        <v>764.61184800000001</v>
      </c>
      <c r="Q40" s="362"/>
      <c r="R40" s="362"/>
      <c r="S40" s="362"/>
      <c r="T40" s="262">
        <f>IFERROR(I40*U11,"-")</f>
        <v>602.42145600000003</v>
      </c>
      <c r="U40" s="362"/>
      <c r="V40" s="362"/>
      <c r="W40" s="262">
        <f t="shared" si="33"/>
        <v>1367.033304</v>
      </c>
      <c r="X40" s="362"/>
      <c r="Y40" s="362"/>
      <c r="Z40" s="362"/>
      <c r="AA40" s="262">
        <f>IFERROR(IF(SUM(W40,X11,Y11)=0,"-",SUM(W40,X11,Y11)),"-")</f>
        <v>1423.2503039999999</v>
      </c>
      <c r="AB40" s="362"/>
    </row>
    <row r="41" spans="1:37" ht="14.5">
      <c r="A41" s="295" t="str">
        <f t="shared" si="34"/>
        <v>TSX:BTO_2024_Legal</v>
      </c>
      <c r="B41" s="295" t="str">
        <f t="shared" si="34"/>
        <v>TSX:BTO</v>
      </c>
      <c r="C41" s="296" t="str">
        <f>_xll.ciqfunctions.udf.CIQ(B41,"IQ_COMPANY_NAME")</f>
        <v>B2Gold Corp.</v>
      </c>
      <c r="G41" s="294" t="s">
        <v>661</v>
      </c>
      <c r="H41" s="262" t="str">
        <f t="shared" si="31"/>
        <v>-</v>
      </c>
      <c r="I41" s="262">
        <f>IFERROR(IF(G41="y",IF(H41&lt;&gt;"-",H41,INDEX(Raw_Data,MATCH($A41,Look_Up2,0),MATCH(I$4,Component,0))/1000*(1+'Raw Data'!$G$13)),(INDEX(Raw_Data,MATCH($A41,Look_Up2,0),MATCH(I$4,Component,0))/1000)),"-")</f>
        <v>643.75</v>
      </c>
      <c r="J41" s="362"/>
      <c r="K41" s="362"/>
      <c r="L41" s="362"/>
      <c r="M41" s="262">
        <f>IFERROR(I41*N12,"-")</f>
        <v>482.8125</v>
      </c>
      <c r="N41" s="362"/>
      <c r="O41" s="362"/>
      <c r="P41" s="262">
        <f t="shared" si="32"/>
        <v>1126.5625</v>
      </c>
      <c r="Q41" s="362"/>
      <c r="R41" s="362"/>
      <c r="S41" s="362"/>
      <c r="T41" s="262">
        <f>IFERROR(I41*U12,"-")</f>
        <v>1747.8406365313656</v>
      </c>
      <c r="U41" s="362"/>
      <c r="V41" s="362"/>
      <c r="W41" s="262">
        <f t="shared" si="33"/>
        <v>2874.4031365313658</v>
      </c>
      <c r="X41" s="362"/>
      <c r="Y41" s="362"/>
      <c r="Z41" s="362"/>
      <c r="AA41" s="262">
        <f>IFERROR(IF(SUM(W41,X12,Y12)=0,"-",SUM(W41,X12,Y12)),"-")</f>
        <v>2881.355136531366</v>
      </c>
      <c r="AB41" s="362"/>
    </row>
    <row r="42" spans="1:37" s="17" customFormat="1" ht="14.5">
      <c r="A42" s="295" t="str">
        <f t="shared" si="34"/>
        <v>NYSE:HL_2024_Legal</v>
      </c>
      <c r="B42" s="295" t="str">
        <f t="shared" si="34"/>
        <v>NYSE:HL</v>
      </c>
      <c r="C42" s="296" t="str">
        <f>_xll.ciqfunctions.udf.CIQ(B42,"IQ_COMPANY_NAME")</f>
        <v>Hecla Mining Company</v>
      </c>
      <c r="E42" s="22"/>
      <c r="F42" s="20"/>
      <c r="G42" s="294" t="s">
        <v>661</v>
      </c>
      <c r="H42" s="262" t="str">
        <f t="shared" si="31"/>
        <v>-</v>
      </c>
      <c r="I42" s="262">
        <f>IFERROR(IF(G42="y",IF(H42&lt;&gt;"-",H42,INDEX(Raw_Data,MATCH($A42,Look_Up2,0),MATCH(I$4,Component,0))/1000*(1+'Raw Data'!$G$13)),(INDEX(Raw_Data,MATCH($A42,Look_Up2,0),MATCH(I$4,Component,0))/1000)),"-")</f>
        <v>461.31054831250003</v>
      </c>
      <c r="J42" s="22"/>
      <c r="K42" s="363"/>
      <c r="L42" s="363"/>
      <c r="M42" s="262">
        <f>IFERROR(I42*N13,"-")</f>
        <v>461.31054831250003</v>
      </c>
      <c r="N42" s="364"/>
      <c r="O42" s="22"/>
      <c r="P42" s="262">
        <f t="shared" si="32"/>
        <v>922.62109662500006</v>
      </c>
      <c r="Q42" s="21"/>
      <c r="R42" s="365"/>
      <c r="S42" s="365"/>
      <c r="T42" s="262">
        <f>IFERROR(I42*U13,"-")</f>
        <v>917.74056473705616</v>
      </c>
      <c r="U42" s="364"/>
      <c r="V42" s="22"/>
      <c r="W42" s="262">
        <f t="shared" si="33"/>
        <v>1840.3616613620561</v>
      </c>
      <c r="X42" s="364"/>
      <c r="Y42" s="22"/>
      <c r="Z42" s="22"/>
      <c r="AA42" s="262">
        <f>IFERROR(IF(SUM(W42,X13,Y13)=0,"-",SUM(W42,X13,Y13)),"-")</f>
        <v>2059.9423652220562</v>
      </c>
      <c r="AB42" s="364"/>
      <c r="AC42" s="19"/>
      <c r="AD42" s="19"/>
    </row>
    <row r="43" spans="1:37" ht="14.5">
      <c r="A43" s="295" t="e">
        <f>#REF!</f>
        <v>#REF!</v>
      </c>
      <c r="B43" s="295" t="e">
        <f>#REF!</f>
        <v>#REF!</v>
      </c>
      <c r="C43" s="296" t="str">
        <f>_xll.ciqfunctions.udf.CIQ(B43,"IQ_COMPANY_NAME")</f>
        <v>#NA</v>
      </c>
      <c r="G43" s="294" t="s">
        <v>661</v>
      </c>
      <c r="H43" s="262" t="str">
        <f t="shared" si="31"/>
        <v>-</v>
      </c>
      <c r="I43" s="262" t="str">
        <f>IFERROR(IF(G43="y",IF(H43&lt;&gt;"-",H43,INDEX(Raw_Data,MATCH($A43,Look_Up2,0),MATCH(I$4,Component,0))/1000*(1+'Raw Data'!$G$13)),(INDEX(Raw_Data,MATCH($A43,Look_Up2,0),MATCH(I$4,Component,0))/1000)),"-")</f>
        <v>-</v>
      </c>
      <c r="J43" s="366"/>
      <c r="K43" s="366"/>
      <c r="L43" s="366"/>
      <c r="M43" s="262" t="str">
        <f>IFERROR(I43*#REF!,"-")</f>
        <v>-</v>
      </c>
      <c r="N43" s="362"/>
      <c r="O43" s="366"/>
      <c r="P43" s="262" t="str">
        <f t="shared" si="32"/>
        <v>-</v>
      </c>
      <c r="Q43" s="366"/>
      <c r="R43" s="366"/>
      <c r="S43" s="366"/>
      <c r="T43" s="262" t="str">
        <f>IFERROR(I43*#REF!,"-")</f>
        <v>-</v>
      </c>
      <c r="U43" s="362"/>
      <c r="V43" s="366"/>
      <c r="W43" s="262" t="str">
        <f t="shared" si="33"/>
        <v>-</v>
      </c>
      <c r="X43" s="362"/>
      <c r="Y43" s="366"/>
      <c r="Z43" s="366"/>
      <c r="AA43" s="262" t="str">
        <f>IFERROR(IF(SUM(W43,#REF!,#REF!)=0,"-",SUM(W43,#REF!,#REF!)),"-")</f>
        <v>-</v>
      </c>
      <c r="AB43" s="362"/>
    </row>
    <row r="44" spans="1:37" ht="14.5">
      <c r="A44" s="295" t="str">
        <f>A14</f>
        <v>TSX:ELD_2024_Legal</v>
      </c>
      <c r="B44" s="295" t="str">
        <f>B14</f>
        <v>TSX:ELD</v>
      </c>
      <c r="C44" s="296" t="str">
        <f>_xll.ciqfunctions.udf.CIQ(B44,"IQ_COMPANY_NAME")</f>
        <v>Eldorado Gold Corporation</v>
      </c>
      <c r="G44" s="294" t="s">
        <v>661</v>
      </c>
      <c r="H44" s="262" t="str">
        <f t="shared" si="31"/>
        <v>-</v>
      </c>
      <c r="I44" s="262">
        <f>IFERROR(IF(G44="y",IF(H44&lt;&gt;"-",H44,INDEX(Raw_Data,MATCH($A44,Look_Up2,0),MATCH(I$4,Component,0))/1000*(1+'Raw Data'!$G$13)),(INDEX(Raw_Data,MATCH($A44,Look_Up2,0),MATCH(I$4,Component,0))/1000)),"-")</f>
        <v>487.49900000000002</v>
      </c>
      <c r="J44" s="362"/>
      <c r="K44" s="362"/>
      <c r="L44" s="362"/>
      <c r="M44" s="262">
        <f>IFERROR(I44*N14,"-")</f>
        <v>389.99920000000003</v>
      </c>
      <c r="N44" s="362"/>
      <c r="O44" s="362"/>
      <c r="P44" s="262">
        <f t="shared" si="32"/>
        <v>877.4982</v>
      </c>
      <c r="Q44" s="362"/>
      <c r="R44" s="362"/>
      <c r="S44" s="362"/>
      <c r="T44" s="262">
        <f>IFERROR(I44*U14,"-")</f>
        <v>731.24850000000004</v>
      </c>
      <c r="U44" s="362"/>
      <c r="V44" s="362"/>
      <c r="W44" s="262">
        <f t="shared" si="33"/>
        <v>1608.7467000000001</v>
      </c>
      <c r="X44" s="362"/>
      <c r="Y44" s="362"/>
      <c r="Z44" s="362"/>
      <c r="AA44" s="262">
        <f>IFERROR(IF(SUM(W44,X14,Y14)=0,"-",SUM(W44,X14,Y14)),"-")</f>
        <v>1693.9357000000002</v>
      </c>
      <c r="AB44" s="362"/>
    </row>
    <row r="45" spans="1:37" ht="14.5">
      <c r="A45" s="295" t="e">
        <f>#REF!</f>
        <v>#REF!</v>
      </c>
      <c r="B45" s="295" t="e">
        <f>#REF!</f>
        <v>#REF!</v>
      </c>
      <c r="C45" s="296" t="str">
        <f>_xll.ciqfunctions.udf.CIQ(B45,"IQ_COMPANY_NAME")</f>
        <v>#NA</v>
      </c>
      <c r="G45" s="294" t="s">
        <v>661</v>
      </c>
      <c r="H45" s="262" t="str">
        <f t="shared" si="31"/>
        <v>-</v>
      </c>
      <c r="I45" s="262" t="str">
        <f>IFERROR(IF(G45="y",IF(H45&lt;&gt;"-",H45,INDEX(Raw_Data,MATCH($A45,Look_Up2,0),MATCH(I$4,Component,0))/1000*(1+'Raw Data'!$G$13)),(INDEX(Raw_Data,MATCH($A45,Look_Up2,0),MATCH(I$4,Component,0))/1000)),"-")</f>
        <v>-</v>
      </c>
      <c r="J45" s="362"/>
      <c r="K45" s="362"/>
      <c r="L45" s="362"/>
      <c r="M45" s="262" t="str">
        <f>IFERROR(I45*#REF!,"-")</f>
        <v>-</v>
      </c>
      <c r="N45" s="362"/>
      <c r="O45" s="362"/>
      <c r="P45" s="262" t="str">
        <f t="shared" si="32"/>
        <v>-</v>
      </c>
      <c r="Q45" s="362"/>
      <c r="R45" s="362"/>
      <c r="S45" s="362"/>
      <c r="T45" s="262" t="str">
        <f>IFERROR(I45*#REF!,"-")</f>
        <v>-</v>
      </c>
      <c r="U45" s="362"/>
      <c r="V45" s="362"/>
      <c r="W45" s="262" t="str">
        <f t="shared" si="33"/>
        <v>-</v>
      </c>
      <c r="X45" s="362"/>
      <c r="Y45" s="362"/>
      <c r="Z45" s="362"/>
      <c r="AA45" s="262" t="str">
        <f>IFERROR(IF(SUM(W45,#REF!,#REF!)=0,"-",SUM(W45,#REF!,#REF!)),"-")</f>
        <v>-</v>
      </c>
      <c r="AB45" s="362"/>
    </row>
    <row r="46" spans="1:37" ht="14.5">
      <c r="A46" s="295" t="e">
        <f>#REF!</f>
        <v>#REF!</v>
      </c>
      <c r="B46" s="295" t="e">
        <f>#REF!</f>
        <v>#REF!</v>
      </c>
      <c r="C46" s="296" t="str">
        <f>_xll.ciqfunctions.udf.CIQ(B46,"IQ_COMPANY_NAME")</f>
        <v>#NA</v>
      </c>
      <c r="G46" s="294" t="s">
        <v>661</v>
      </c>
      <c r="H46" s="262" t="str">
        <f t="shared" si="31"/>
        <v>-</v>
      </c>
      <c r="I46" s="262" t="str">
        <f>IFERROR(IF(G46="y",IF(H46&lt;&gt;"-",H46,INDEX(Raw_Data,MATCH($A46,Look_Up2,0),MATCH(I$4,Component,0))/1000*(1+'Raw Data'!$G$13)),(INDEX(Raw_Data,MATCH($A46,Look_Up2,0),MATCH(I$4,Component,0))/1000)),"-")</f>
        <v>-</v>
      </c>
      <c r="J46" s="362"/>
      <c r="K46" s="362"/>
      <c r="L46" s="362"/>
      <c r="M46" s="262" t="str">
        <f>IFERROR(I46*#REF!,"-")</f>
        <v>-</v>
      </c>
      <c r="N46" s="362"/>
      <c r="O46" s="362"/>
      <c r="P46" s="262" t="str">
        <f t="shared" si="32"/>
        <v>-</v>
      </c>
      <c r="Q46" s="362"/>
      <c r="R46" s="362"/>
      <c r="S46" s="362"/>
      <c r="T46" s="262" t="str">
        <f>IFERROR(I46*#REF!,"-")</f>
        <v>-</v>
      </c>
      <c r="U46" s="362"/>
      <c r="V46" s="362"/>
      <c r="W46" s="262" t="str">
        <f t="shared" si="33"/>
        <v>-</v>
      </c>
      <c r="X46" s="362"/>
      <c r="Y46" s="362"/>
      <c r="Z46" s="362"/>
      <c r="AA46" s="262" t="str">
        <f>IFERROR(IF(SUM(W46,#REF!,#REF!)=0,"-",SUM(W46,#REF!,#REF!)),"-")</f>
        <v>-</v>
      </c>
      <c r="AB46" s="362"/>
    </row>
    <row r="47" spans="1:37" ht="14.5">
      <c r="A47" s="295" t="e">
        <f>#REF!</f>
        <v>#REF!</v>
      </c>
      <c r="B47" s="295" t="e">
        <f>#REF!</f>
        <v>#REF!</v>
      </c>
      <c r="C47" s="296" t="str">
        <f>_xll.ciqfunctions.udf.CIQ(B47,"IQ_COMPANY_NAME")</f>
        <v>#NA</v>
      </c>
      <c r="G47" s="294" t="s">
        <v>661</v>
      </c>
      <c r="H47" s="262" t="str">
        <f t="shared" si="31"/>
        <v>-</v>
      </c>
      <c r="I47" s="262" t="str">
        <f>IFERROR(IF(G47="y",IF(H47&lt;&gt;"-",H47,INDEX(Raw_Data,MATCH($A47,Look_Up2,0),MATCH(I$4,Component,0))/1000*(1+'Raw Data'!$G$13)),(INDEX(Raw_Data,MATCH($A47,Look_Up2,0),MATCH(I$4,Component,0))/1000)),"-")</f>
        <v>-</v>
      </c>
      <c r="J47" s="362"/>
      <c r="K47" s="362"/>
      <c r="L47" s="362"/>
      <c r="M47" s="262" t="str">
        <f>IFERROR(I47*#REF!,"-")</f>
        <v>-</v>
      </c>
      <c r="N47" s="362"/>
      <c r="O47" s="362"/>
      <c r="P47" s="262" t="str">
        <f t="shared" si="32"/>
        <v>-</v>
      </c>
      <c r="Q47" s="362"/>
      <c r="R47" s="362"/>
      <c r="S47" s="362"/>
      <c r="T47" s="262" t="str">
        <f>IFERROR(I47*#REF!,"-")</f>
        <v>-</v>
      </c>
      <c r="U47" s="362"/>
      <c r="V47" s="362"/>
      <c r="W47" s="262" t="str">
        <f t="shared" si="33"/>
        <v>-</v>
      </c>
      <c r="X47" s="362"/>
      <c r="Y47" s="362"/>
      <c r="Z47" s="362"/>
      <c r="AA47" s="262" t="str">
        <f>IFERROR(IF(SUM(W47,#REF!,#REF!)=0,"-",SUM(W47,#REF!,#REF!)),"-")</f>
        <v>-</v>
      </c>
      <c r="AB47" s="362"/>
    </row>
    <row r="48" spans="1:37" ht="14.5">
      <c r="A48" s="295" t="str">
        <f>A15</f>
        <v>TSX:CG_2024_Legal</v>
      </c>
      <c r="B48" s="295" t="str">
        <f>B15</f>
        <v>TSX:CG</v>
      </c>
      <c r="C48" s="296" t="str">
        <f>_xll.ciqfunctions.udf.CIQ(B48,"IQ_COMPANY_NAME")</f>
        <v>Centerra Gold Inc.</v>
      </c>
      <c r="G48" s="294" t="s">
        <v>661</v>
      </c>
      <c r="H48" s="262" t="str">
        <f t="shared" si="31"/>
        <v>-</v>
      </c>
      <c r="I48" s="262">
        <f>IFERROR(IF(G48="y",IF(H48&lt;&gt;"-",H48,INDEX(Raw_Data,MATCH($A48,Look_Up2,0),MATCH(I$4,Component,0))/1000*(1+'Raw Data'!$G$13)),(INDEX(Raw_Data,MATCH($A48,Look_Up2,0),MATCH(I$4,Component,0))/1000)),"-")</f>
        <v>458.35</v>
      </c>
      <c r="J48" s="362"/>
      <c r="K48" s="362"/>
      <c r="L48" s="362"/>
      <c r="M48" s="262">
        <f>IFERROR(I48*N15,"-")</f>
        <v>297.92750000000001</v>
      </c>
      <c r="N48" s="362"/>
      <c r="O48" s="362"/>
      <c r="P48" s="262">
        <f t="shared" si="32"/>
        <v>756.27750000000003</v>
      </c>
      <c r="Q48" s="362"/>
      <c r="R48" s="362"/>
      <c r="S48" s="362"/>
      <c r="T48" s="262">
        <f>IFERROR(I48*U15,"-")</f>
        <v>733.36000000000013</v>
      </c>
      <c r="U48" s="362"/>
      <c r="V48" s="362"/>
      <c r="W48" s="262">
        <f t="shared" si="33"/>
        <v>1489.6375000000003</v>
      </c>
      <c r="X48" s="362"/>
      <c r="Y48" s="362"/>
      <c r="Z48" s="362"/>
      <c r="AA48" s="262">
        <f>IFERROR(IF(SUM(W48,X15,Y15)=0,"-",SUM(W48,X15,Y15)),"-")</f>
        <v>1649.2285000000002</v>
      </c>
      <c r="AB48" s="362"/>
    </row>
    <row r="49" spans="1:28" ht="14.5">
      <c r="A49" s="295" t="e">
        <f>#REF!</f>
        <v>#REF!</v>
      </c>
      <c r="B49" s="295" t="e">
        <f>#REF!</f>
        <v>#REF!</v>
      </c>
      <c r="C49" s="296" t="str">
        <f>_xll.ciqfunctions.udf.CIQ(B49,"IQ_COMPANY_NAME")</f>
        <v>#NA</v>
      </c>
      <c r="G49" s="294" t="s">
        <v>661</v>
      </c>
      <c r="H49" s="262" t="str">
        <f t="shared" si="31"/>
        <v>-</v>
      </c>
      <c r="I49" s="262" t="str">
        <f>IFERROR(IF(G49="y",IF(H49&lt;&gt;"-",H49,INDEX(Raw_Data,MATCH($A49,Look_Up2,0),MATCH(I$4,Component,0))/1000*(1+'Raw Data'!$G$13)),(INDEX(Raw_Data,MATCH($A49,Look_Up2,0),MATCH(I$4,Component,0))/1000)),"-")</f>
        <v>-</v>
      </c>
      <c r="J49" s="362"/>
      <c r="K49" s="362"/>
      <c r="L49" s="362"/>
      <c r="M49" s="262" t="str">
        <f>IFERROR(I49*#REF!,"-")</f>
        <v>-</v>
      </c>
      <c r="N49" s="362"/>
      <c r="O49" s="362"/>
      <c r="P49" s="262" t="str">
        <f t="shared" si="32"/>
        <v>-</v>
      </c>
      <c r="Q49" s="362"/>
      <c r="R49" s="362"/>
      <c r="S49" s="362"/>
      <c r="T49" s="262" t="str">
        <f>IFERROR(I49*#REF!,"-")</f>
        <v>-</v>
      </c>
      <c r="U49" s="362"/>
      <c r="V49" s="362"/>
      <c r="W49" s="262" t="str">
        <f t="shared" si="33"/>
        <v>-</v>
      </c>
      <c r="X49" s="362"/>
      <c r="Y49" s="362"/>
      <c r="Z49" s="362"/>
      <c r="AA49" s="262" t="str">
        <f>IFERROR(IF(SUM(W49,#REF!,#REF!)=0,"-",SUM(W49,#REF!,#REF!)),"-")</f>
        <v>-</v>
      </c>
      <c r="AB49" s="362"/>
    </row>
    <row r="50" spans="1:28" ht="14.5">
      <c r="A50" s="295" t="e">
        <f>#REF!</f>
        <v>#REF!</v>
      </c>
      <c r="B50" s="295" t="e">
        <f>#REF!</f>
        <v>#REF!</v>
      </c>
      <c r="C50" s="296" t="str">
        <f>_xll.ciqfunctions.udf.CIQ(B50,"IQ_COMPANY_NAME")</f>
        <v>#NA</v>
      </c>
      <c r="G50" s="294" t="s">
        <v>661</v>
      </c>
      <c r="H50" s="262" t="str">
        <f t="shared" si="31"/>
        <v>-</v>
      </c>
      <c r="I50" s="262" t="str">
        <f>IFERROR(IF(G50="y",IF(H50&lt;&gt;"-",H50,INDEX(Raw_Data,MATCH($A50,Look_Up2,0),MATCH(I$4,Component,0))/1000*(1+'Raw Data'!$G$13)),(INDEX(Raw_Data,MATCH($A50,Look_Up2,0),MATCH(I$4,Component,0))/1000)),"-")</f>
        <v>-</v>
      </c>
      <c r="J50" s="362"/>
      <c r="K50" s="362"/>
      <c r="L50" s="362"/>
      <c r="M50" s="262" t="str">
        <f>IFERROR(I50*#REF!,"-")</f>
        <v>-</v>
      </c>
      <c r="N50" s="362"/>
      <c r="O50" s="362"/>
      <c r="P50" s="262" t="str">
        <f t="shared" si="32"/>
        <v>-</v>
      </c>
      <c r="Q50" s="362"/>
      <c r="R50" s="362"/>
      <c r="S50" s="362"/>
      <c r="T50" s="262" t="str">
        <f>IFERROR(I50*#REF!,"-")</f>
        <v>-</v>
      </c>
      <c r="U50" s="362"/>
      <c r="V50" s="362"/>
      <c r="W50" s="262" t="str">
        <f t="shared" si="33"/>
        <v>-</v>
      </c>
      <c r="X50" s="362"/>
      <c r="Y50" s="362"/>
      <c r="Z50" s="362"/>
      <c r="AA50" s="262" t="str">
        <f>IFERROR(IF(SUM(W50,#REF!,#REF!)=0,"-",SUM(W50,#REF!,#REF!)),"-")</f>
        <v>-</v>
      </c>
      <c r="AB50" s="362"/>
    </row>
    <row r="51" spans="1:28" ht="14.5">
      <c r="A51" s="295" t="e">
        <f>#REF!</f>
        <v>#REF!</v>
      </c>
      <c r="B51" s="295" t="e">
        <f>#REF!</f>
        <v>#REF!</v>
      </c>
      <c r="C51" s="296" t="str">
        <f>_xll.ciqfunctions.udf.CIQ(B51,"IQ_COMPANY_NAME")</f>
        <v>#NA</v>
      </c>
      <c r="G51" s="294" t="s">
        <v>661</v>
      </c>
      <c r="H51" s="262" t="str">
        <f t="shared" si="31"/>
        <v>-</v>
      </c>
      <c r="I51" s="262" t="str">
        <f>IFERROR(IF(G51="y",IF(H51&lt;&gt;"-",H51,INDEX(Raw_Data,MATCH($A51,Look_Up2,0),MATCH(I$4,Component,0))/1000*(1+'Raw Data'!$G$13)),(INDEX(Raw_Data,MATCH($A51,Look_Up2,0),MATCH(I$4,Component,0))/1000)),"-")</f>
        <v>-</v>
      </c>
      <c r="J51" s="362"/>
      <c r="K51" s="362"/>
      <c r="L51" s="362"/>
      <c r="M51" s="262" t="str">
        <f>IFERROR(I51*#REF!,"-")</f>
        <v>-</v>
      </c>
      <c r="N51" s="362"/>
      <c r="O51" s="362"/>
      <c r="P51" s="262" t="str">
        <f t="shared" si="32"/>
        <v>-</v>
      </c>
      <c r="Q51" s="362"/>
      <c r="R51" s="362"/>
      <c r="S51" s="362"/>
      <c r="T51" s="262" t="str">
        <f>IFERROR(I51*#REF!,"-")</f>
        <v>-</v>
      </c>
      <c r="U51" s="362"/>
      <c r="V51" s="362"/>
      <c r="W51" s="262" t="str">
        <f t="shared" si="33"/>
        <v>-</v>
      </c>
      <c r="X51" s="362"/>
      <c r="Y51" s="362"/>
      <c r="Z51" s="362"/>
      <c r="AA51" s="262" t="str">
        <f>IFERROR(IF(SUM(W51,#REF!,#REF!)=0,"-",SUM(W51,#REF!,#REF!)),"-")</f>
        <v>-</v>
      </c>
      <c r="AB51" s="362"/>
    </row>
    <row r="52" spans="1:28" ht="14.5">
      <c r="A52" s="295" t="e">
        <f>#REF!</f>
        <v>#REF!</v>
      </c>
      <c r="B52" s="295" t="e">
        <f>#REF!</f>
        <v>#REF!</v>
      </c>
      <c r="C52" s="296" t="str">
        <f>_xll.ciqfunctions.udf.CIQ(B52,"IQ_COMPANY_NAME")</f>
        <v>#NA</v>
      </c>
      <c r="G52" s="294" t="s">
        <v>661</v>
      </c>
      <c r="H52" s="262" t="str">
        <f t="shared" si="31"/>
        <v>-</v>
      </c>
      <c r="I52" s="262" t="str">
        <f>IFERROR(IF(G52="y",IF(H52&lt;&gt;"-",H52,INDEX(Raw_Data,MATCH($A52,Look_Up2,0),MATCH(I$4,Component,0))/1000*(1+'Raw Data'!$G$13)),(INDEX(Raw_Data,MATCH($A52,Look_Up2,0),MATCH(I$4,Component,0))/1000)),"-")</f>
        <v>-</v>
      </c>
      <c r="J52" s="362"/>
      <c r="K52" s="362"/>
      <c r="L52" s="362"/>
      <c r="M52" s="262" t="str">
        <f>IFERROR(I52*#REF!,"-")</f>
        <v>-</v>
      </c>
      <c r="N52" s="362"/>
      <c r="O52" s="362"/>
      <c r="P52" s="262" t="str">
        <f t="shared" si="32"/>
        <v>-</v>
      </c>
      <c r="Q52" s="362"/>
      <c r="R52" s="362"/>
      <c r="S52" s="362"/>
      <c r="T52" s="262" t="str">
        <f>IFERROR(I52*#REF!,"-")</f>
        <v>-</v>
      </c>
      <c r="U52" s="362"/>
      <c r="V52" s="362"/>
      <c r="W52" s="262" t="str">
        <f t="shared" si="33"/>
        <v>-</v>
      </c>
      <c r="X52" s="362"/>
      <c r="Y52" s="362"/>
      <c r="Z52" s="362"/>
      <c r="AA52" s="262" t="str">
        <f>IFERROR(IF(SUM(W52,#REF!,#REF!)=0,"-",SUM(W52,#REF!,#REF!)),"-")</f>
        <v>-</v>
      </c>
      <c r="AB52" s="362"/>
    </row>
    <row r="53" spans="1:28" ht="14.5">
      <c r="A53" s="295" t="e">
        <f>#REF!</f>
        <v>#REF!</v>
      </c>
      <c r="B53" s="295" t="e">
        <f>#REF!</f>
        <v>#REF!</v>
      </c>
      <c r="C53" s="296" t="str">
        <f>_xll.ciqfunctions.udf.CIQ(B53,"IQ_COMPANY_NAME")</f>
        <v>#NA</v>
      </c>
      <c r="G53" s="294" t="s">
        <v>661</v>
      </c>
      <c r="H53" s="262" t="str">
        <f t="shared" si="31"/>
        <v>-</v>
      </c>
      <c r="I53" s="262" t="str">
        <f>IFERROR(IF(G53="y",IF(H53&lt;&gt;"-",H53,INDEX(Raw_Data,MATCH($A53,Look_Up2,0),MATCH(I$4,Component,0))/1000*(1+'Raw Data'!$G$13)),(INDEX(Raw_Data,MATCH($A53,Look_Up2,0),MATCH(I$4,Component,0))/1000)),"-")</f>
        <v>-</v>
      </c>
      <c r="J53" s="362"/>
      <c r="K53" s="362"/>
      <c r="L53" s="362"/>
      <c r="M53" s="262" t="str">
        <f>IFERROR(I53*#REF!,"-")</f>
        <v>-</v>
      </c>
      <c r="N53" s="362"/>
      <c r="O53" s="362"/>
      <c r="P53" s="262" t="str">
        <f t="shared" si="32"/>
        <v>-</v>
      </c>
      <c r="Q53" s="362"/>
      <c r="R53" s="362"/>
      <c r="S53" s="362"/>
      <c r="T53" s="262" t="str">
        <f>IFERROR(I53*#REF!,"-")</f>
        <v>-</v>
      </c>
      <c r="U53" s="362"/>
      <c r="V53" s="362"/>
      <c r="W53" s="262" t="str">
        <f t="shared" si="33"/>
        <v>-</v>
      </c>
      <c r="X53" s="362"/>
      <c r="Y53" s="362"/>
      <c r="Z53" s="362"/>
      <c r="AA53" s="262" t="str">
        <f>IFERROR(IF(SUM(W53,#REF!,#REF!)=0,"-",SUM(W53,#REF!,#REF!)),"-")</f>
        <v>-</v>
      </c>
      <c r="AB53" s="362"/>
    </row>
    <row r="54" spans="1:28" ht="14.5">
      <c r="A54" s="295" t="e">
        <f>#REF!</f>
        <v>#REF!</v>
      </c>
      <c r="B54" s="295" t="e">
        <f>#REF!</f>
        <v>#REF!</v>
      </c>
      <c r="C54" s="296" t="str">
        <f>_xll.ciqfunctions.udf.CIQ(B54,"IQ_COMPANY_NAME")</f>
        <v>#NA</v>
      </c>
      <c r="G54" s="294" t="s">
        <v>661</v>
      </c>
      <c r="H54" s="304" t="str">
        <f t="shared" si="31"/>
        <v>-</v>
      </c>
      <c r="I54" s="262" t="str">
        <f>IFERROR(IF(G54="y",IF(H54&lt;&gt;"-",H54,INDEX(Raw_Data,MATCH($A54,Look_Up2,0),MATCH(I$4,Component,0))/1000*(1+'Raw Data'!$G$13)),(INDEX(Raw_Data,MATCH($A54,Look_Up2,0),MATCH(I$4,Component,0))/1000)),"-")</f>
        <v>-</v>
      </c>
      <c r="J54" s="362"/>
      <c r="K54" s="362"/>
      <c r="L54" s="362"/>
      <c r="M54" s="262" t="str">
        <f>IFERROR(I54*#REF!,"-")</f>
        <v>-</v>
      </c>
      <c r="N54" s="362"/>
      <c r="O54" s="362"/>
      <c r="P54" s="304" t="str">
        <f t="shared" si="32"/>
        <v>-</v>
      </c>
      <c r="Q54" s="362"/>
      <c r="R54" s="362"/>
      <c r="S54" s="362"/>
      <c r="T54" s="262" t="str">
        <f>IFERROR(I54*#REF!,"-")</f>
        <v>-</v>
      </c>
      <c r="U54" s="362"/>
      <c r="V54" s="362"/>
      <c r="W54" s="304" t="str">
        <f t="shared" si="33"/>
        <v>-</v>
      </c>
      <c r="X54" s="362"/>
      <c r="Y54" s="362"/>
      <c r="Z54" s="362"/>
      <c r="AA54" s="304" t="str">
        <f>IFERROR(IF(SUM(W54,#REF!,#REF!)=0,"-",SUM(W54,#REF!,#REF!)),"-")</f>
        <v>-</v>
      </c>
      <c r="AB54" s="362"/>
    </row>
    <row r="55" spans="1:28" ht="14.5">
      <c r="A55" s="15"/>
      <c r="B55" s="15"/>
      <c r="I55" s="288"/>
      <c r="M55" s="288"/>
      <c r="P55" s="288"/>
      <c r="T55" s="288"/>
      <c r="W55" s="288"/>
      <c r="AA55" s="288"/>
    </row>
    <row r="56" spans="1:28" ht="14.5">
      <c r="A56" s="15"/>
      <c r="B56" s="15"/>
      <c r="I56" s="262">
        <f>PERCENTILE(I$35:I$54,$B17)</f>
        <v>633.4375</v>
      </c>
      <c r="M56" s="262">
        <f>PERCENTILE(M$35:M$54,$B17)</f>
        <v>475.078125</v>
      </c>
      <c r="P56" s="262">
        <f>PERCENTILE(P$35:P$54,$B17)</f>
        <v>1108.515625</v>
      </c>
      <c r="T56" s="262">
        <f>PERCENTILE(T$35:T$54,$B17)</f>
        <v>1047.6930235527921</v>
      </c>
      <c r="W56" s="262">
        <f>PERCENTILE(W$35:W$54,$B17)</f>
        <v>2154.5281529310505</v>
      </c>
      <c r="AA56" s="262">
        <f>PERCENTILE(AA$35:AA$54,$B17)</f>
        <v>2432.1550940763918</v>
      </c>
    </row>
    <row r="57" spans="1:28" ht="14.5">
      <c r="A57" s="15"/>
      <c r="B57" s="15"/>
      <c r="I57" s="266">
        <f>PERCENTILE(I$35:I$54,$B18)</f>
        <v>476.30702000000002</v>
      </c>
      <c r="M57" s="266">
        <f>PERCENTILE(M$35:M$54,$B18)</f>
        <v>425.65487415625</v>
      </c>
      <c r="P57" s="266">
        <f>PERCENTILE(P$35:P$54,$B18)</f>
        <v>900.05964831250003</v>
      </c>
      <c r="T57" s="266">
        <f>PERCENTILE(T$35:T$54,$B18)</f>
        <v>816.16076862070054</v>
      </c>
      <c r="W57" s="266">
        <f>PERCENTILE(W$35:W$54,$B18)</f>
        <v>1724.5541806810281</v>
      </c>
      <c r="AA57" s="266">
        <f>PERCENTILE(AA$35:AA$54,$B18)</f>
        <v>1876.9390326110283</v>
      </c>
    </row>
    <row r="58" spans="1:28" ht="14.5">
      <c r="A58" s="15"/>
      <c r="B58" s="15"/>
      <c r="I58" s="262">
        <f>PERCENTILE(I$35:I$54,$B19)</f>
        <v>462.878477078125</v>
      </c>
      <c r="M58" s="262">
        <f>PERCENTILE(M$35:M$54,$B19)</f>
        <v>336.929892</v>
      </c>
      <c r="P58" s="262">
        <f>PERCENTILE(P$35:P$54,$B19)</f>
        <v>801.61645199999998</v>
      </c>
      <c r="T58" s="262">
        <f>PERCENTILE(T$35:T$54,$B19)</f>
        <v>722.85451499999999</v>
      </c>
      <c r="W58" s="262">
        <f>PERCENTILE(W$35:W$54,$B19)</f>
        <v>1506.127285</v>
      </c>
      <c r="AA58" s="262">
        <f>PERCENTILE(AA$35:AA$54,$B19)</f>
        <v>1633.0278450000001</v>
      </c>
    </row>
    <row r="59" spans="1:28" ht="14.5">
      <c r="A59" s="15"/>
      <c r="B59" s="15"/>
      <c r="I59" s="270">
        <f>AVERAGE(I35:I54)</f>
        <v>532.85721353906251</v>
      </c>
      <c r="M59" s="270">
        <f>AVERAGE(M35:M54)</f>
        <v>409.66779453906258</v>
      </c>
      <c r="P59" s="270">
        <f>AVERAGE(P35:P54)</f>
        <v>942.52500807812498</v>
      </c>
      <c r="T59" s="270">
        <f>AVERAGE(T35:T54)</f>
        <v>970.84945681372778</v>
      </c>
      <c r="W59" s="270">
        <f>AVERAGE(W35:W54)</f>
        <v>1913.374464891853</v>
      </c>
      <c r="AA59" s="270">
        <f>AVERAGE(AA35:AA54)</f>
        <v>2059.2209540431031</v>
      </c>
    </row>
    <row r="60" spans="1:28">
      <c r="A60" s="15"/>
      <c r="B60" s="15"/>
    </row>
    <row r="63" spans="1:28">
      <c r="C63" s="12" t="s">
        <v>677</v>
      </c>
      <c r="F63" s="12" t="e">
        <f>_xlfn.XLOOKUP(C63,$C$8:$C$15,$F$8:$F$15)</f>
        <v>#N/A</v>
      </c>
      <c r="G63" s="12" t="s">
        <v>682</v>
      </c>
    </row>
    <row r="64" spans="1:28">
      <c r="C64" s="12" t="s">
        <v>494</v>
      </c>
      <c r="F64" s="12" t="str">
        <f t="shared" ref="F64:F77" si="35">_xlfn.XLOOKUP(C64,$C$8:$C$15,$F$8:$F$15)</f>
        <v>Christopher Lemon</v>
      </c>
      <c r="G64" s="12" t="s">
        <v>388</v>
      </c>
    </row>
    <row r="65" spans="3:9">
      <c r="C65" s="12" t="s">
        <v>534</v>
      </c>
      <c r="F65" s="12" t="str">
        <f t="shared" si="35"/>
        <v>Peter Brady</v>
      </c>
      <c r="G65" s="12" t="s">
        <v>363</v>
      </c>
    </row>
    <row r="66" spans="3:9">
      <c r="C66" s="12" t="s">
        <v>495</v>
      </c>
      <c r="F66" s="12" t="e">
        <f t="shared" si="35"/>
        <v>#N/A</v>
      </c>
      <c r="G66" s="12" t="s">
        <v>578</v>
      </c>
      <c r="I66" s="12" t="s">
        <v>790</v>
      </c>
    </row>
    <row r="67" spans="3:9">
      <c r="C67" s="12" t="s">
        <v>496</v>
      </c>
      <c r="F67" s="12" t="str">
        <f t="shared" si="35"/>
        <v>Randall Chatwin</v>
      </c>
      <c r="G67" s="12" t="s">
        <v>579</v>
      </c>
    </row>
    <row r="68" spans="3:9">
      <c r="C68" s="12" t="s">
        <v>497</v>
      </c>
      <c r="F68" s="12" t="str">
        <f t="shared" si="35"/>
        <v>Wendy King</v>
      </c>
      <c r="G68" s="12" t="s">
        <v>398</v>
      </c>
    </row>
    <row r="69" spans="3:9">
      <c r="C69" s="12" t="s">
        <v>498</v>
      </c>
      <c r="F69" s="12" t="str">
        <f t="shared" si="35"/>
        <v>David C. Sienko</v>
      </c>
      <c r="G69" s="12" t="s">
        <v>580</v>
      </c>
    </row>
    <row r="70" spans="3:9">
      <c r="C70" s="12" t="s">
        <v>499</v>
      </c>
      <c r="F70" s="12" t="e">
        <f t="shared" si="35"/>
        <v>#N/A</v>
      </c>
      <c r="G70" s="12" t="s">
        <v>581</v>
      </c>
      <c r="I70" s="12" t="s">
        <v>791</v>
      </c>
    </row>
    <row r="71" spans="3:9">
      <c r="C71" s="12" t="s">
        <v>500</v>
      </c>
      <c r="F71" s="12" t="str">
        <f t="shared" si="35"/>
        <v>Frank Herbert</v>
      </c>
      <c r="G71" s="12" t="s">
        <v>582</v>
      </c>
    </row>
    <row r="72" spans="3:9">
      <c r="C72" s="12" t="s">
        <v>501</v>
      </c>
      <c r="F72" s="12" t="str">
        <f t="shared" si="35"/>
        <v>Tim Bradburn</v>
      </c>
      <c r="G72" s="12" t="s">
        <v>295</v>
      </c>
    </row>
    <row r="73" spans="3:9">
      <c r="F73" s="12" t="e">
        <f t="shared" si="35"/>
        <v>#N/A</v>
      </c>
    </row>
    <row r="74" spans="3:9">
      <c r="C74" s="12" t="s">
        <v>78</v>
      </c>
      <c r="F74" s="12" t="e">
        <f t="shared" si="35"/>
        <v>#N/A</v>
      </c>
      <c r="G74" s="12" t="s">
        <v>78</v>
      </c>
    </row>
    <row r="75" spans="3:9">
      <c r="C75" s="12" t="s">
        <v>503</v>
      </c>
      <c r="F75" s="12" t="e">
        <f t="shared" si="35"/>
        <v>#N/A</v>
      </c>
      <c r="G75" s="12" t="s">
        <v>583</v>
      </c>
      <c r="I75" s="12" t="s">
        <v>790</v>
      </c>
    </row>
    <row r="76" spans="3:9">
      <c r="C76" s="12" t="s">
        <v>504</v>
      </c>
      <c r="F76" s="12" t="str">
        <f t="shared" si="35"/>
        <v>Yousef Rehman</v>
      </c>
      <c r="G76" s="12" t="s">
        <v>584</v>
      </c>
    </row>
    <row r="77" spans="3:9">
      <c r="C77" s="12" t="s">
        <v>505</v>
      </c>
      <c r="F77" s="12" t="e">
        <f t="shared" si="35"/>
        <v>#N/A</v>
      </c>
      <c r="G77" s="12" t="s">
        <v>585</v>
      </c>
      <c r="I77" s="12" t="s">
        <v>790</v>
      </c>
    </row>
  </sheetData>
  <sortState xmlns:xlrd2="http://schemas.microsoft.com/office/spreadsheetml/2017/richdata2" ref="A8:AQ15">
    <sortCondition descending="1" ref="E8:E15"/>
  </sortState>
  <mergeCells count="10">
    <mergeCell ref="I6:I7"/>
    <mergeCell ref="X6:X7"/>
    <mergeCell ref="Y6:Y7"/>
    <mergeCell ref="Z6:AA6"/>
    <mergeCell ref="H6:H7"/>
    <mergeCell ref="C6:C7"/>
    <mergeCell ref="D6:D7"/>
    <mergeCell ref="E6:E7"/>
    <mergeCell ref="F6:F7"/>
    <mergeCell ref="G6:G7"/>
  </mergeCells>
  <conditionalFormatting sqref="C8:AA15 C17:AA20">
    <cfRule type="expression" dxfId="89" priority="3">
      <formula>MOD(ROW(),2)=0</formula>
    </cfRule>
  </conditionalFormatting>
  <conditionalFormatting sqref="C22:AA25">
    <cfRule type="expression" dxfId="88" priority="1">
      <formula>MOD(ROW(),2)=0</formula>
    </cfRule>
  </conditionalFormatting>
  <conditionalFormatting sqref="H35:I54">
    <cfRule type="expression" dxfId="87" priority="48">
      <formula>MOD(ROW(),2)=0</formula>
    </cfRule>
  </conditionalFormatting>
  <conditionalFormatting sqref="I56:I59">
    <cfRule type="expression" dxfId="86" priority="53">
      <formula>MOD(ROW(),2)=0</formula>
    </cfRule>
  </conditionalFormatting>
  <conditionalFormatting sqref="M35:M54">
    <cfRule type="expression" dxfId="85" priority="56">
      <formula>MOD(ROW(),2)=0</formula>
    </cfRule>
  </conditionalFormatting>
  <conditionalFormatting sqref="M56:M59">
    <cfRule type="expression" dxfId="84" priority="52">
      <formula>MOD(ROW(),2)=0</formula>
    </cfRule>
  </conditionalFormatting>
  <conditionalFormatting sqref="P35:P54">
    <cfRule type="expression" dxfId="83" priority="55">
      <formula>MOD(ROW(),2)=0</formula>
    </cfRule>
  </conditionalFormatting>
  <conditionalFormatting sqref="P56:P59">
    <cfRule type="expression" dxfId="82" priority="51">
      <formula>MOD(ROW(),2)=0</formula>
    </cfRule>
  </conditionalFormatting>
  <conditionalFormatting sqref="T35:T54">
    <cfRule type="expression" dxfId="81" priority="54">
      <formula>MOD(ROW(),2)=0</formula>
    </cfRule>
  </conditionalFormatting>
  <conditionalFormatting sqref="T56:T59">
    <cfRule type="expression" dxfId="80" priority="50">
      <formula>MOD(ROW(),2)=0</formula>
    </cfRule>
  </conditionalFormatting>
  <conditionalFormatting sqref="W35:W54">
    <cfRule type="expression" dxfId="79" priority="46">
      <formula>MOD(ROW(),2)=0</formula>
    </cfRule>
  </conditionalFormatting>
  <conditionalFormatting sqref="W56:W59">
    <cfRule type="expression" dxfId="78" priority="49">
      <formula>MOD(ROW(),2)=0</formula>
    </cfRule>
  </conditionalFormatting>
  <conditionalFormatting sqref="AA35:AA54">
    <cfRule type="expression" dxfId="77" priority="43">
      <formula>MOD(ROW(),2)=0</formula>
    </cfRule>
  </conditionalFormatting>
  <conditionalFormatting sqref="AA56:AA59">
    <cfRule type="expression" dxfId="76" priority="44">
      <formula>MOD(ROW(),2)=0</formula>
    </cfRule>
  </conditionalFormatting>
  <conditionalFormatting sqref="AC8:AD15 AG8:AK15 AN8:AN15">
    <cfRule type="expression" dxfId="75" priority="14">
      <formula>MOD(ROW(),2)=0</formula>
    </cfRule>
  </conditionalFormatting>
  <conditionalFormatting sqref="AC17:AD25">
    <cfRule type="expression" dxfId="74" priority="16">
      <formula>MOD(ROW(),2)=0</formula>
    </cfRule>
  </conditionalFormatting>
  <conditionalFormatting sqref="AL8:AM8 AL9 AL10:AM14 AL15">
    <cfRule type="expression" dxfId="73" priority="12">
      <formula>MOD(ROW(),2)=0</formula>
    </cfRule>
  </conditionalFormatting>
  <conditionalFormatting sqref="AL8:AM15">
    <cfRule type="expression" dxfId="72" priority="11">
      <formula>$AJ8="Y"</formula>
    </cfRule>
  </conditionalFormatting>
  <conditionalFormatting sqref="AL17:AM21">
    <cfRule type="expression" dxfId="71" priority="13">
      <formula>MOD(ROW(),2)=0</formula>
    </cfRule>
  </conditionalFormatting>
  <conditionalFormatting sqref="AN17:AN20">
    <cfRule type="expression" dxfId="70" priority="40">
      <formula>MOD(ROW(),2)=0</formula>
    </cfRule>
  </conditionalFormatting>
  <conditionalFormatting sqref="AQ17:AQ30">
    <cfRule type="expression" dxfId="69" priority="23">
      <formula>MOD(ROW(),2)=0</formula>
    </cfRule>
  </conditionalFormatting>
  <dataValidations disablePrompts="1" count="1">
    <dataValidation type="list" allowBlank="1" showInputMessage="1" showErrorMessage="1" sqref="G35:G54" xr:uid="{5F093902-D813-4A2B-A470-7A0B635751EF}">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78F7-1795-4EEA-A533-9E6DE3374C3A}">
  <sheetPr>
    <tabColor theme="2" tint="0.749992370372631"/>
    <pageSetUpPr fitToPage="1"/>
  </sheetPr>
  <dimension ref="A1:AP71"/>
  <sheetViews>
    <sheetView topLeftCell="A5" zoomScale="70" zoomScaleNormal="70" workbookViewId="0">
      <selection activeCell="X39" sqref="X39"/>
    </sheetView>
  </sheetViews>
  <sheetFormatPr defaultColWidth="9.1796875" defaultRowHeight="14" outlineLevelRow="1" outlineLevelCol="3"/>
  <cols>
    <col min="1" max="1" width="20" style="12" customWidth="1"/>
    <col min="2" max="2" width="8.1796875" style="12" customWidth="1"/>
    <col min="3" max="3" width="26.1796875" style="12" bestFit="1" customWidth="1"/>
    <col min="4" max="5" width="14.453125" style="12" hidden="1" customWidth="1" outlineLevel="1"/>
    <col min="6" max="6" width="20" style="12" bestFit="1" customWidth="1" outlineLevel="1"/>
    <col min="7" max="7" width="35.54296875" style="12" bestFit="1" customWidth="1"/>
    <col min="8" max="8" width="5.7265625" style="12" hidden="1" customWidth="1" outlineLevel="1"/>
    <col min="9" max="9" width="11.54296875" style="12" customWidth="1" collapsed="1"/>
    <col min="10" max="10" width="8" style="12" hidden="1" customWidth="1" outlineLevel="1"/>
    <col min="11" max="11" width="8.54296875" style="12" hidden="1" customWidth="1" outlineLevel="1"/>
    <col min="12" max="12" width="12.453125" style="12" hidden="1" customWidth="1" outlineLevel="1"/>
    <col min="13" max="13" width="11.54296875" style="12" customWidth="1" collapsed="1"/>
    <col min="14" max="16" width="11.54296875" style="12" customWidth="1"/>
    <col min="17" max="17" width="8" style="12" hidden="1" customWidth="1" outlineLevel="1"/>
    <col min="18" max="18" width="8.1796875" style="12" hidden="1" customWidth="1" outlineLevel="1"/>
    <col min="19" max="19" width="12.26953125" style="12" hidden="1" customWidth="1" outlineLevel="1"/>
    <col min="20" max="20" width="11.54296875" style="12" customWidth="1" collapsed="1"/>
    <col min="21" max="23" width="11.5429687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3" width="26.1796875" style="12" hidden="1" customWidth="1" outlineLevel="1"/>
    <col min="34"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0" style="12" customWidth="1" collapsed="1"/>
    <col min="39" max="39" width="10" style="12" customWidth="1"/>
    <col min="40" max="40" width="16" style="12" bestFit="1" customWidth="1"/>
    <col min="41" max="16384" width="9.1796875" style="12"/>
  </cols>
  <sheetData>
    <row r="1" spans="1:42" s="48" customFormat="1" ht="17.25" customHeight="1">
      <c r="A1" s="111">
        <v>45852</v>
      </c>
    </row>
    <row r="2" spans="1:42">
      <c r="A2" s="12" t="s">
        <v>2</v>
      </c>
      <c r="B2" s="49" t="s">
        <v>24</v>
      </c>
      <c r="C2" s="53" t="s">
        <v>277</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COO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11" t="s">
        <v>22</v>
      </c>
      <c r="D6" s="1113" t="s">
        <v>21</v>
      </c>
      <c r="E6" s="1113" t="s">
        <v>20</v>
      </c>
      <c r="F6" s="1113" t="s">
        <v>19</v>
      </c>
      <c r="G6" s="1113" t="s">
        <v>18</v>
      </c>
      <c r="H6" s="1115" t="s">
        <v>114</v>
      </c>
      <c r="I6" s="1115" t="s">
        <v>17</v>
      </c>
      <c r="J6" s="919" t="s">
        <v>16</v>
      </c>
      <c r="K6" s="919"/>
      <c r="L6" s="919"/>
      <c r="M6" s="919" t="s">
        <v>16</v>
      </c>
      <c r="N6" s="919"/>
      <c r="O6" s="919" t="s">
        <v>15</v>
      </c>
      <c r="P6" s="919"/>
      <c r="Q6" s="919" t="s">
        <v>14</v>
      </c>
      <c r="R6" s="919"/>
      <c r="S6" s="919"/>
      <c r="T6" s="919" t="s">
        <v>14</v>
      </c>
      <c r="U6" s="919"/>
      <c r="V6" s="919" t="s">
        <v>656</v>
      </c>
      <c r="W6" s="919"/>
      <c r="X6" s="1127" t="s">
        <v>31</v>
      </c>
      <c r="Y6" s="1119" t="s">
        <v>245</v>
      </c>
      <c r="Z6" s="1119" t="s">
        <v>244</v>
      </c>
      <c r="AA6" s="1121"/>
      <c r="AB6" s="910"/>
      <c r="AC6" s="921" t="s">
        <v>12</v>
      </c>
      <c r="AD6" s="920"/>
      <c r="AE6" s="910">
        <v>2023</v>
      </c>
      <c r="AF6" s="912"/>
      <c r="AG6" s="922" t="s">
        <v>657</v>
      </c>
      <c r="AH6" s="923"/>
      <c r="AI6" s="923"/>
      <c r="AJ6" s="923"/>
      <c r="AK6" s="923"/>
      <c r="AL6" s="922" t="s">
        <v>657</v>
      </c>
      <c r="AM6" s="924"/>
      <c r="AN6" s="682"/>
    </row>
    <row r="7" spans="1:42" ht="20.149999999999999" customHeight="1">
      <c r="A7" s="52" t="s">
        <v>54</v>
      </c>
      <c r="B7" s="52" t="s">
        <v>25</v>
      </c>
      <c r="C7" s="1112"/>
      <c r="D7" s="1114" t="s">
        <v>21</v>
      </c>
      <c r="E7" s="1114" t="s">
        <v>20</v>
      </c>
      <c r="F7" s="1114" t="s">
        <v>19</v>
      </c>
      <c r="G7" s="1114" t="s">
        <v>18</v>
      </c>
      <c r="H7" s="1116" t="s">
        <v>17</v>
      </c>
      <c r="I7" s="1116" t="s">
        <v>17</v>
      </c>
      <c r="J7" s="925" t="s">
        <v>40</v>
      </c>
      <c r="K7" s="926" t="s">
        <v>51</v>
      </c>
      <c r="L7" s="926" t="s">
        <v>104</v>
      </c>
      <c r="M7" s="926" t="s">
        <v>42</v>
      </c>
      <c r="N7" s="925" t="s">
        <v>41</v>
      </c>
      <c r="O7" s="925" t="s">
        <v>53</v>
      </c>
      <c r="P7" s="925" t="s">
        <v>42</v>
      </c>
      <c r="Q7" s="926" t="s">
        <v>40</v>
      </c>
      <c r="R7" s="927" t="s">
        <v>52</v>
      </c>
      <c r="S7" s="927" t="s">
        <v>105</v>
      </c>
      <c r="T7" s="926" t="s">
        <v>42</v>
      </c>
      <c r="U7" s="928" t="s">
        <v>41</v>
      </c>
      <c r="V7" s="925" t="s">
        <v>40</v>
      </c>
      <c r="W7" s="925" t="s">
        <v>42</v>
      </c>
      <c r="X7" s="1128"/>
      <c r="Y7" s="1120"/>
      <c r="Z7" s="925" t="s">
        <v>40</v>
      </c>
      <c r="AA7" s="929" t="s">
        <v>42</v>
      </c>
      <c r="AB7" s="910"/>
      <c r="AC7" s="930" t="s">
        <v>11</v>
      </c>
      <c r="AD7" s="931" t="s">
        <v>10</v>
      </c>
      <c r="AE7" s="912" t="str">
        <f>AE6&amp;" Lookup"</f>
        <v>2023 Lookup</v>
      </c>
      <c r="AF7" s="912"/>
      <c r="AG7" s="932" t="s">
        <v>22</v>
      </c>
      <c r="AH7" s="933" t="s">
        <v>19</v>
      </c>
      <c r="AI7" s="933" t="s">
        <v>660</v>
      </c>
      <c r="AJ7" s="934" t="s">
        <v>658</v>
      </c>
      <c r="AK7" s="933" t="s">
        <v>18</v>
      </c>
      <c r="AL7" s="935" t="s">
        <v>40</v>
      </c>
      <c r="AM7" s="936" t="s">
        <v>42</v>
      </c>
      <c r="AN7" s="502" t="s">
        <v>659</v>
      </c>
    </row>
    <row r="8" spans="1:42" s="886" customFormat="1" ht="20.25" customHeight="1">
      <c r="A8" s="886" t="str">
        <f t="shared" ref="A8:A20" si="0">$B8&amp;"_"&amp;$C$3&amp;"_"&amp;$C$2</f>
        <v>TSX:K_2024_COO</v>
      </c>
      <c r="B8" s="886" t="str">
        <f>'Raw Data'!D5</f>
        <v>TSX:K</v>
      </c>
      <c r="C8" s="766" t="str">
        <f t="shared" ref="C8:C20" si="1">IFERROR(INDEX(Raw_Data,MATCH($A8,Look_Up2,0),MATCH(C$4,Component,0)),"-")</f>
        <v>Kinross Gold Corporation</v>
      </c>
      <c r="D8" s="767">
        <f>_xll.ciqfunctions.udf.CIQ(B8, "IQ_MARKETCAP", $A$1,$A$2)</f>
        <v>26179.912</v>
      </c>
      <c r="E8" s="767">
        <f>_xll.ciqfunctions.udf.CIQ($B8, "IQ_TEV", $A$1,$A$2)</f>
        <v>27159.32229</v>
      </c>
      <c r="F8" s="768" t="str">
        <f t="shared" ref="F8:G20" si="2">IFERROR(INDEX(Raw_Data,MATCH($A8,Look_Up2,0),MATCH(F$4,Component,0)),"-")</f>
        <v>Claude J.S. Schimper</v>
      </c>
      <c r="G8" s="768" t="str">
        <f t="shared" si="2"/>
        <v>EVP &amp; COO</v>
      </c>
      <c r="H8" s="767">
        <f t="shared" ref="H8:J20" si="3">IFERROR(INDEX(Raw_Data,MATCH($A8,Look_Up2,0),MATCH(H$4,Component,0))/1000,"-")</f>
        <v>670</v>
      </c>
      <c r="I8" s="767">
        <f t="shared" si="3"/>
        <v>618.97429750000015</v>
      </c>
      <c r="J8" s="769">
        <f t="shared" si="3"/>
        <v>717.23603905000004</v>
      </c>
      <c r="K8" s="770">
        <f t="shared" ref="K8:L20" si="4">IFERROR(INDEX(Raw_Data,MATCH($A8,Look_Up2,0),MATCH(K$4,Component,0)),"-")</f>
        <v>1.158749308245711</v>
      </c>
      <c r="L8" s="770">
        <f t="shared" si="4"/>
        <v>1.0098414601315573</v>
      </c>
      <c r="M8" s="771">
        <f t="shared" ref="M8:M20" si="5">IFERROR(INDEX(Raw_Data,MATCH($A8,Look_Up2,0),MATCH(M$4,Component,0))/1000,"-")</f>
        <v>557.07686775000013</v>
      </c>
      <c r="N8" s="772">
        <f t="shared" ref="N8:N20" si="6">IFERROR(IF(INDEX(Raw_Data,MATCH($A8,Look_Up2,0),MATCH(N$4,Component,0))="-",L8,INDEX(Raw_Data,MATCH($A8,Look_Up2,0),MATCH(N$4,Component,0))),"-")</f>
        <v>0.9</v>
      </c>
      <c r="O8" s="769">
        <f t="shared" ref="O8:Q20" si="7">IFERROR(INDEX(Raw_Data,MATCH($A8,Look_Up2,0),MATCH(O$4,Component,0))/1000,"-")</f>
        <v>1336.2103365500002</v>
      </c>
      <c r="P8" s="773">
        <f t="shared" si="7"/>
        <v>1176.0511652500002</v>
      </c>
      <c r="Q8" s="769">
        <f t="shared" si="7"/>
        <v>1336.9844826000003</v>
      </c>
      <c r="R8" s="770">
        <f t="shared" ref="R8:S20" si="8">IFERROR(INDEX(Raw_Data,MATCH($A8,Look_Up2,0),MATCH(R$4,Component,0)),"-")</f>
        <v>2.16</v>
      </c>
      <c r="S8" s="770">
        <f t="shared" si="8"/>
        <v>2.153827654803584</v>
      </c>
      <c r="T8" s="771">
        <f t="shared" ref="T8:T20" si="9">IFERROR(INDEX(Raw_Data,MATCH($A8,Look_Up2,0),MATCH(T$4,Component,0))/1000,"-")</f>
        <v>1333.1639595681211</v>
      </c>
      <c r="U8" s="772">
        <f t="shared" ref="U8:U20" si="10">IFERROR(IF(INDEX(Raw_Data,MATCH($A8,Look_Up2,0),MATCH(U$4,Component,0))="-",S8,INDEX(Raw_Data,MATCH($A8,Look_Up2,0),MATCH(U$4,Component,0))),"-")</f>
        <v>2.153827654803584</v>
      </c>
      <c r="V8" s="769">
        <f t="shared" ref="V8:W20" si="11">IFERROR(INDEX(Raw_Data,MATCH($A8,Look_Up2,0),MATCH(V$4,Component,0))/1000,"-")</f>
        <v>2673.1948191500005</v>
      </c>
      <c r="W8" s="774">
        <f t="shared" si="11"/>
        <v>2509.2151248181212</v>
      </c>
      <c r="X8" s="769">
        <f t="shared" ref="X8:Y20" si="12">IFERROR((INDEX(Raw_Data,MATCH($A8,Look_Up2,0),MATCH(X$4,Component,0))/1000),"-")</f>
        <v>176.40938750000001</v>
      </c>
      <c r="Y8" s="774">
        <f t="shared" si="12"/>
        <v>133.48607190999999</v>
      </c>
      <c r="Z8" s="769">
        <f t="shared" ref="Z8:AA20" si="13">IFERROR(INDEX(Raw_Data,MATCH($A8,Look_Up2,0),MATCH(Z$4,Component,0))/1000,"-")</f>
        <v>2983.0902785600006</v>
      </c>
      <c r="AA8" s="774">
        <f t="shared" si="13"/>
        <v>2819.1105842281213</v>
      </c>
      <c r="AB8" s="887"/>
      <c r="AC8" s="776">
        <f t="shared" ref="AC8:AC20" si="14">IFERROR(P8/W8,"-")</f>
        <v>0.46869284088794316</v>
      </c>
      <c r="AD8" s="777">
        <f t="shared" ref="AD8:AD20" si="15">IFERROR(T8/W8,"-")</f>
        <v>0.53130715911205684</v>
      </c>
      <c r="AE8" s="778" t="str">
        <f t="shared" ref="AE8:AE20" si="16">B8&amp;"_"&amp;$AE$6&amp;"_"&amp;$C$2</f>
        <v>TSX:K_2023_COO</v>
      </c>
      <c r="AF8" s="778"/>
      <c r="AG8" s="779" t="str" cm="1">
        <f t="array" ref="AG8">IFERROR(INDEX('Import 2023 Data'!$E$4:$I$113,_xlfn.XMATCH(COO!$AE8,'Import 2023 Data'!$C$4:$C$113),_xlfn.XMATCH(COO!AG$5,'Import 2023 Data'!$E$3:$I$3)),"-")</f>
        <v>Kinross Gold Corporation</v>
      </c>
      <c r="AH8" s="780" t="str" cm="1">
        <f t="array" ref="AH8">IFERROR(INDEX('Import 2023 Data'!$E$4:$I$113,_xlfn.XMATCH(COO!$AE8,'Import 2023 Data'!$C$4:$C$113),_xlfn.XMATCH(COO!AH$5,'Import 2023 Data'!$E$3:$I$3)),"-")</f>
        <v>Claude J.S. Schimper</v>
      </c>
      <c r="AI8" s="781" t="str">
        <f>IF(ISNUMBER(_xlfn.XMATCH(C8,'Import 2023 Data'!$E$4:$E$113)),"N","Y")</f>
        <v>N</v>
      </c>
      <c r="AJ8" s="781" t="str">
        <f>IFERROR(IF(TRIM(LOWER(AH8))=TRIM(LOWER(F8)),"N","Y"),"-")</f>
        <v>N</v>
      </c>
      <c r="AK8" s="780" t="str" cm="1">
        <f t="array" ref="AK8">IFERROR(INDEX('Import 2023 Data'!$E$4:$I$113,_xlfn.XMATCH(COO!$AE8,'Import 2023 Data'!$C$4:$C$113),_xlfn.XMATCH(COO!AK$5,'Import 2023 Data'!$E$3:$I$3)),"-")</f>
        <v>EVP and COO</v>
      </c>
      <c r="AL8" s="889" cm="1">
        <f t="array" ref="AL8">IFERROR(INDEX('Import 2023 Data'!$E$4:$I$113,_xlfn.XMATCH(COO!$AE8,'Import 2023 Data'!$C$4:$C$113),_xlfn.XMATCH(COO!AL$5,'Import 2023 Data'!$E$3:$I$3)),"-")</f>
        <v>2606.57982932</v>
      </c>
      <c r="AM8" s="890" cm="1">
        <f t="array" ref="AM8">IFERROR(INDEX('Import 2023 Data'!$E$4:$I$113,_xlfn.XMATCH(COO!$AE8,'Import 2023 Data'!$C$4:$C$113),_xlfn.XMATCH(COO!AM$5,'Import 2023 Data'!$E$3:$I$3)),"-")</f>
        <v>2479.994840788167</v>
      </c>
      <c r="AN8" s="888">
        <f>IF(AJ8="N",IFERROR(W8/AM8-1,"-"),"-")</f>
        <v>1.1782397103966336E-2</v>
      </c>
    </row>
    <row r="9" spans="1:42" s="886" customFormat="1" ht="20.25" customHeight="1">
      <c r="A9" s="886" t="str">
        <f t="shared" si="0"/>
        <v>TSX:LUN_2024_COO</v>
      </c>
      <c r="B9" s="886" t="str">
        <f>'Raw Data'!D6</f>
        <v>TSX:LUN</v>
      </c>
      <c r="C9" s="766" t="str">
        <f t="shared" si="1"/>
        <v>Lundin Mining Corporation</v>
      </c>
      <c r="D9" s="767">
        <f>_xll.ciqfunctions.udf.CIQ(B9, "IQ_MARKETCAP", $A$1,$A$2)</f>
        <v>11855.56763</v>
      </c>
      <c r="E9" s="767">
        <f>_xll.ciqfunctions.udf.CIQ($B9, "IQ_TEV", $A$1,$A$2)</f>
        <v>16005.2402</v>
      </c>
      <c r="F9" s="768" t="str">
        <f t="shared" si="2"/>
        <v>Juan Andres Morel</v>
      </c>
      <c r="G9" s="768" t="str">
        <f t="shared" si="2"/>
        <v>COO</v>
      </c>
      <c r="H9" s="767">
        <f t="shared" si="3"/>
        <v>815.88416854000013</v>
      </c>
      <c r="I9" s="767">
        <f t="shared" si="3"/>
        <v>770.42877879000002</v>
      </c>
      <c r="J9" s="769">
        <f t="shared" si="3"/>
        <v>1083.2235179199999</v>
      </c>
      <c r="K9" s="770">
        <f t="shared" si="4"/>
        <v>1.4060008500996821</v>
      </c>
      <c r="L9" s="770">
        <f t="shared" si="4"/>
        <v>0.95688569381526711</v>
      </c>
      <c r="M9" s="771">
        <f t="shared" si="5"/>
        <v>616.34302303200002</v>
      </c>
      <c r="N9" s="772">
        <f t="shared" si="6"/>
        <v>0.8</v>
      </c>
      <c r="O9" s="769">
        <f t="shared" si="7"/>
        <v>1853.65229671</v>
      </c>
      <c r="P9" s="773">
        <f t="shared" si="7"/>
        <v>1386.7718018220003</v>
      </c>
      <c r="Q9" s="769">
        <f t="shared" si="7"/>
        <v>1283.91231782</v>
      </c>
      <c r="R9" s="770">
        <f t="shared" si="8"/>
        <v>1.6664905999960873</v>
      </c>
      <c r="S9" s="770">
        <f t="shared" si="8"/>
        <v>1.5106870335458706</v>
      </c>
      <c r="T9" s="771">
        <f t="shared" si="9"/>
        <v>1163.8767663886329</v>
      </c>
      <c r="U9" s="772">
        <f t="shared" si="10"/>
        <v>1.5106870335458706</v>
      </c>
      <c r="V9" s="769">
        <f t="shared" si="11"/>
        <v>3137.5646145299997</v>
      </c>
      <c r="W9" s="774">
        <f t="shared" si="11"/>
        <v>2550.6485682106331</v>
      </c>
      <c r="X9" s="769" t="str">
        <f t="shared" si="12"/>
        <v>-</v>
      </c>
      <c r="Y9" s="774">
        <f t="shared" si="12"/>
        <v>2.0086692200000003</v>
      </c>
      <c r="Z9" s="769">
        <f t="shared" si="13"/>
        <v>3139.57328375</v>
      </c>
      <c r="AA9" s="774">
        <f t="shared" si="13"/>
        <v>2552.6572374306329</v>
      </c>
      <c r="AB9" s="887"/>
      <c r="AC9" s="776">
        <f t="shared" si="14"/>
        <v>0.54369379580773369</v>
      </c>
      <c r="AD9" s="777">
        <f t="shared" si="15"/>
        <v>0.45630620419226631</v>
      </c>
      <c r="AE9" s="778" t="str">
        <f t="shared" si="16"/>
        <v>TSX:LUN_2023_COO</v>
      </c>
      <c r="AF9" s="778"/>
      <c r="AG9" s="782" t="str" cm="1">
        <f t="array" ref="AG9">IFERROR(INDEX('Import 2023 Data'!$E$4:$I$113,_xlfn.XMATCH(COO!$AE9,'Import 2023 Data'!$C$4:$C$113),_xlfn.XMATCH(COO!AG$5,'Import 2023 Data'!$E$3:$I$3)),"-")</f>
        <v>Lundin Mining Corporation</v>
      </c>
      <c r="AH9" s="778" t="str" cm="1">
        <f t="array" ref="AH9">IFERROR(INDEX('Import 2023 Data'!$E$4:$I$113,_xlfn.XMATCH(COO!$AE9,'Import 2023 Data'!$C$4:$C$113),_xlfn.XMATCH(COO!AH$5,'Import 2023 Data'!$E$3:$I$3)),"-")</f>
        <v>Juan Andres Morel</v>
      </c>
      <c r="AI9" s="783" t="str">
        <f>IF(ISNUMBER(_xlfn.XMATCH(C9,'Import 2023 Data'!$E$4:$E$113)),"N","Y")</f>
        <v>N</v>
      </c>
      <c r="AJ9" s="783" t="str">
        <f>IFERROR(IF(TRIM(LOWER(AH9))=TRIM(LOWER(F9)),"N","Y"),"-")</f>
        <v>N</v>
      </c>
      <c r="AK9" s="778" t="str" cm="1">
        <f t="array" ref="AK9">IFERROR(INDEX('Import 2023 Data'!$E$4:$I$113,_xlfn.XMATCH(COO!$AE9,'Import 2023 Data'!$C$4:$C$113),_xlfn.XMATCH(COO!AK$5,'Import 2023 Data'!$E$3:$I$3)),"-")</f>
        <v>Chief Operating Officer</v>
      </c>
      <c r="AL9" s="891" cm="1">
        <f t="array" ref="AL9">IFERROR(INDEX('Import 2023 Data'!$E$4:$I$113,_xlfn.XMATCH(COO!$AE9,'Import 2023 Data'!$C$4:$C$113),_xlfn.XMATCH(COO!AL$5,'Import 2023 Data'!$E$3:$I$3)),"-")</f>
        <v>2896.4232342</v>
      </c>
      <c r="AM9" s="892" cm="1">
        <f t="array" ref="AM9">IFERROR(INDEX('Import 2023 Data'!$E$4:$I$113,_xlfn.XMATCH(COO!$AE9,'Import 2023 Data'!$C$4:$C$113),_xlfn.XMATCH(COO!AM$5,'Import 2023 Data'!$E$3:$I$3)),"-")</f>
        <v>2657.1905274715928</v>
      </c>
      <c r="AN9" s="888">
        <f t="shared" ref="AN9:AN20" si="17">IF(AJ9="N",IFERROR(W9/AM9-1,"-"),"-")</f>
        <v>-4.00957169459496E-2</v>
      </c>
      <c r="AP9" s="886" t="s">
        <v>774</v>
      </c>
    </row>
    <row r="10" spans="1:42" s="886" customFormat="1" ht="20.25" customHeight="1">
      <c r="A10" s="886" t="str">
        <f t="shared" si="0"/>
        <v>TSX:AGI_2024_COO</v>
      </c>
      <c r="B10" s="886" t="str">
        <f>'Raw Data'!D7</f>
        <v>TSX:AGI</v>
      </c>
      <c r="C10" s="766" t="str">
        <f t="shared" si="1"/>
        <v>Alamos Gold Inc.</v>
      </c>
      <c r="D10" s="767">
        <f>_xll.ciqfunctions.udf.CIQ(B10, "IQ_MARKETCAP", $A$1,$A$2)</f>
        <v>15291.758599999999</v>
      </c>
      <c r="E10" s="767">
        <f>_xll.ciqfunctions.udf.CIQ($B10, "IQ_TEV", $A$1,$A$2)</f>
        <v>15239.87026</v>
      </c>
      <c r="F10" s="768" t="str">
        <f t="shared" si="2"/>
        <v>Luc Guimond</v>
      </c>
      <c r="G10" s="768" t="str">
        <f t="shared" si="2"/>
        <v>COO</v>
      </c>
      <c r="H10" s="767" t="str">
        <f t="shared" si="3"/>
        <v>-</v>
      </c>
      <c r="I10" s="767">
        <f t="shared" si="3"/>
        <v>650</v>
      </c>
      <c r="J10" s="769">
        <f t="shared" si="3"/>
        <v>659.25181482000005</v>
      </c>
      <c r="K10" s="770">
        <f t="shared" si="4"/>
        <v>1.0142335612615385</v>
      </c>
      <c r="L10" s="770">
        <f t="shared" si="4"/>
        <v>0.92825290963693519</v>
      </c>
      <c r="M10" s="771">
        <f t="shared" si="5"/>
        <v>552.5</v>
      </c>
      <c r="N10" s="772">
        <f t="shared" si="6"/>
        <v>0.85</v>
      </c>
      <c r="O10" s="769">
        <f t="shared" si="7"/>
        <v>1309.2518148199999</v>
      </c>
      <c r="P10" s="773">
        <f t="shared" si="7"/>
        <v>1202.5</v>
      </c>
      <c r="Q10" s="769">
        <f t="shared" si="7"/>
        <v>1073.0349338000001</v>
      </c>
      <c r="R10" s="770">
        <f t="shared" si="8"/>
        <v>1.650822975076923</v>
      </c>
      <c r="S10" s="770">
        <f t="shared" si="8"/>
        <v>1.6363901002202117</v>
      </c>
      <c r="T10" s="771">
        <f t="shared" si="9"/>
        <v>1105</v>
      </c>
      <c r="U10" s="772">
        <f t="shared" si="10"/>
        <v>1.7</v>
      </c>
      <c r="V10" s="769">
        <f t="shared" si="11"/>
        <v>2382.2867486199998</v>
      </c>
      <c r="W10" s="774">
        <f t="shared" si="11"/>
        <v>2307.5</v>
      </c>
      <c r="X10" s="769">
        <f t="shared" si="12"/>
        <v>157.14890781</v>
      </c>
      <c r="Y10" s="774">
        <f t="shared" si="12"/>
        <v>39.064916869999998</v>
      </c>
      <c r="Z10" s="769">
        <f t="shared" si="13"/>
        <v>2578.5005732999994</v>
      </c>
      <c r="AA10" s="774">
        <f t="shared" si="13"/>
        <v>2503.7138246799996</v>
      </c>
      <c r="AB10" s="887"/>
      <c r="AC10" s="776">
        <f t="shared" si="14"/>
        <v>0.52112676056338025</v>
      </c>
      <c r="AD10" s="777">
        <f t="shared" si="15"/>
        <v>0.47887323943661969</v>
      </c>
      <c r="AE10" s="778" t="str">
        <f t="shared" si="16"/>
        <v>TSX:AGI_2023_COO</v>
      </c>
      <c r="AF10" s="778"/>
      <c r="AG10" s="782" t="str" cm="1">
        <f t="array" ref="AG10">IFERROR(INDEX('Import 2023 Data'!$E$4:$I$113,_xlfn.XMATCH(COO!$AE10,'Import 2023 Data'!$C$4:$C$113),_xlfn.XMATCH(COO!AG$5,'Import 2023 Data'!$E$3:$I$3)),"-")</f>
        <v>Alamos Gold Inc.</v>
      </c>
      <c r="AH10" s="778" t="str" cm="1">
        <f t="array" ref="AH10">IFERROR(INDEX('Import 2023 Data'!$E$4:$I$113,_xlfn.XMATCH(COO!$AE10,'Import 2023 Data'!$C$4:$C$113),_xlfn.XMATCH(COO!AH$5,'Import 2023 Data'!$E$3:$I$3)),"-")</f>
        <v>Luc Guimond</v>
      </c>
      <c r="AI10" s="783" t="str">
        <f>IF(ISNUMBER(_xlfn.XMATCH(C10,'Import 2023 Data'!$E$4:$E$113)),"N","Y")</f>
        <v>N</v>
      </c>
      <c r="AJ10" s="783" t="str">
        <f>IFERROR(IF(TRIM(LOWER(AH10))=TRIM(LOWER(F10)),"N","Y"),"-")</f>
        <v>N</v>
      </c>
      <c r="AK10" s="778" t="str" cm="1">
        <f t="array" ref="AK10">IFERROR(INDEX('Import 2023 Data'!$E$4:$I$113,_xlfn.XMATCH(COO!$AE10,'Import 2023 Data'!$C$4:$C$113),_xlfn.XMATCH(COO!AK$5,'Import 2023 Data'!$E$3:$I$3)),"-")</f>
        <v>Chief Operating Officer</v>
      </c>
      <c r="AL10" s="893" cm="1">
        <f t="array" ref="AL10">IFERROR(INDEX('Import 2023 Data'!$E$4:$I$113,_xlfn.XMATCH(COO!$AE10,'Import 2023 Data'!$C$4:$C$113),_xlfn.XMATCH(COO!AL$5,'Import 2023 Data'!$E$3:$I$3)),"-")</f>
        <v>1850.89411</v>
      </c>
      <c r="AM10" s="894" cm="1">
        <f t="array" ref="AM10">IFERROR(INDEX('Import 2023 Data'!$E$4:$I$113,_xlfn.XMATCH(COO!$AE10,'Import 2023 Data'!$C$4:$C$113),_xlfn.XMATCH(COO!AM$5,'Import 2023 Data'!$E$3:$I$3)),"-")</f>
        <v>1753.531276792</v>
      </c>
      <c r="AN10" s="888">
        <f t="shared" si="17"/>
        <v>0.31591607776820418</v>
      </c>
      <c r="AP10" s="886" t="s">
        <v>775</v>
      </c>
    </row>
    <row r="11" spans="1:42" s="886" customFormat="1" ht="20.25" customHeight="1">
      <c r="A11" s="886" t="str">
        <f t="shared" si="0"/>
        <v>TSX:PAAS_2024_COO</v>
      </c>
      <c r="B11" s="886" t="str">
        <f>'Raw Data'!D8</f>
        <v>TSX:PAAS</v>
      </c>
      <c r="C11" s="766" t="str">
        <f t="shared" si="1"/>
        <v>Pan American Silver Corp.</v>
      </c>
      <c r="D11" s="767">
        <f>_xll.ciqfunctions.udf.CIQ(B11, "IQ_MARKETCAP", $A$1,$A$2)</f>
        <v>14762.84492</v>
      </c>
      <c r="E11" s="767">
        <f>_xll.ciqfunctions.udf.CIQ($B11, "IQ_TEV", $A$1,$A$2)</f>
        <v>14643.113660000001</v>
      </c>
      <c r="F11" s="768" t="str">
        <f t="shared" si="2"/>
        <v>Steven Busby</v>
      </c>
      <c r="G11" s="768" t="str">
        <f t="shared" si="2"/>
        <v>COO</v>
      </c>
      <c r="H11" s="767" t="str">
        <f t="shared" si="3"/>
        <v>-</v>
      </c>
      <c r="I11" s="767">
        <f t="shared" si="3"/>
        <v>780</v>
      </c>
      <c r="J11" s="769">
        <f t="shared" si="3"/>
        <v>639</v>
      </c>
      <c r="K11" s="770">
        <f t="shared" si="4"/>
        <v>0.81923076923076921</v>
      </c>
      <c r="L11" s="770">
        <f t="shared" si="4"/>
        <v>0.72375770976376119</v>
      </c>
      <c r="M11" s="771">
        <f t="shared" si="5"/>
        <v>624</v>
      </c>
      <c r="N11" s="772">
        <f t="shared" si="6"/>
        <v>0.8</v>
      </c>
      <c r="O11" s="769">
        <f t="shared" si="7"/>
        <v>1419</v>
      </c>
      <c r="P11" s="773">
        <f t="shared" si="7"/>
        <v>1404</v>
      </c>
      <c r="Q11" s="769">
        <f t="shared" si="7"/>
        <v>1716</v>
      </c>
      <c r="R11" s="770">
        <f t="shared" si="8"/>
        <v>2.2000000000000002</v>
      </c>
      <c r="S11" s="770">
        <f t="shared" si="8"/>
        <v>1.9396201042191965</v>
      </c>
      <c r="T11" s="771">
        <f t="shared" si="9"/>
        <v>1716.0000000000002</v>
      </c>
      <c r="U11" s="772">
        <f t="shared" si="10"/>
        <v>2.2000000000000002</v>
      </c>
      <c r="V11" s="769">
        <f t="shared" si="11"/>
        <v>3135</v>
      </c>
      <c r="W11" s="774">
        <f t="shared" si="11"/>
        <v>3120</v>
      </c>
      <c r="X11" s="769">
        <f t="shared" si="12"/>
        <v>351</v>
      </c>
      <c r="Y11" s="774" t="str">
        <f t="shared" si="12"/>
        <v>-</v>
      </c>
      <c r="Z11" s="769">
        <f t="shared" si="13"/>
        <v>3486</v>
      </c>
      <c r="AA11" s="774">
        <f t="shared" si="13"/>
        <v>3471</v>
      </c>
      <c r="AB11" s="887"/>
      <c r="AC11" s="776">
        <f t="shared" si="14"/>
        <v>0.45</v>
      </c>
      <c r="AD11" s="777">
        <f t="shared" si="15"/>
        <v>0.55000000000000004</v>
      </c>
      <c r="AE11" s="778" t="str">
        <f t="shared" si="16"/>
        <v>TSX:PAAS_2023_COO</v>
      </c>
      <c r="AF11" s="778"/>
      <c r="AG11" s="782" t="str" cm="1">
        <f t="array" ref="AG11">IFERROR(INDEX('Import 2023 Data'!$E$4:$I$113,_xlfn.XMATCH(COO!$AE11,'Import 2023 Data'!$C$4:$C$113),_xlfn.XMATCH(COO!AG$5,'Import 2023 Data'!$E$3:$I$3)),"-")</f>
        <v>Pan American Silver Corp.</v>
      </c>
      <c r="AH11" s="778" t="str" cm="1">
        <f t="array" ref="AH11">IFERROR(INDEX('Import 2023 Data'!$E$4:$I$113,_xlfn.XMATCH(COO!$AE11,'Import 2023 Data'!$C$4:$C$113),_xlfn.XMATCH(COO!AH$5,'Import 2023 Data'!$E$3:$I$3)),"-")</f>
        <v>Steven Busby</v>
      </c>
      <c r="AI11" s="783" t="str">
        <f>IF(ISNUMBER(_xlfn.XMATCH(C11,'Import 2023 Data'!$E$4:$E$113)),"N","Y")</f>
        <v>N</v>
      </c>
      <c r="AJ11" s="783" t="str">
        <f t="shared" ref="AJ11:AJ20" si="18">IFERROR(IF(TRIM(LOWER(AH11))=TRIM(LOWER(F11)),"N","Y"),"-")</f>
        <v>N</v>
      </c>
      <c r="AK11" s="778" t="str" cm="1">
        <f t="array" ref="AK11">IFERROR(INDEX('Import 2023 Data'!$E$4:$I$113,_xlfn.XMATCH(COO!$AE11,'Import 2023 Data'!$C$4:$C$113),_xlfn.XMATCH(COO!AK$5,'Import 2023 Data'!$E$3:$I$3)),"-")</f>
        <v>COO</v>
      </c>
      <c r="AL11" s="893" cm="1">
        <f t="array" ref="AL11">IFERROR(INDEX('Import 2023 Data'!$E$4:$I$113,_xlfn.XMATCH(COO!$AE11,'Import 2023 Data'!$C$4:$C$113),_xlfn.XMATCH(COO!AL$5,'Import 2023 Data'!$E$3:$I$3)),"-")</f>
        <v>3027.2249999999999</v>
      </c>
      <c r="AM11" s="894" cm="1">
        <f t="array" ref="AM11">IFERROR(INDEX('Import 2023 Data'!$E$4:$I$113,_xlfn.XMATCH(COO!$AE11,'Import 2023 Data'!$C$4:$C$113),_xlfn.XMATCH(COO!AM$5,'Import 2023 Data'!$E$3:$I$3)),"-")</f>
        <v>2974.5</v>
      </c>
      <c r="AN11" s="888">
        <f t="shared" si="17"/>
        <v>4.8915784165405984E-2</v>
      </c>
      <c r="AP11" s="886">
        <f>650/512</f>
        <v>1.26953125</v>
      </c>
    </row>
    <row r="12" spans="1:42" s="886" customFormat="1" ht="20.25" customHeight="1">
      <c r="A12" s="886" t="str">
        <f t="shared" si="0"/>
        <v>TSX:CS_2024_COO</v>
      </c>
      <c r="B12" s="886" t="str">
        <f>'Raw Data'!D9</f>
        <v>TSX:CS</v>
      </c>
      <c r="C12" s="766" t="str">
        <f t="shared" si="1"/>
        <v>Capstone Copper Corp.</v>
      </c>
      <c r="D12" s="767">
        <f>_xll.ciqfunctions.udf.CIQ(B12, "IQ_MARKETCAP", $A$1,$A$2)</f>
        <v>5953.1492900000003</v>
      </c>
      <c r="E12" s="767">
        <f>_xll.ciqfunctions.udf.CIQ($B12, "IQ_TEV", $A$1,$A$2)</f>
        <v>8486.01584</v>
      </c>
      <c r="F12" s="768" t="str">
        <f t="shared" si="2"/>
        <v>Cashel Meagher</v>
      </c>
      <c r="G12" s="768" t="str">
        <f t="shared" si="2"/>
        <v>President &amp; COO</v>
      </c>
      <c r="H12" s="767" t="str">
        <f t="shared" si="3"/>
        <v>-</v>
      </c>
      <c r="I12" s="767">
        <f t="shared" si="3"/>
        <v>676</v>
      </c>
      <c r="J12" s="769">
        <f t="shared" si="3"/>
        <v>550.60199999999998</v>
      </c>
      <c r="K12" s="770">
        <f t="shared" si="4"/>
        <v>0.8145</v>
      </c>
      <c r="L12" s="770">
        <f t="shared" si="4"/>
        <v>0.80354355267573629</v>
      </c>
      <c r="M12" s="771">
        <f t="shared" si="5"/>
        <v>608.4</v>
      </c>
      <c r="N12" s="772">
        <f t="shared" si="6"/>
        <v>0.9</v>
      </c>
      <c r="O12" s="769">
        <f t="shared" si="7"/>
        <v>1226.6020000000001</v>
      </c>
      <c r="P12" s="773">
        <f t="shared" si="7"/>
        <v>1284.4000000000001</v>
      </c>
      <c r="Q12" s="769">
        <f t="shared" si="7"/>
        <v>1149.2</v>
      </c>
      <c r="R12" s="770">
        <f t="shared" si="8"/>
        <v>1.7</v>
      </c>
      <c r="S12" s="770">
        <f t="shared" si="8"/>
        <v>1.6984821659654505</v>
      </c>
      <c r="T12" s="771">
        <f t="shared" si="9"/>
        <v>1149.2</v>
      </c>
      <c r="U12" s="772">
        <f t="shared" si="10"/>
        <v>1.7</v>
      </c>
      <c r="V12" s="769">
        <f t="shared" si="11"/>
        <v>2375.8020000000001</v>
      </c>
      <c r="W12" s="774">
        <f t="shared" si="11"/>
        <v>2433.6</v>
      </c>
      <c r="X12" s="769" t="str">
        <f t="shared" si="12"/>
        <v>-</v>
      </c>
      <c r="Y12" s="774">
        <f t="shared" si="12"/>
        <v>84.171999999999997</v>
      </c>
      <c r="Z12" s="769">
        <f t="shared" si="13"/>
        <v>2459.9740000000002</v>
      </c>
      <c r="AA12" s="774">
        <f t="shared" si="13"/>
        <v>2517.7719999999999</v>
      </c>
      <c r="AB12" s="887"/>
      <c r="AC12" s="776">
        <f t="shared" si="14"/>
        <v>0.52777777777777779</v>
      </c>
      <c r="AD12" s="777">
        <f t="shared" si="15"/>
        <v>0.47222222222222227</v>
      </c>
      <c r="AE12" s="778" t="str">
        <f t="shared" si="16"/>
        <v>TSX:CS_2023_COO</v>
      </c>
      <c r="AF12" s="778"/>
      <c r="AG12" s="782" t="str" cm="1">
        <f t="array" ref="AG12">IFERROR(INDEX('Import 2023 Data'!$E$4:$I$113,_xlfn.XMATCH(COO!$AE12,'Import 2023 Data'!$C$4:$C$113),_xlfn.XMATCH(COO!AG$5,'Import 2023 Data'!$E$3:$I$3)),"-")</f>
        <v>Capstone Copper Corp.</v>
      </c>
      <c r="AH12" s="778" t="str" cm="1">
        <f t="array" ref="AH12">IFERROR(INDEX('Import 2023 Data'!$E$4:$I$113,_xlfn.XMATCH(COO!$AE12,'Import 2023 Data'!$C$4:$C$113),_xlfn.XMATCH(COO!AH$5,'Import 2023 Data'!$E$3:$I$3)),"-")</f>
        <v>Cashel Meagher</v>
      </c>
      <c r="AI12" s="783" t="str">
        <f>IF(ISNUMBER(_xlfn.XMATCH(C12,'Import 2023 Data'!$E$4:$E$113)),"N","Y")</f>
        <v>N</v>
      </c>
      <c r="AJ12" s="783" t="str">
        <f t="shared" si="18"/>
        <v>N</v>
      </c>
      <c r="AK12" s="778" t="str" cm="1">
        <f t="array" ref="AK12">IFERROR(INDEX('Import 2023 Data'!$E$4:$I$113,_xlfn.XMATCH(COO!$AE12,'Import 2023 Data'!$C$4:$C$113),_xlfn.XMATCH(COO!AK$5,'Import 2023 Data'!$E$3:$I$3)),"-")</f>
        <v>President and COO</v>
      </c>
      <c r="AL12" s="893" cm="1">
        <f t="array" ref="AL12">IFERROR(INDEX('Import 2023 Data'!$E$4:$I$113,_xlfn.XMATCH(COO!$AE12,'Import 2023 Data'!$C$4:$C$113),_xlfn.XMATCH(COO!AL$5,'Import 2023 Data'!$E$3:$I$3)),"-")</f>
        <v>2267.46</v>
      </c>
      <c r="AM12" s="894" cm="1">
        <f t="array" ref="AM12">IFERROR(INDEX('Import 2023 Data'!$E$4:$I$113,_xlfn.XMATCH(COO!$AE12,'Import 2023 Data'!$C$4:$C$113),_xlfn.XMATCH(COO!AM$5,'Import 2023 Data'!$E$3:$I$3)),"-")</f>
        <v>2340</v>
      </c>
      <c r="AN12" s="888">
        <f t="shared" si="17"/>
        <v>4.0000000000000036E-2</v>
      </c>
    </row>
    <row r="13" spans="1:42" s="886" customFormat="1" ht="20.25" customHeight="1">
      <c r="A13" s="886" t="str">
        <f t="shared" si="0"/>
        <v>TSX:IMG_2024_COO</v>
      </c>
      <c r="B13" s="886" t="str">
        <f>'Raw Data'!D10</f>
        <v>TSX:IMG</v>
      </c>
      <c r="C13" s="766" t="str">
        <f t="shared" si="1"/>
        <v>IAMGOLD Corporation</v>
      </c>
      <c r="D13" s="767">
        <f>_xll.ciqfunctions.udf.CIQ(B13, "IQ_MARKETCAP", $A$1,$A$2)</f>
        <v>5554.9869099999996</v>
      </c>
      <c r="E13" s="767">
        <f>_xll.ciqfunctions.udf.CIQ($B13, "IQ_TEV", $A$1,$A$2)</f>
        <v>6834.0846799999999</v>
      </c>
      <c r="F13" s="768" t="str">
        <f t="shared" si="2"/>
        <v>Bruno Lemelin</v>
      </c>
      <c r="G13" s="768" t="str">
        <f t="shared" si="2"/>
        <v>COO</v>
      </c>
      <c r="H13" s="767" t="str">
        <f t="shared" si="3"/>
        <v>-</v>
      </c>
      <c r="I13" s="767">
        <f t="shared" si="3"/>
        <v>600.32000000000005</v>
      </c>
      <c r="J13" s="769">
        <f t="shared" si="3"/>
        <v>577.79600000000005</v>
      </c>
      <c r="K13" s="770">
        <f t="shared" si="4"/>
        <v>0.96248001066098077</v>
      </c>
      <c r="L13" s="770">
        <f t="shared" si="4"/>
        <v>0.96248001066098077</v>
      </c>
      <c r="M13" s="771">
        <f t="shared" si="5"/>
        <v>480.25599999999997</v>
      </c>
      <c r="N13" s="772">
        <f t="shared" si="6"/>
        <v>0.8</v>
      </c>
      <c r="O13" s="769">
        <f t="shared" si="7"/>
        <v>1178.116</v>
      </c>
      <c r="P13" s="773">
        <f t="shared" si="7"/>
        <v>1080.576</v>
      </c>
      <c r="Q13" s="769">
        <f t="shared" si="7"/>
        <v>946.33600000000001</v>
      </c>
      <c r="R13" s="770">
        <f t="shared" si="8"/>
        <v>1.5763859275053305</v>
      </c>
      <c r="S13" s="770">
        <f t="shared" si="8"/>
        <v>1.5763859275053305</v>
      </c>
      <c r="T13" s="771">
        <f t="shared" si="9"/>
        <v>960.51199999999994</v>
      </c>
      <c r="U13" s="772">
        <f t="shared" si="10"/>
        <v>1.6</v>
      </c>
      <c r="V13" s="769">
        <f t="shared" si="11"/>
        <v>2124.4520000000002</v>
      </c>
      <c r="W13" s="774">
        <f t="shared" si="11"/>
        <v>2041.088</v>
      </c>
      <c r="X13" s="769">
        <f t="shared" si="12"/>
        <v>29.257999999999999</v>
      </c>
      <c r="Y13" s="774">
        <f t="shared" si="12"/>
        <v>63.462000000000003</v>
      </c>
      <c r="Z13" s="769">
        <f t="shared" si="13"/>
        <v>2217.172</v>
      </c>
      <c r="AA13" s="774">
        <f t="shared" si="13"/>
        <v>2133.808</v>
      </c>
      <c r="AB13" s="887"/>
      <c r="AC13" s="776">
        <f t="shared" si="14"/>
        <v>0.52941176470588236</v>
      </c>
      <c r="AD13" s="777">
        <f t="shared" si="15"/>
        <v>0.47058823529411764</v>
      </c>
      <c r="AE13" s="778" t="str">
        <f t="shared" si="16"/>
        <v>TSX:IMG_2023_COO</v>
      </c>
      <c r="AF13" s="778"/>
      <c r="AG13" s="782" t="str" cm="1">
        <f t="array" ref="AG13">IFERROR(INDEX('Import 2023 Data'!$E$4:$I$113,_xlfn.XMATCH(COO!$AE13,'Import 2023 Data'!$C$4:$C$113),_xlfn.XMATCH(COO!AG$5,'Import 2023 Data'!$E$3:$I$3)),"-")</f>
        <v>IAMGOLD Corporation</v>
      </c>
      <c r="AH13" s="778" t="str" cm="1">
        <f t="array" ref="AH13">IFERROR(INDEX('Import 2023 Data'!$E$4:$I$113,_xlfn.XMATCH(COO!$AE13,'Import 2023 Data'!$C$4:$C$113),_xlfn.XMATCH(COO!AH$5,'Import 2023 Data'!$E$3:$I$3)),"-")</f>
        <v>Bruno Lemelin</v>
      </c>
      <c r="AI13" s="783" t="str">
        <f>IF(ISNUMBER(_xlfn.XMATCH(C13,'Import 2023 Data'!$E$4:$E$113)),"N","Y")</f>
        <v>N</v>
      </c>
      <c r="AJ13" s="783" t="str">
        <f t="shared" si="18"/>
        <v>N</v>
      </c>
      <c r="AK13" s="778" t="str" cm="1">
        <f t="array" ref="AK13">IFERROR(INDEX('Import 2023 Data'!$E$4:$I$113,_xlfn.XMATCH(COO!$AE13,'Import 2023 Data'!$C$4:$C$113),_xlfn.XMATCH(COO!AK$5,'Import 2023 Data'!$E$3:$I$3)),"-")</f>
        <v>COO</v>
      </c>
      <c r="AL13" s="893" cm="1">
        <f t="array" ref="AL13">IFERROR(INDEX('Import 2023 Data'!$E$4:$I$113,_xlfn.XMATCH(COO!$AE13,'Import 2023 Data'!$C$4:$C$113),_xlfn.XMATCH(COO!AL$5,'Import 2023 Data'!$E$3:$I$3)),"-")</f>
        <v>1828.5909999999999</v>
      </c>
      <c r="AM13" s="894" cm="1">
        <f t="array" ref="AM13">IFERROR(INDEX('Import 2023 Data'!$E$4:$I$113,_xlfn.XMATCH(COO!$AE13,'Import 2023 Data'!$C$4:$C$113),_xlfn.XMATCH(COO!AM$5,'Import 2023 Data'!$E$3:$I$3)),"-")</f>
        <v>1820</v>
      </c>
      <c r="AN13" s="888">
        <f t="shared" si="17"/>
        <v>0.12147692307692304</v>
      </c>
      <c r="AP13" s="886" t="s">
        <v>783</v>
      </c>
    </row>
    <row r="14" spans="1:42" s="886" customFormat="1" ht="20.25" customHeight="1">
      <c r="A14" s="886" t="str">
        <f t="shared" si="0"/>
        <v>TSX:BTO_2024_COO</v>
      </c>
      <c r="B14" s="886" t="str">
        <f>'Raw Data'!D11</f>
        <v>TSX:BTO</v>
      </c>
      <c r="C14" s="766" t="str">
        <f t="shared" si="1"/>
        <v>B2Gold Corp.</v>
      </c>
      <c r="D14" s="767">
        <f>_xll.ciqfunctions.udf.CIQ(B14, "IQ_MARKETCAP", $A$1,$A$2)</f>
        <v>6289.7347200000004</v>
      </c>
      <c r="E14" s="767">
        <f>_xll.ciqfunctions.udf.CIQ($B14, "IQ_TEV", $A$1,$A$2)</f>
        <v>6472.2609199999997</v>
      </c>
      <c r="F14" s="768" t="str">
        <f t="shared" si="2"/>
        <v>William Lytle</v>
      </c>
      <c r="G14" s="768" t="str">
        <f t="shared" si="2"/>
        <v>SVP, Operations &amp; COO</v>
      </c>
      <c r="H14" s="767" t="str">
        <f t="shared" si="3"/>
        <v>-</v>
      </c>
      <c r="I14" s="767">
        <f t="shared" si="3"/>
        <v>650</v>
      </c>
      <c r="J14" s="769">
        <f t="shared" si="3"/>
        <v>321.75</v>
      </c>
      <c r="K14" s="770">
        <f t="shared" si="4"/>
        <v>0.495</v>
      </c>
      <c r="L14" s="770">
        <f t="shared" si="4"/>
        <v>0.66500000000000004</v>
      </c>
      <c r="M14" s="771">
        <f t="shared" si="5"/>
        <v>487.5</v>
      </c>
      <c r="N14" s="772">
        <f t="shared" si="6"/>
        <v>0.75</v>
      </c>
      <c r="O14" s="769">
        <f t="shared" si="7"/>
        <v>971.75</v>
      </c>
      <c r="P14" s="773">
        <f t="shared" si="7"/>
        <v>1137.5</v>
      </c>
      <c r="Q14" s="769">
        <f t="shared" si="7"/>
        <v>1750</v>
      </c>
      <c r="R14" s="770">
        <f t="shared" si="8"/>
        <v>2.6923076923076925</v>
      </c>
      <c r="S14" s="770">
        <f t="shared" si="8"/>
        <v>2.6923076923076921</v>
      </c>
      <c r="T14" s="771">
        <f t="shared" si="9"/>
        <v>1749.9999999999998</v>
      </c>
      <c r="U14" s="772">
        <f t="shared" si="10"/>
        <v>2.6923076923076921</v>
      </c>
      <c r="V14" s="769">
        <f t="shared" si="11"/>
        <v>2721.75</v>
      </c>
      <c r="W14" s="774">
        <f t="shared" si="11"/>
        <v>2887.5</v>
      </c>
      <c r="X14" s="769" t="str">
        <f t="shared" si="12"/>
        <v>-</v>
      </c>
      <c r="Y14" s="774">
        <f t="shared" si="12"/>
        <v>1</v>
      </c>
      <c r="Z14" s="769">
        <f t="shared" si="13"/>
        <v>2722.75</v>
      </c>
      <c r="AA14" s="774">
        <f t="shared" si="13"/>
        <v>2888.5</v>
      </c>
      <c r="AB14" s="887"/>
      <c r="AC14" s="776">
        <f t="shared" si="14"/>
        <v>0.39393939393939392</v>
      </c>
      <c r="AD14" s="777">
        <f t="shared" si="15"/>
        <v>0.60606060606060597</v>
      </c>
      <c r="AE14" s="778" t="str">
        <f t="shared" si="16"/>
        <v>TSX:BTO_2023_COO</v>
      </c>
      <c r="AF14" s="778"/>
      <c r="AG14" s="782" t="str" cm="1">
        <f t="array" ref="AG14">IFERROR(INDEX('Import 2023 Data'!$E$4:$I$113,_xlfn.XMATCH(COO!$AE14,'Import 2023 Data'!$C$4:$C$113),_xlfn.XMATCH(COO!AG$5,'Import 2023 Data'!$E$3:$I$3)),"-")</f>
        <v>B2Gold Corp.</v>
      </c>
      <c r="AH14" s="778" t="str" cm="1">
        <f t="array" ref="AH14">IFERROR(INDEX('Import 2023 Data'!$E$4:$I$113,_xlfn.XMATCH(COO!$AE14,'Import 2023 Data'!$C$4:$C$113),_xlfn.XMATCH(COO!AH$5,'Import 2023 Data'!$E$3:$I$3)),"-")</f>
        <v>William Lytle</v>
      </c>
      <c r="AI14" s="783" t="str">
        <f>IF(ISNUMBER(_xlfn.XMATCH(C14,'Import 2023 Data'!$E$4:$E$113)),"N","Y")</f>
        <v>N</v>
      </c>
      <c r="AJ14" s="783" t="str">
        <f t="shared" si="18"/>
        <v>N</v>
      </c>
      <c r="AK14" s="778" t="str" cm="1">
        <f t="array" ref="AK14">IFERROR(INDEX('Import 2023 Data'!$E$4:$I$113,_xlfn.XMATCH(COO!$AE14,'Import 2023 Data'!$C$4:$C$113),_xlfn.XMATCH(COO!AK$5,'Import 2023 Data'!$E$3:$I$3)),"-")</f>
        <v>SVP, Operations and COO</v>
      </c>
      <c r="AL14" s="893" cm="1">
        <f t="array" ref="AL14">IFERROR(INDEX('Import 2023 Data'!$E$4:$I$113,_xlfn.XMATCH(COO!$AE14,'Import 2023 Data'!$C$4:$C$113),_xlfn.XMATCH(COO!AL$5,'Import 2023 Data'!$E$3:$I$3)),"-")</f>
        <v>2887.5</v>
      </c>
      <c r="AM14" s="894" cm="1">
        <f t="array" ref="AM14">IFERROR(INDEX('Import 2023 Data'!$E$4:$I$113,_xlfn.XMATCH(COO!$AE14,'Import 2023 Data'!$C$4:$C$113),_xlfn.XMATCH(COO!AM$5,'Import 2023 Data'!$E$3:$I$3)),"-")</f>
        <v>2887.5</v>
      </c>
      <c r="AN14" s="888">
        <f t="shared" si="17"/>
        <v>0</v>
      </c>
    </row>
    <row r="15" spans="1:42" s="886" customFormat="1" ht="20.25" hidden="1" customHeight="1" outlineLevel="1">
      <c r="A15" s="886" t="str">
        <f t="shared" si="0"/>
        <v>NYSE:HL_2024_COO</v>
      </c>
      <c r="B15" s="886" t="str">
        <f>'Raw Data'!D12</f>
        <v>NYSE:HL</v>
      </c>
      <c r="C15" s="766" t="str">
        <f t="shared" si="1"/>
        <v>-</v>
      </c>
      <c r="D15" s="767">
        <f>_xll.ciqfunctions.udf.CIQ(B15, "IQ_MARKETCAP", $A$1,$A$2)</f>
        <v>5232.0834199999999</v>
      </c>
      <c r="E15" s="767">
        <f>_xll.ciqfunctions.udf.CIQ($B15, "IQ_TEV", $A$1,$A$2)</f>
        <v>5991.3399399999998</v>
      </c>
      <c r="F15" s="768" t="str">
        <f t="shared" si="2"/>
        <v>-</v>
      </c>
      <c r="G15" s="768" t="str">
        <f t="shared" si="2"/>
        <v>-</v>
      </c>
      <c r="H15" s="767" t="str">
        <f t="shared" si="3"/>
        <v>-</v>
      </c>
      <c r="I15" s="767" t="str">
        <f t="shared" si="3"/>
        <v>-</v>
      </c>
      <c r="J15" s="769" t="str">
        <f t="shared" si="3"/>
        <v>-</v>
      </c>
      <c r="K15" s="770" t="str">
        <f t="shared" si="4"/>
        <v>-</v>
      </c>
      <c r="L15" s="770" t="str">
        <f t="shared" si="4"/>
        <v>-</v>
      </c>
      <c r="M15" s="771" t="str">
        <f t="shared" si="5"/>
        <v>-</v>
      </c>
      <c r="N15" s="772" t="str">
        <f t="shared" si="6"/>
        <v>-</v>
      </c>
      <c r="O15" s="769" t="str">
        <f t="shared" si="7"/>
        <v>-</v>
      </c>
      <c r="P15" s="773" t="str">
        <f t="shared" si="7"/>
        <v>-</v>
      </c>
      <c r="Q15" s="769" t="str">
        <f t="shared" si="7"/>
        <v>-</v>
      </c>
      <c r="R15" s="770" t="str">
        <f t="shared" si="8"/>
        <v>-</v>
      </c>
      <c r="S15" s="770" t="str">
        <f t="shared" si="8"/>
        <v>-</v>
      </c>
      <c r="T15" s="771" t="str">
        <f t="shared" si="9"/>
        <v>-</v>
      </c>
      <c r="U15" s="772" t="str">
        <f t="shared" si="10"/>
        <v>-</v>
      </c>
      <c r="V15" s="769" t="str">
        <f t="shared" si="11"/>
        <v>-</v>
      </c>
      <c r="W15" s="774" t="str">
        <f t="shared" si="11"/>
        <v>-</v>
      </c>
      <c r="X15" s="769" t="str">
        <f t="shared" si="12"/>
        <v>-</v>
      </c>
      <c r="Y15" s="774" t="str">
        <f t="shared" si="12"/>
        <v>-</v>
      </c>
      <c r="Z15" s="769" t="str">
        <f t="shared" si="13"/>
        <v>-</v>
      </c>
      <c r="AA15" s="774" t="str">
        <f t="shared" si="13"/>
        <v>-</v>
      </c>
      <c r="AB15" s="887"/>
      <c r="AC15" s="776" t="str">
        <f t="shared" si="14"/>
        <v>-</v>
      </c>
      <c r="AD15" s="777" t="str">
        <f t="shared" si="15"/>
        <v>-</v>
      </c>
      <c r="AE15" s="778" t="str">
        <f t="shared" si="16"/>
        <v>NYSE:HL_2023_COO</v>
      </c>
      <c r="AF15" s="778"/>
      <c r="AG15" s="782" t="str" cm="1">
        <f t="array" ref="AG15">IFERROR(INDEX('Import 2023 Data'!$E$4:$I$113,_xlfn.XMATCH(COO!$AE15,'Import 2023 Data'!$C$4:$C$113),_xlfn.XMATCH(COO!AG$5,'Import 2023 Data'!$E$3:$I$3)),"-")</f>
        <v>-</v>
      </c>
      <c r="AH15" s="778" t="str" cm="1">
        <f t="array" ref="AH15">IFERROR(INDEX('Import 2023 Data'!$E$4:$I$113,_xlfn.XMATCH(COO!$AE15,'Import 2023 Data'!$C$4:$C$113),_xlfn.XMATCH(COO!AH$5,'Import 2023 Data'!$E$3:$I$3)),"-")</f>
        <v>-</v>
      </c>
      <c r="AI15" s="783" t="str">
        <f>IF(ISNUMBER(_xlfn.XMATCH(C15,'Import 2023 Data'!$E$4:$E$113)),"N","Y")</f>
        <v>N</v>
      </c>
      <c r="AJ15" s="783" t="str">
        <f t="shared" si="18"/>
        <v>N</v>
      </c>
      <c r="AK15" s="778" t="str" cm="1">
        <f t="array" ref="AK15">IFERROR(INDEX('Import 2023 Data'!$E$4:$I$113,_xlfn.XMATCH(COO!$AE15,'Import 2023 Data'!$C$4:$C$113),_xlfn.XMATCH(COO!AK$5,'Import 2023 Data'!$E$3:$I$3)),"-")</f>
        <v>-</v>
      </c>
      <c r="AL15" s="891" t="str" cm="1">
        <f t="array" ref="AL15">IFERROR(INDEX('Import 2023 Data'!$E$4:$I$113,_xlfn.XMATCH(COO!$AE15,'Import 2023 Data'!$C$4:$C$113),_xlfn.XMATCH(COO!AL$5,'Import 2023 Data'!$E$3:$I$3)),"-")</f>
        <v>-</v>
      </c>
      <c r="AM15" s="892" t="str" cm="1">
        <f t="array" ref="AM15">IFERROR(INDEX('Import 2023 Data'!$E$4:$I$113,_xlfn.XMATCH(COO!$AE15,'Import 2023 Data'!$C$4:$C$113),_xlfn.XMATCH(COO!AM$5,'Import 2023 Data'!$E$3:$I$3)),"-")</f>
        <v>-</v>
      </c>
      <c r="AN15" s="888" t="str">
        <f t="shared" si="17"/>
        <v>-</v>
      </c>
    </row>
    <row r="16" spans="1:42" s="886" customFormat="1" ht="20.25" customHeight="1" collapsed="1">
      <c r="A16" s="886" t="str">
        <f t="shared" si="0"/>
        <v>TSX:NGD_2024_COO</v>
      </c>
      <c r="B16" s="886" t="str">
        <f>'Raw Data'!D13</f>
        <v>TSX:NGD</v>
      </c>
      <c r="C16" s="766" t="str">
        <f t="shared" si="1"/>
        <v>New Gold Inc.</v>
      </c>
      <c r="D16" s="767">
        <f>_xll.ciqfunctions.udf.CIQ(B16, "IQ_MARKETCAP", $A$1,$A$2)</f>
        <v>5001.45208</v>
      </c>
      <c r="E16" s="767">
        <f>_xll.ciqfunctions.udf.CIQ($B16, "IQ_TEV", $A$1,$A$2)</f>
        <v>5417.8523800000003</v>
      </c>
      <c r="F16" s="768" t="str">
        <f t="shared" si="2"/>
        <v>Yohann Bouchard</v>
      </c>
      <c r="G16" s="768" t="str">
        <f t="shared" si="2"/>
        <v>Former EVP &amp; COO</v>
      </c>
      <c r="H16" s="767" t="str">
        <f t="shared" si="3"/>
        <v>-</v>
      </c>
      <c r="I16" s="767">
        <f t="shared" si="3"/>
        <v>575</v>
      </c>
      <c r="J16" s="769">
        <f t="shared" si="3"/>
        <v>781.35699999999997</v>
      </c>
      <c r="K16" s="770">
        <f t="shared" si="4"/>
        <v>1.3588817391304349</v>
      </c>
      <c r="L16" s="770">
        <f t="shared" si="4"/>
        <v>1.3385118988872211</v>
      </c>
      <c r="M16" s="771">
        <f t="shared" si="5"/>
        <v>575</v>
      </c>
      <c r="N16" s="772">
        <f t="shared" si="6"/>
        <v>1</v>
      </c>
      <c r="O16" s="769">
        <f t="shared" si="7"/>
        <v>1356.357</v>
      </c>
      <c r="P16" s="773">
        <f t="shared" si="7"/>
        <v>1150</v>
      </c>
      <c r="Q16" s="769">
        <f t="shared" si="7"/>
        <v>1058.75</v>
      </c>
      <c r="R16" s="770">
        <f t="shared" si="8"/>
        <v>1.8413043478260869</v>
      </c>
      <c r="S16" s="770">
        <f t="shared" si="8"/>
        <v>1.5572923385583408</v>
      </c>
      <c r="T16" s="771">
        <f t="shared" si="9"/>
        <v>1006.25</v>
      </c>
      <c r="U16" s="772">
        <f t="shared" si="10"/>
        <v>1.75</v>
      </c>
      <c r="V16" s="769">
        <f t="shared" si="11"/>
        <v>2415.107</v>
      </c>
      <c r="W16" s="774">
        <f t="shared" si="11"/>
        <v>2156.25</v>
      </c>
      <c r="X16" s="769" t="str">
        <f t="shared" si="12"/>
        <v>-</v>
      </c>
      <c r="Y16" s="774">
        <f t="shared" si="12"/>
        <v>15.78</v>
      </c>
      <c r="Z16" s="769">
        <f t="shared" si="13"/>
        <v>2430.8870000000002</v>
      </c>
      <c r="AA16" s="774">
        <f t="shared" si="13"/>
        <v>2172.0300000000002</v>
      </c>
      <c r="AB16" s="887"/>
      <c r="AC16" s="776">
        <f t="shared" si="14"/>
        <v>0.53333333333333333</v>
      </c>
      <c r="AD16" s="777">
        <f t="shared" si="15"/>
        <v>0.46666666666666667</v>
      </c>
      <c r="AE16" s="778" t="str">
        <f t="shared" si="16"/>
        <v>TSX:NGD_2023_COO</v>
      </c>
      <c r="AF16" s="778"/>
      <c r="AG16" s="782" t="str" cm="1">
        <f t="array" ref="AG16">IFERROR(INDEX('Import 2023 Data'!$E$4:$I$113,_xlfn.XMATCH(COO!$AE16,'Import 2023 Data'!$C$4:$C$113),_xlfn.XMATCH(COO!AG$5,'Import 2023 Data'!$E$3:$I$3)),"-")</f>
        <v>New Gold Inc.</v>
      </c>
      <c r="AH16" s="778" t="str" cm="1">
        <f t="array" ref="AH16">IFERROR(INDEX('Import 2023 Data'!$E$4:$I$113,_xlfn.XMATCH(COO!$AE16,'Import 2023 Data'!$C$4:$C$113),_xlfn.XMATCH(COO!AH$5,'Import 2023 Data'!$E$3:$I$3)),"-")</f>
        <v>Yohann Bouchard</v>
      </c>
      <c r="AI16" s="783" t="str">
        <f>IF(ISNUMBER(_xlfn.XMATCH(C16,'Import 2023 Data'!$E$4:$E$113)),"N","Y")</f>
        <v>N</v>
      </c>
      <c r="AJ16" s="783" t="str">
        <f t="shared" si="18"/>
        <v>N</v>
      </c>
      <c r="AK16" s="778" t="str" cm="1">
        <f t="array" ref="AK16">IFERROR(INDEX('Import 2023 Data'!$E$4:$I$113,_xlfn.XMATCH(COO!$AE16,'Import 2023 Data'!$C$4:$C$113),_xlfn.XMATCH(COO!AK$5,'Import 2023 Data'!$E$3:$I$3)),"-")</f>
        <v>EVP and COO</v>
      </c>
      <c r="AL16" s="893" cm="1">
        <f t="array" ref="AL16">IFERROR(INDEX('Import 2023 Data'!$E$4:$I$113,_xlfn.XMATCH(COO!$AE16,'Import 2023 Data'!$C$4:$C$113),_xlfn.XMATCH(COO!AL$5,'Import 2023 Data'!$E$3:$I$3)),"-")</f>
        <v>2061.8701363636364</v>
      </c>
      <c r="AM16" s="894" cm="1">
        <f t="array" ref="AM16">IFERROR(INDEX('Import 2023 Data'!$E$4:$I$113,_xlfn.XMATCH(COO!$AE16,'Import 2023 Data'!$C$4:$C$113),_xlfn.XMATCH(COO!AM$5,'Import 2023 Data'!$E$3:$I$3)),"-")</f>
        <v>2156.25</v>
      </c>
      <c r="AN16" s="888">
        <f t="shared" si="17"/>
        <v>0</v>
      </c>
      <c r="AP16" s="886" t="s">
        <v>755</v>
      </c>
    </row>
    <row r="17" spans="1:42" s="886" customFormat="1" ht="20.25" customHeight="1">
      <c r="A17" s="886" t="str">
        <f t="shared" si="0"/>
        <v>TSX:ELD_2024_COO</v>
      </c>
      <c r="B17" s="886" t="str">
        <f>'Raw Data'!D14</f>
        <v>TSX:ELD</v>
      </c>
      <c r="C17" s="766" t="str">
        <f t="shared" si="1"/>
        <v>Eldorado Gold Corporation</v>
      </c>
      <c r="D17" s="767">
        <f>_xll.ciqfunctions.udf.CIQ(B17, "IQ_MARKETCAP", $A$1,$A$2)</f>
        <v>5759.9111199999998</v>
      </c>
      <c r="E17" s="767">
        <f>_xll.ciqfunctions.udf.CIQ($B17, "IQ_TEV", $A$1,$A$2)</f>
        <v>5657.0414199999996</v>
      </c>
      <c r="F17" s="768" t="str">
        <f t="shared" si="2"/>
        <v>Simon Hille</v>
      </c>
      <c r="G17" s="768" t="str">
        <f t="shared" si="2"/>
        <v>EVP, Technical Services &amp; Operations</v>
      </c>
      <c r="H17" s="767" t="str">
        <f t="shared" si="3"/>
        <v>-</v>
      </c>
      <c r="I17" s="767">
        <f t="shared" si="3"/>
        <v>488</v>
      </c>
      <c r="J17" s="769">
        <f t="shared" si="3"/>
        <v>448.96</v>
      </c>
      <c r="K17" s="770">
        <f t="shared" si="4"/>
        <v>0.92</v>
      </c>
      <c r="L17" s="770">
        <f t="shared" si="4"/>
        <v>0.86998136654410607</v>
      </c>
      <c r="M17" s="771">
        <f t="shared" si="5"/>
        <v>390.4</v>
      </c>
      <c r="N17" s="772">
        <f t="shared" si="6"/>
        <v>0.8</v>
      </c>
      <c r="O17" s="769">
        <f t="shared" si="7"/>
        <v>936.96</v>
      </c>
      <c r="P17" s="773">
        <f t="shared" si="7"/>
        <v>878.4</v>
      </c>
      <c r="Q17" s="769">
        <f t="shared" si="7"/>
        <v>731.98400000000004</v>
      </c>
      <c r="R17" s="770">
        <f t="shared" si="8"/>
        <v>1.4999672131147541</v>
      </c>
      <c r="S17" s="770">
        <f t="shared" si="8"/>
        <v>1.338359911692685</v>
      </c>
      <c r="T17" s="771">
        <f t="shared" si="9"/>
        <v>732</v>
      </c>
      <c r="U17" s="772">
        <f t="shared" si="10"/>
        <v>1.5</v>
      </c>
      <c r="V17" s="769">
        <f t="shared" si="11"/>
        <v>1668.944</v>
      </c>
      <c r="W17" s="774">
        <f t="shared" si="11"/>
        <v>1610.4</v>
      </c>
      <c r="X17" s="769">
        <f t="shared" si="12"/>
        <v>87.84</v>
      </c>
      <c r="Y17" s="774" t="str">
        <f t="shared" si="12"/>
        <v>-</v>
      </c>
      <c r="Z17" s="769">
        <f t="shared" si="13"/>
        <v>1756.7840000000001</v>
      </c>
      <c r="AA17" s="774">
        <f t="shared" si="13"/>
        <v>1698.24</v>
      </c>
      <c r="AB17" s="887"/>
      <c r="AC17" s="776">
        <f t="shared" si="14"/>
        <v>0.54545454545454541</v>
      </c>
      <c r="AD17" s="777">
        <f t="shared" si="15"/>
        <v>0.45454545454545453</v>
      </c>
      <c r="AE17" s="778" t="str">
        <f t="shared" si="16"/>
        <v>TSX:ELD_2023_COO</v>
      </c>
      <c r="AF17" s="778"/>
      <c r="AG17" s="782" t="str" cm="1">
        <f t="array" ref="AG17">IFERROR(INDEX('Import 2023 Data'!$E$4:$I$113,_xlfn.XMATCH(COO!$AE17,'Import 2023 Data'!$C$4:$C$113),_xlfn.XMATCH(COO!AG$5,'Import 2023 Data'!$E$3:$I$3)),"-")</f>
        <v>Eldorado Gold Corporation</v>
      </c>
      <c r="AH17" s="778" t="str" cm="1">
        <f t="array" ref="AH17">IFERROR(INDEX('Import 2023 Data'!$E$4:$I$113,_xlfn.XMATCH(COO!$AE17,'Import 2023 Data'!$C$4:$C$113),_xlfn.XMATCH(COO!AH$5,'Import 2023 Data'!$E$3:$I$3)),"-")</f>
        <v xml:space="preserve">Joseph Dick </v>
      </c>
      <c r="AI17" s="783" t="str">
        <f>IF(ISNUMBER(_xlfn.XMATCH(C17,'Import 2023 Data'!$E$4:$E$113)),"N","Y")</f>
        <v>N</v>
      </c>
      <c r="AJ17" s="783" t="str">
        <f t="shared" si="18"/>
        <v>Y</v>
      </c>
      <c r="AK17" s="778" t="str" cm="1">
        <f t="array" ref="AK17">IFERROR(INDEX('Import 2023 Data'!$E$4:$I$113,_xlfn.XMATCH(COO!$AE17,'Import 2023 Data'!$C$4:$C$113),_xlfn.XMATCH(COO!AK$5,'Import 2023 Data'!$E$3:$I$3)),"-")</f>
        <v>Former EVP and COO</v>
      </c>
      <c r="AL17" s="893" cm="1">
        <f t="array" ref="AL17">IFERROR(INDEX('Import 2023 Data'!$E$4:$I$113,_xlfn.XMATCH(COO!$AE17,'Import 2023 Data'!$C$4:$C$113),_xlfn.XMATCH(COO!AL$5,'Import 2023 Data'!$E$3:$I$3)),"-")</f>
        <v>2072.3809999999999</v>
      </c>
      <c r="AM17" s="894" cm="1">
        <f t="array" ref="AM17">IFERROR(INDEX('Import 2023 Data'!$E$4:$I$113,_xlfn.XMATCH(COO!$AE17,'Import 2023 Data'!$C$4:$C$113),_xlfn.XMATCH(COO!AM$5,'Import 2023 Data'!$E$3:$I$3)),"-")</f>
        <v>2005.41</v>
      </c>
      <c r="AN17" s="888" t="str">
        <f t="shared" si="17"/>
        <v>-</v>
      </c>
    </row>
    <row r="18" spans="1:42" s="886" customFormat="1" ht="20.25" customHeight="1">
      <c r="A18" s="886" t="str">
        <f t="shared" si="0"/>
        <v>TSX:SSRM_2024_COO</v>
      </c>
      <c r="B18" s="886" t="str">
        <f>'Raw Data'!D15</f>
        <v>TSX:SSRM</v>
      </c>
      <c r="C18" s="766" t="str">
        <f t="shared" si="1"/>
        <v>SSR Mining Inc.</v>
      </c>
      <c r="D18" s="767">
        <f>_xll.ciqfunctions.udf.CIQ(B18, "IQ_MARKETCAP", $A$1,$A$2)</f>
        <v>3530.3646100000001</v>
      </c>
      <c r="E18" s="767">
        <f>_xll.ciqfunctions.udf.CIQ($B18, "IQ_TEV", $A$1,$A$2)</f>
        <v>4740.9122799999996</v>
      </c>
      <c r="F18" s="768" t="str">
        <f t="shared" si="2"/>
        <v>Bill MacNevin</v>
      </c>
      <c r="G18" s="768" t="str">
        <f t="shared" si="2"/>
        <v>EVP, Operations and Sustainability</v>
      </c>
      <c r="H18" s="767" t="str">
        <f t="shared" si="3"/>
        <v>-</v>
      </c>
      <c r="I18" s="767">
        <f t="shared" si="3"/>
        <v>822.10200000000009</v>
      </c>
      <c r="J18" s="769">
        <f t="shared" si="3"/>
        <v>561.08461499999999</v>
      </c>
      <c r="K18" s="770">
        <f t="shared" si="4"/>
        <v>0.68249999999999988</v>
      </c>
      <c r="L18" s="770">
        <f t="shared" si="4"/>
        <v>0.66026999999999991</v>
      </c>
      <c r="M18" s="771">
        <f t="shared" si="5"/>
        <v>616.57650000000012</v>
      </c>
      <c r="N18" s="772">
        <f t="shared" si="6"/>
        <v>0.75</v>
      </c>
      <c r="O18" s="769">
        <f t="shared" si="7"/>
        <v>1383.1866150000003</v>
      </c>
      <c r="P18" s="773">
        <f t="shared" si="7"/>
        <v>1438.6785000000002</v>
      </c>
      <c r="Q18" s="769">
        <f t="shared" si="7"/>
        <v>1438.6785</v>
      </c>
      <c r="R18" s="770">
        <f t="shared" si="8"/>
        <v>1.7499999999999998</v>
      </c>
      <c r="S18" s="770">
        <f t="shared" si="8"/>
        <v>1.625</v>
      </c>
      <c r="T18" s="771">
        <f t="shared" si="9"/>
        <v>1438.6785000000002</v>
      </c>
      <c r="U18" s="772">
        <f t="shared" si="10"/>
        <v>1.75</v>
      </c>
      <c r="V18" s="769">
        <f t="shared" si="11"/>
        <v>2821.8651150000001</v>
      </c>
      <c r="W18" s="774">
        <f t="shared" si="11"/>
        <v>2877.3570000000004</v>
      </c>
      <c r="X18" s="769">
        <f t="shared" si="12"/>
        <v>37.816692000000003</v>
      </c>
      <c r="Y18" s="774" t="str">
        <f t="shared" si="12"/>
        <v>-</v>
      </c>
      <c r="Z18" s="769">
        <f t="shared" si="13"/>
        <v>2859.6818069999999</v>
      </c>
      <c r="AA18" s="774">
        <f t="shared" si="13"/>
        <v>2915.1736920000003</v>
      </c>
      <c r="AB18" s="887"/>
      <c r="AC18" s="776">
        <f t="shared" si="14"/>
        <v>0.5</v>
      </c>
      <c r="AD18" s="777">
        <f t="shared" si="15"/>
        <v>0.5</v>
      </c>
      <c r="AE18" s="778" t="str">
        <f t="shared" si="16"/>
        <v>TSX:SSRM_2023_COO</v>
      </c>
      <c r="AF18" s="778"/>
      <c r="AG18" s="782" t="str" cm="1">
        <f t="array" ref="AG18">IFERROR(INDEX('Import 2023 Data'!$E$4:$I$113,_xlfn.XMATCH(COO!$AE18,'Import 2023 Data'!$C$4:$C$113),_xlfn.XMATCH(COO!AG$5,'Import 2023 Data'!$E$3:$I$3)),"-")</f>
        <v>SSR Mining Inc.</v>
      </c>
      <c r="AH18" s="778" t="str" cm="1">
        <f t="array" ref="AH18">IFERROR(INDEX('Import 2023 Data'!$E$4:$I$113,_xlfn.XMATCH(COO!$AE18,'Import 2023 Data'!$C$4:$C$113),_xlfn.XMATCH(COO!AH$5,'Import 2023 Data'!$E$3:$I$3)),"-")</f>
        <v>Bill MacNevin</v>
      </c>
      <c r="AI18" s="783" t="str">
        <f>IF(ISNUMBER(_xlfn.XMATCH(C18,'Import 2023 Data'!$E$4:$E$113)),"N","Y")</f>
        <v>N</v>
      </c>
      <c r="AJ18" s="783" t="str">
        <f t="shared" si="18"/>
        <v>N</v>
      </c>
      <c r="AK18" s="778" t="str" cm="1">
        <f t="array" ref="AK18">IFERROR(INDEX('Import 2023 Data'!$E$4:$I$113,_xlfn.XMATCH(COO!$AE18,'Import 2023 Data'!$C$4:$C$113),_xlfn.XMATCH(COO!AK$5,'Import 2023 Data'!$E$3:$I$3)),"-")</f>
        <v xml:space="preserve">EVP Operations and Sustainability </v>
      </c>
      <c r="AL18" s="893" cm="1">
        <f t="array" ref="AL18">IFERROR(INDEX('Import 2023 Data'!$E$4:$I$113,_xlfn.XMATCH(COO!$AE18,'Import 2023 Data'!$C$4:$C$113),_xlfn.XMATCH(COO!AL$5,'Import 2023 Data'!$E$3:$I$3)),"-")</f>
        <v>2223.3280133399999</v>
      </c>
      <c r="AM18" s="894" cm="1">
        <f t="array" ref="AM18">IFERROR(INDEX('Import 2023 Data'!$E$4:$I$113,_xlfn.XMATCH(COO!$AE18,'Import 2023 Data'!$C$4:$C$113),_xlfn.XMATCH(COO!AM$5,'Import 2023 Data'!$E$3:$I$3)),"-")</f>
        <v>2302.6526250000002</v>
      </c>
      <c r="AN18" s="888">
        <f t="shared" si="17"/>
        <v>0.24958361880572411</v>
      </c>
      <c r="AP18" s="886" t="s">
        <v>776</v>
      </c>
    </row>
    <row r="19" spans="1:42" s="886" customFormat="1" ht="20.25" customHeight="1">
      <c r="A19" s="886" t="str">
        <f t="shared" si="0"/>
        <v>TSX:ERO_2024_COO</v>
      </c>
      <c r="B19" s="886" t="str">
        <f>'Raw Data'!D17</f>
        <v>TSX:ERO</v>
      </c>
      <c r="C19" s="766" t="str">
        <f t="shared" si="1"/>
        <v>Ero Copper Corp.</v>
      </c>
      <c r="D19" s="767">
        <f>_xll.ciqfunctions.udf.CIQ(B19, "IQ_MARKETCAP", $A$1,$A$2)</f>
        <v>2080.7628100000002</v>
      </c>
      <c r="E19" s="767">
        <f>_xll.ciqfunctions.udf.CIQ($B19, "IQ_TEV", $A$1,$A$2)</f>
        <v>2927.2829099999999</v>
      </c>
      <c r="F19" s="768" t="str">
        <f t="shared" si="2"/>
        <v>Makko DeFilippo</v>
      </c>
      <c r="G19" s="768" t="str">
        <f t="shared" si="2"/>
        <v>President &amp; COO</v>
      </c>
      <c r="H19" s="767" t="str">
        <f t="shared" si="3"/>
        <v>-</v>
      </c>
      <c r="I19" s="767">
        <f t="shared" si="3"/>
        <v>650.83074999999997</v>
      </c>
      <c r="J19" s="769">
        <f t="shared" si="3"/>
        <v>317.28067571000003</v>
      </c>
      <c r="K19" s="770">
        <f t="shared" si="4"/>
        <v>0.487501052631579</v>
      </c>
      <c r="L19" s="770">
        <f t="shared" si="4"/>
        <v>0.81969989340439708</v>
      </c>
      <c r="M19" s="771">
        <f t="shared" si="5"/>
        <v>488.1230625</v>
      </c>
      <c r="N19" s="772">
        <f t="shared" si="6"/>
        <v>0.75</v>
      </c>
      <c r="O19" s="769">
        <f t="shared" si="7"/>
        <v>968.11142571000005</v>
      </c>
      <c r="P19" s="773">
        <f t="shared" si="7"/>
        <v>1138.9538124999999</v>
      </c>
      <c r="Q19" s="769">
        <f t="shared" si="7"/>
        <v>1976.1646770900002</v>
      </c>
      <c r="R19" s="770">
        <f t="shared" si="8"/>
        <v>3.0363726315789474</v>
      </c>
      <c r="S19" s="770">
        <f t="shared" si="8"/>
        <v>2.307103157894737</v>
      </c>
      <c r="T19" s="771">
        <f t="shared" si="9"/>
        <v>1501.53367858</v>
      </c>
      <c r="U19" s="772">
        <f t="shared" si="10"/>
        <v>2.307103157894737</v>
      </c>
      <c r="V19" s="769">
        <f t="shared" si="11"/>
        <v>2944.2761028000004</v>
      </c>
      <c r="W19" s="774">
        <f t="shared" si="11"/>
        <v>2640.4874910799999</v>
      </c>
      <c r="X19" s="769" t="str">
        <f t="shared" si="12"/>
        <v>-</v>
      </c>
      <c r="Y19" s="774">
        <f t="shared" si="12"/>
        <v>0.41927202000000008</v>
      </c>
      <c r="Z19" s="769">
        <f t="shared" si="13"/>
        <v>2944.6953748200003</v>
      </c>
      <c r="AA19" s="774">
        <f t="shared" si="13"/>
        <v>2640.9067631000003</v>
      </c>
      <c r="AB19" s="887"/>
      <c r="AC19" s="776">
        <f t="shared" si="14"/>
        <v>0.43134224886411043</v>
      </c>
      <c r="AD19" s="777">
        <f t="shared" si="15"/>
        <v>0.56865775113588957</v>
      </c>
      <c r="AE19" s="778" t="str">
        <f t="shared" si="16"/>
        <v>TSX:ERO_2023_COO</v>
      </c>
      <c r="AF19" s="778"/>
      <c r="AG19" s="782" t="str" cm="1">
        <f t="array" ref="AG19">IFERROR(INDEX('Import 2023 Data'!$E$4:$I$113,_xlfn.XMATCH(COO!$AE19,'Import 2023 Data'!$C$4:$C$113),_xlfn.XMATCH(COO!AG$5,'Import 2023 Data'!$E$3:$I$3)),"-")</f>
        <v>Ero Copper Corp.</v>
      </c>
      <c r="AH19" s="778" t="str" cm="1">
        <f t="array" ref="AH19">IFERROR(INDEX('Import 2023 Data'!$E$4:$I$113,_xlfn.XMATCH(COO!$AE19,'Import 2023 Data'!$C$4:$C$113),_xlfn.XMATCH(COO!AH$5,'Import 2023 Data'!$E$3:$I$3)),"-")</f>
        <v>Makko DeFilippo</v>
      </c>
      <c r="AI19" s="783" t="str">
        <f>IF(ISNUMBER(_xlfn.XMATCH(C19,'Import 2023 Data'!$E$4:$E$113)),"N","Y")</f>
        <v>N</v>
      </c>
      <c r="AJ19" s="783" t="str">
        <f t="shared" si="18"/>
        <v>N</v>
      </c>
      <c r="AK19" s="778" t="str" cm="1">
        <f t="array" ref="AK19">IFERROR(INDEX('Import 2023 Data'!$E$4:$I$113,_xlfn.XMATCH(COO!$AE19,'Import 2023 Data'!$C$4:$C$113),_xlfn.XMATCH(COO!AK$5,'Import 2023 Data'!$E$3:$I$3)),"-")</f>
        <v>President &amp; COO</v>
      </c>
      <c r="AL19" s="895" cm="1">
        <f t="array" ref="AL19">IFERROR(INDEX('Import 2023 Data'!$E$4:$I$113,_xlfn.XMATCH(COO!$AE19,'Import 2023 Data'!$C$4:$C$113),_xlfn.XMATCH(COO!AL$5,'Import 2023 Data'!$E$3:$I$3)),"-")</f>
        <v>2133.2462183400003</v>
      </c>
      <c r="AM19" s="896" cm="1">
        <f t="array" ref="AM19">IFERROR(INDEX('Import 2023 Data'!$E$4:$I$113,_xlfn.XMATCH(COO!$AE19,'Import 2023 Data'!$C$4:$C$113),_xlfn.XMATCH(COO!AM$5,'Import 2023 Data'!$E$3:$I$3)),"-")</f>
        <v>2133.2462183400003</v>
      </c>
      <c r="AN19" s="888">
        <f t="shared" si="17"/>
        <v>0.23777905634105045</v>
      </c>
      <c r="AP19" s="886" t="s">
        <v>777</v>
      </c>
    </row>
    <row r="20" spans="1:42" s="886" customFormat="1" ht="20.25" customHeight="1">
      <c r="A20" s="886" t="str">
        <f t="shared" si="0"/>
        <v>TSX:CG_2024_COO</v>
      </c>
      <c r="B20" s="886" t="str">
        <f>'Raw Data'!D18</f>
        <v>TSX:CG</v>
      </c>
      <c r="C20" s="766" t="str">
        <f t="shared" si="1"/>
        <v>Centerra Gold Inc.</v>
      </c>
      <c r="D20" s="767">
        <f>_xll.ciqfunctions.udf.CIQ(B20, "IQ_MARKETCAP", $A$1,$A$2)</f>
        <v>2054.8528000000001</v>
      </c>
      <c r="E20" s="767">
        <f>_xll.ciqfunctions.udf.CIQ($B20, "IQ_TEV", $A$1,$A$2)</f>
        <v>1190.4233200000001</v>
      </c>
      <c r="F20" s="768" t="str">
        <f t="shared" si="2"/>
        <v>Paul Chawrun</v>
      </c>
      <c r="G20" s="768" t="str">
        <f t="shared" si="2"/>
        <v>EVP, COO</v>
      </c>
      <c r="H20" s="767" t="str">
        <f t="shared" si="3"/>
        <v>-</v>
      </c>
      <c r="I20" s="767">
        <f t="shared" si="3"/>
        <v>550</v>
      </c>
      <c r="J20" s="769">
        <f t="shared" si="3"/>
        <v>404.8</v>
      </c>
      <c r="K20" s="770">
        <f t="shared" si="4"/>
        <v>0.73599999999999999</v>
      </c>
      <c r="L20" s="770">
        <f t="shared" si="4"/>
        <v>0.76714895973330421</v>
      </c>
      <c r="M20" s="771">
        <f t="shared" si="5"/>
        <v>440</v>
      </c>
      <c r="N20" s="772">
        <f t="shared" si="6"/>
        <v>0.8</v>
      </c>
      <c r="O20" s="769">
        <f t="shared" si="7"/>
        <v>954.8</v>
      </c>
      <c r="P20" s="773">
        <f t="shared" si="7"/>
        <v>990</v>
      </c>
      <c r="Q20" s="769">
        <f t="shared" si="7"/>
        <v>990.00000000000023</v>
      </c>
      <c r="R20" s="770">
        <f t="shared" si="8"/>
        <v>1.8000000000000005</v>
      </c>
      <c r="S20" s="770">
        <f t="shared" si="8"/>
        <v>1.3910932920122787</v>
      </c>
      <c r="T20" s="771">
        <f t="shared" si="9"/>
        <v>990</v>
      </c>
      <c r="U20" s="772">
        <f t="shared" si="10"/>
        <v>1.8</v>
      </c>
      <c r="V20" s="769">
        <f t="shared" si="11"/>
        <v>1944.8000000000002</v>
      </c>
      <c r="W20" s="774">
        <f t="shared" si="11"/>
        <v>1980</v>
      </c>
      <c r="X20" s="769">
        <f t="shared" si="12"/>
        <v>114.57599999999999</v>
      </c>
      <c r="Y20" s="774">
        <f t="shared" si="12"/>
        <v>62.218000000000004</v>
      </c>
      <c r="Z20" s="769">
        <f t="shared" si="13"/>
        <v>2121.5940000000001</v>
      </c>
      <c r="AA20" s="774">
        <f t="shared" si="13"/>
        <v>2156.7939999999999</v>
      </c>
      <c r="AB20" s="887"/>
      <c r="AC20" s="776">
        <f t="shared" si="14"/>
        <v>0.5</v>
      </c>
      <c r="AD20" s="777">
        <f t="shared" si="15"/>
        <v>0.5</v>
      </c>
      <c r="AE20" s="778" t="str">
        <f t="shared" si="16"/>
        <v>TSX:CG_2023_COO</v>
      </c>
      <c r="AF20" s="778"/>
      <c r="AG20" s="784" t="str" cm="1">
        <f t="array" ref="AG20">IFERROR(INDEX('Import 2023 Data'!$E$4:$I$113,_xlfn.XMATCH(COO!$AE20,'Import 2023 Data'!$C$4:$C$113),_xlfn.XMATCH(COO!AG$5,'Import 2023 Data'!$E$3:$I$3)),"-")</f>
        <v>Centerra Gold Inc.</v>
      </c>
      <c r="AH20" s="785" t="str" cm="1">
        <f t="array" ref="AH20">IFERROR(INDEX('Import 2023 Data'!$E$4:$I$113,_xlfn.XMATCH(COO!$AE20,'Import 2023 Data'!$C$4:$C$113),_xlfn.XMATCH(COO!AH$5,'Import 2023 Data'!$E$3:$I$3)),"-")</f>
        <v xml:space="preserve">Paul Chawrun </v>
      </c>
      <c r="AI20" s="786" t="str">
        <f>IF(ISNUMBER(_xlfn.XMATCH(C20,'Import 2023 Data'!$E$4:$E$113)),"N","Y")</f>
        <v>N</v>
      </c>
      <c r="AJ20" s="786" t="str">
        <f t="shared" si="18"/>
        <v>N</v>
      </c>
      <c r="AK20" s="785" t="str" cm="1">
        <f t="array" ref="AK20">IFERROR(INDEX('Import 2023 Data'!$E$4:$I$113,_xlfn.XMATCH(COO!$AE20,'Import 2023 Data'!$C$4:$C$113),_xlfn.XMATCH(COO!AK$5,'Import 2023 Data'!$E$3:$I$3)),"-")</f>
        <v>EVP and COO</v>
      </c>
      <c r="AL20" s="893" cm="1">
        <f t="array" ref="AL20">IFERROR(INDEX('Import 2023 Data'!$E$4:$I$113,_xlfn.XMATCH(COO!$AE20,'Import 2023 Data'!$C$4:$C$113),_xlfn.XMATCH(COO!AL$5,'Import 2023 Data'!$E$3:$I$3)),"-")</f>
        <v>1882.4280000000001</v>
      </c>
      <c r="AM20" s="894" cm="1">
        <f t="array" ref="AM20">IFERROR(INDEX('Import 2023 Data'!$E$4:$I$113,_xlfn.XMATCH(COO!$AE20,'Import 2023 Data'!$C$4:$C$113),_xlfn.XMATCH(COO!AM$5,'Import 2023 Data'!$E$3:$I$3)),"-")</f>
        <v>1854</v>
      </c>
      <c r="AN20" s="888">
        <f t="shared" si="17"/>
        <v>6.7961165048543659E-2</v>
      </c>
    </row>
    <row r="21" spans="1:42" ht="20.25" hidden="1" customHeight="1" outlineLevel="1">
      <c r="A21" s="12" t="str">
        <f t="shared" ref="A21:A26" si="19">$B21&amp;"_"&amp;$C$3&amp;"_"&amp;$C$2</f>
        <v>0_2024_COO</v>
      </c>
      <c r="B21" s="12">
        <f>'Raw Data'!D19</f>
        <v>0</v>
      </c>
      <c r="C21" s="766" t="str">
        <f t="shared" ref="C21:C26" si="20">IFERROR(INDEX(Raw_Data,MATCH($A21,Look_Up2,0),MATCH(C$4,Component,0)),"-")</f>
        <v>-</v>
      </c>
      <c r="D21" s="767" t="str">
        <f>_xll.ciqfunctions.udf.CIQ(B21, "IQ_MARKETCAP", $A$1,$A$2)</f>
        <v>(Invalid Identifier)</v>
      </c>
      <c r="E21" s="767" t="str">
        <f>_xll.ciqfunctions.udf.CIQ($B21, "IQ_TEV", $A$1,$A$2)</f>
        <v>(Invalid Identifier)</v>
      </c>
      <c r="F21" s="768" t="str">
        <f t="shared" ref="F21:G26" si="21">IFERROR(INDEX(Raw_Data,MATCH($A21,Look_Up2,0),MATCH(F$4,Component,0)),"-")</f>
        <v>-</v>
      </c>
      <c r="G21" s="768" t="str">
        <f t="shared" si="21"/>
        <v>-</v>
      </c>
      <c r="H21" s="767" t="str">
        <f t="shared" ref="H21:J26" si="22">IFERROR(INDEX(Raw_Data,MATCH($A21,Look_Up2,0),MATCH(H$4,Component,0))/1000,"-")</f>
        <v>-</v>
      </c>
      <c r="I21" s="767" t="str">
        <f t="shared" si="22"/>
        <v>-</v>
      </c>
      <c r="J21" s="769" t="str">
        <f t="shared" si="22"/>
        <v>-</v>
      </c>
      <c r="K21" s="770" t="str">
        <f t="shared" ref="K21:L26" si="23">IFERROR(INDEX(Raw_Data,MATCH($A21,Look_Up2,0),MATCH(K$4,Component,0)),"-")</f>
        <v>-</v>
      </c>
      <c r="L21" s="770" t="str">
        <f t="shared" si="23"/>
        <v>-</v>
      </c>
      <c r="M21" s="771" t="str">
        <f t="shared" ref="M21:M26" si="24">IFERROR(INDEX(Raw_Data,MATCH($A21,Look_Up2,0),MATCH(M$4,Component,0))/1000,"-")</f>
        <v>-</v>
      </c>
      <c r="N21" s="772" t="str">
        <f t="shared" ref="N21:N26" si="25">IFERROR(IF(INDEX(Raw_Data,MATCH($A21,Look_Up2,0),MATCH(N$4,Component,0))="-",L21,INDEX(Raw_Data,MATCH($A21,Look_Up2,0),MATCH(N$4,Component,0))),"-")</f>
        <v>-</v>
      </c>
      <c r="O21" s="769" t="str">
        <f t="shared" ref="O21:Q26" si="26">IFERROR(INDEX(Raw_Data,MATCH($A21,Look_Up2,0),MATCH(O$4,Component,0))/1000,"-")</f>
        <v>-</v>
      </c>
      <c r="P21" s="773" t="str">
        <f t="shared" si="26"/>
        <v>-</v>
      </c>
      <c r="Q21" s="769" t="str">
        <f t="shared" si="26"/>
        <v>-</v>
      </c>
      <c r="R21" s="770" t="str">
        <f t="shared" ref="R21:S26" si="27">IFERROR(INDEX(Raw_Data,MATCH($A21,Look_Up2,0),MATCH(R$4,Component,0)),"-")</f>
        <v>-</v>
      </c>
      <c r="S21" s="770" t="str">
        <f t="shared" si="27"/>
        <v>-</v>
      </c>
      <c r="T21" s="771" t="str">
        <f t="shared" ref="T21:T26" si="28">IFERROR(INDEX(Raw_Data,MATCH($A21,Look_Up2,0),MATCH(T$4,Component,0))/1000,"-")</f>
        <v>-</v>
      </c>
      <c r="U21" s="772" t="str">
        <f t="shared" ref="U21:U26" si="29">IFERROR(IF(INDEX(Raw_Data,MATCH($A21,Look_Up2,0),MATCH(U$4,Component,0))="-",S21,INDEX(Raw_Data,MATCH($A21,Look_Up2,0),MATCH(U$4,Component,0))),"-")</f>
        <v>-</v>
      </c>
      <c r="V21" s="769" t="str">
        <f t="shared" ref="V21:W26" si="30">IFERROR(INDEX(Raw_Data,MATCH($A21,Look_Up2,0),MATCH(V$4,Component,0))/1000,"-")</f>
        <v>-</v>
      </c>
      <c r="W21" s="774" t="str">
        <f t="shared" si="30"/>
        <v>-</v>
      </c>
      <c r="X21" s="769" t="str">
        <f t="shared" ref="X21:Y26" si="31">IFERROR((INDEX(Raw_Data,MATCH($A21,Look_Up2,0),MATCH(X$4,Component,0))/1000),"-")</f>
        <v>-</v>
      </c>
      <c r="Y21" s="774" t="str">
        <f t="shared" si="31"/>
        <v>-</v>
      </c>
      <c r="Z21" s="769" t="str">
        <f t="shared" ref="Z21:AA26" si="32">IFERROR(INDEX(Raw_Data,MATCH($A21,Look_Up2,0),MATCH(Z$4,Component,0))/1000,"-")</f>
        <v>-</v>
      </c>
      <c r="AA21" s="774" t="str">
        <f t="shared" si="32"/>
        <v>-</v>
      </c>
      <c r="AB21" s="775"/>
      <c r="AC21" s="776" t="str">
        <f t="shared" ref="AC21:AC26" si="33">IFERROR(P21/W21,"-")</f>
        <v>-</v>
      </c>
      <c r="AD21" s="777" t="str">
        <f t="shared" ref="AD21:AD26" si="34">IFERROR(T21/W21,"-")</f>
        <v>-</v>
      </c>
      <c r="AE21" s="778" t="str">
        <f t="shared" ref="AE21:AE26" si="35">B21&amp;"_"&amp;$AE$6&amp;"_"&amp;$C$2</f>
        <v>0_2023_COO</v>
      </c>
      <c r="AF21" s="778"/>
      <c r="AG21" s="782" t="str" cm="1">
        <f t="array" ref="AG21">IFERROR(INDEX('Import 2023 Data'!$E$4:$I$113,_xlfn.XMATCH(COO!$AE21,'Import 2023 Data'!$C$4:$C$113),_xlfn.XMATCH(COO!AG$5,'Import 2023 Data'!$E$3:$I$3)),"-")</f>
        <v>-</v>
      </c>
      <c r="AH21" s="778" t="str" cm="1">
        <f t="array" ref="AH21">IFERROR(INDEX('Import 2023 Data'!$E$4:$I$113,_xlfn.XMATCH(COO!$AE21,'Import 2023 Data'!$C$4:$C$113),_xlfn.XMATCH(COO!AH$5,'Import 2023 Data'!$E$3:$I$3)),"-")</f>
        <v>-</v>
      </c>
      <c r="AI21" s="778"/>
      <c r="AJ21" s="783" t="str">
        <f t="shared" ref="AJ21:AJ26" si="36">IFERROR(IF(TRIM(LOWER(AH21))=TRIM(LOWER(F21)),"N","Y"),"-")</f>
        <v>N</v>
      </c>
      <c r="AK21" s="778" t="str" cm="1">
        <f t="array" ref="AK21">IFERROR(INDEX('Import 2023 Data'!$E$4:$I$113,_xlfn.XMATCH(COO!$AE21,'Import 2023 Data'!$C$4:$C$113),_xlfn.XMATCH(COO!AK$5,'Import 2023 Data'!$E$3:$I$3)),"-")</f>
        <v>-</v>
      </c>
      <c r="AL21" s="775" t="str" cm="1">
        <f t="array" ref="AL21">IFERROR(INDEX('Import 2023 Data'!$E$4:$I$113,_xlfn.XMATCH(COO!$AE21,'Import 2023 Data'!$C$4:$C$113),_xlfn.XMATCH(COO!AL$5,'Import 2023 Data'!$E$3:$I$3)),"-")</f>
        <v>-</v>
      </c>
      <c r="AM21" s="775" t="str" cm="1">
        <f t="array" ref="AM21">IFERROR(INDEX('Import 2023 Data'!$E$4:$I$113,_xlfn.XMATCH(COO!$AE21,'Import 2023 Data'!$C$4:$C$113),_xlfn.XMATCH(COO!AM$5,'Import 2023 Data'!$E$3:$I$3)),"-")</f>
        <v>-</v>
      </c>
      <c r="AN21" s="505" t="str">
        <f t="shared" ref="AN21:AN26" si="37">IFERROR(IF(AJ21="Y","New Incumbent",W21/AM21-1),"-")</f>
        <v>-</v>
      </c>
    </row>
    <row r="22" spans="1:42" ht="20.25" hidden="1" customHeight="1" outlineLevel="1">
      <c r="A22" s="12" t="str">
        <f t="shared" si="19"/>
        <v>0_2024_COO</v>
      </c>
      <c r="B22" s="12">
        <f>'Raw Data'!D20</f>
        <v>0</v>
      </c>
      <c r="C22" s="766" t="str">
        <f t="shared" si="20"/>
        <v>-</v>
      </c>
      <c r="D22" s="767" t="str">
        <f>_xll.ciqfunctions.udf.CIQ(B22, "IQ_MARKETCAP", $A$1,$A$2)</f>
        <v>(Invalid Identifier)</v>
      </c>
      <c r="E22" s="767" t="str">
        <f>_xll.ciqfunctions.udf.CIQ($B22, "IQ_TEV", $A$1,$A$2)</f>
        <v>(Invalid Identifier)</v>
      </c>
      <c r="F22" s="768" t="str">
        <f t="shared" si="21"/>
        <v>-</v>
      </c>
      <c r="G22" s="768" t="str">
        <f t="shared" si="21"/>
        <v>-</v>
      </c>
      <c r="H22" s="767" t="str">
        <f t="shared" si="22"/>
        <v>-</v>
      </c>
      <c r="I22" s="767" t="str">
        <f t="shared" si="22"/>
        <v>-</v>
      </c>
      <c r="J22" s="769" t="str">
        <f t="shared" si="22"/>
        <v>-</v>
      </c>
      <c r="K22" s="770" t="str">
        <f t="shared" si="23"/>
        <v>-</v>
      </c>
      <c r="L22" s="770" t="str">
        <f t="shared" si="23"/>
        <v>-</v>
      </c>
      <c r="M22" s="771" t="str">
        <f t="shared" si="24"/>
        <v>-</v>
      </c>
      <c r="N22" s="772" t="str">
        <f t="shared" si="25"/>
        <v>-</v>
      </c>
      <c r="O22" s="769" t="str">
        <f t="shared" si="26"/>
        <v>-</v>
      </c>
      <c r="P22" s="773" t="str">
        <f t="shared" si="26"/>
        <v>-</v>
      </c>
      <c r="Q22" s="769" t="str">
        <f t="shared" si="26"/>
        <v>-</v>
      </c>
      <c r="R22" s="770" t="str">
        <f t="shared" si="27"/>
        <v>-</v>
      </c>
      <c r="S22" s="770" t="str">
        <f t="shared" si="27"/>
        <v>-</v>
      </c>
      <c r="T22" s="771" t="str">
        <f t="shared" si="28"/>
        <v>-</v>
      </c>
      <c r="U22" s="772" t="str">
        <f t="shared" si="29"/>
        <v>-</v>
      </c>
      <c r="V22" s="769" t="str">
        <f t="shared" si="30"/>
        <v>-</v>
      </c>
      <c r="W22" s="774" t="str">
        <f t="shared" si="30"/>
        <v>-</v>
      </c>
      <c r="X22" s="769" t="str">
        <f t="shared" si="31"/>
        <v>-</v>
      </c>
      <c r="Y22" s="774" t="str">
        <f t="shared" si="31"/>
        <v>-</v>
      </c>
      <c r="Z22" s="769" t="str">
        <f t="shared" si="32"/>
        <v>-</v>
      </c>
      <c r="AA22" s="774" t="str">
        <f t="shared" si="32"/>
        <v>-</v>
      </c>
      <c r="AB22" s="775"/>
      <c r="AC22" s="776" t="str">
        <f t="shared" si="33"/>
        <v>-</v>
      </c>
      <c r="AD22" s="777" t="str">
        <f t="shared" si="34"/>
        <v>-</v>
      </c>
      <c r="AE22" s="778" t="str">
        <f t="shared" si="35"/>
        <v>0_2023_COO</v>
      </c>
      <c r="AF22" s="778"/>
      <c r="AG22" s="782" t="str" cm="1">
        <f t="array" ref="AG22">IFERROR(INDEX('Import 2023 Data'!$E$4:$I$113,_xlfn.XMATCH(COO!$AE22,'Import 2023 Data'!$C$4:$C$113),_xlfn.XMATCH(COO!AG$5,'Import 2023 Data'!$E$3:$I$3)),"-")</f>
        <v>-</v>
      </c>
      <c r="AH22" s="778" t="str" cm="1">
        <f t="array" ref="AH22">IFERROR(INDEX('Import 2023 Data'!$E$4:$I$113,_xlfn.XMATCH(COO!$AE22,'Import 2023 Data'!$C$4:$C$113),_xlfn.XMATCH(COO!AH$5,'Import 2023 Data'!$E$3:$I$3)),"-")</f>
        <v>-</v>
      </c>
      <c r="AI22" s="778"/>
      <c r="AJ22" s="783" t="str">
        <f t="shared" si="36"/>
        <v>N</v>
      </c>
      <c r="AK22" s="778" t="str" cm="1">
        <f t="array" ref="AK22">IFERROR(INDEX('Import 2023 Data'!$E$4:$I$113,_xlfn.XMATCH(COO!$AE22,'Import 2023 Data'!$C$4:$C$113),_xlfn.XMATCH(COO!AK$5,'Import 2023 Data'!$E$3:$I$3)),"-")</f>
        <v>-</v>
      </c>
      <c r="AL22" s="775" t="str" cm="1">
        <f t="array" ref="AL22">IFERROR(INDEX('Import 2023 Data'!$E$4:$I$113,_xlfn.XMATCH(COO!$AE22,'Import 2023 Data'!$C$4:$C$113),_xlfn.XMATCH(COO!AL$5,'Import 2023 Data'!$E$3:$I$3)),"-")</f>
        <v>-</v>
      </c>
      <c r="AM22" s="775" t="str" cm="1">
        <f t="array" ref="AM22">IFERROR(INDEX('Import 2023 Data'!$E$4:$I$113,_xlfn.XMATCH(COO!$AE22,'Import 2023 Data'!$C$4:$C$113),_xlfn.XMATCH(COO!AM$5,'Import 2023 Data'!$E$3:$I$3)),"-")</f>
        <v>-</v>
      </c>
      <c r="AN22" s="505" t="str">
        <f t="shared" si="37"/>
        <v>-</v>
      </c>
    </row>
    <row r="23" spans="1:42" ht="20.25" hidden="1" customHeight="1" outlineLevel="1">
      <c r="A23" s="12" t="str">
        <f t="shared" si="19"/>
        <v>0_2024_COO</v>
      </c>
      <c r="B23" s="12">
        <f>'Raw Data'!D21</f>
        <v>0</v>
      </c>
      <c r="C23" s="766" t="str">
        <f t="shared" si="20"/>
        <v>-</v>
      </c>
      <c r="D23" s="767" t="str">
        <f>_xll.ciqfunctions.udf.CIQ(B23, "IQ_MARKETCAP", $A$1,$A$2)</f>
        <v>(Invalid Identifier)</v>
      </c>
      <c r="E23" s="767" t="str">
        <f>_xll.ciqfunctions.udf.CIQ($B23, "IQ_TEV", $A$1,$A$2)</f>
        <v>(Invalid Identifier)</v>
      </c>
      <c r="F23" s="768" t="str">
        <f t="shared" si="21"/>
        <v>-</v>
      </c>
      <c r="G23" s="768" t="str">
        <f t="shared" si="21"/>
        <v>-</v>
      </c>
      <c r="H23" s="767" t="str">
        <f t="shared" si="22"/>
        <v>-</v>
      </c>
      <c r="I23" s="767" t="str">
        <f t="shared" si="22"/>
        <v>-</v>
      </c>
      <c r="J23" s="769" t="str">
        <f t="shared" si="22"/>
        <v>-</v>
      </c>
      <c r="K23" s="770" t="str">
        <f t="shared" si="23"/>
        <v>-</v>
      </c>
      <c r="L23" s="770" t="str">
        <f t="shared" si="23"/>
        <v>-</v>
      </c>
      <c r="M23" s="771" t="str">
        <f t="shared" si="24"/>
        <v>-</v>
      </c>
      <c r="N23" s="772" t="str">
        <f t="shared" si="25"/>
        <v>-</v>
      </c>
      <c r="O23" s="769" t="str">
        <f t="shared" si="26"/>
        <v>-</v>
      </c>
      <c r="P23" s="773" t="str">
        <f t="shared" si="26"/>
        <v>-</v>
      </c>
      <c r="Q23" s="769" t="str">
        <f t="shared" si="26"/>
        <v>-</v>
      </c>
      <c r="R23" s="770" t="str">
        <f t="shared" si="27"/>
        <v>-</v>
      </c>
      <c r="S23" s="770" t="str">
        <f t="shared" si="27"/>
        <v>-</v>
      </c>
      <c r="T23" s="771" t="str">
        <f t="shared" si="28"/>
        <v>-</v>
      </c>
      <c r="U23" s="772" t="str">
        <f t="shared" si="29"/>
        <v>-</v>
      </c>
      <c r="V23" s="769" t="str">
        <f t="shared" si="30"/>
        <v>-</v>
      </c>
      <c r="W23" s="774" t="str">
        <f t="shared" si="30"/>
        <v>-</v>
      </c>
      <c r="X23" s="769" t="str">
        <f t="shared" si="31"/>
        <v>-</v>
      </c>
      <c r="Y23" s="774" t="str">
        <f t="shared" si="31"/>
        <v>-</v>
      </c>
      <c r="Z23" s="769" t="str">
        <f t="shared" si="32"/>
        <v>-</v>
      </c>
      <c r="AA23" s="774" t="str">
        <f t="shared" si="32"/>
        <v>-</v>
      </c>
      <c r="AB23" s="775"/>
      <c r="AC23" s="776" t="str">
        <f t="shared" si="33"/>
        <v>-</v>
      </c>
      <c r="AD23" s="777" t="str">
        <f t="shared" si="34"/>
        <v>-</v>
      </c>
      <c r="AE23" s="778" t="str">
        <f t="shared" si="35"/>
        <v>0_2023_COO</v>
      </c>
      <c r="AF23" s="778"/>
      <c r="AG23" s="782" t="str" cm="1">
        <f t="array" ref="AG23">IFERROR(INDEX('Import 2023 Data'!$E$4:$I$113,_xlfn.XMATCH(COO!$AE23,'Import 2023 Data'!$C$4:$C$113),_xlfn.XMATCH(COO!AG$5,'Import 2023 Data'!$E$3:$I$3)),"-")</f>
        <v>-</v>
      </c>
      <c r="AH23" s="778" t="str" cm="1">
        <f t="array" ref="AH23">IFERROR(INDEX('Import 2023 Data'!$E$4:$I$113,_xlfn.XMATCH(COO!$AE23,'Import 2023 Data'!$C$4:$C$113),_xlfn.XMATCH(COO!AH$5,'Import 2023 Data'!$E$3:$I$3)),"-")</f>
        <v>-</v>
      </c>
      <c r="AI23" s="778"/>
      <c r="AJ23" s="783" t="str">
        <f t="shared" si="36"/>
        <v>N</v>
      </c>
      <c r="AK23" s="778" t="str" cm="1">
        <f t="array" ref="AK23">IFERROR(INDEX('Import 2023 Data'!$E$4:$I$113,_xlfn.XMATCH(COO!$AE23,'Import 2023 Data'!$C$4:$C$113),_xlfn.XMATCH(COO!AK$5,'Import 2023 Data'!$E$3:$I$3)),"-")</f>
        <v>-</v>
      </c>
      <c r="AL23" s="775" t="str" cm="1">
        <f t="array" ref="AL23">IFERROR(INDEX('Import 2023 Data'!$E$4:$I$113,_xlfn.XMATCH(COO!$AE23,'Import 2023 Data'!$C$4:$C$113),_xlfn.XMATCH(COO!AL$5,'Import 2023 Data'!$E$3:$I$3)),"-")</f>
        <v>-</v>
      </c>
      <c r="AM23" s="775" t="str" cm="1">
        <f t="array" ref="AM23">IFERROR(INDEX('Import 2023 Data'!$E$4:$I$113,_xlfn.XMATCH(COO!$AE23,'Import 2023 Data'!$C$4:$C$113),_xlfn.XMATCH(COO!AM$5,'Import 2023 Data'!$E$3:$I$3)),"-")</f>
        <v>-</v>
      </c>
      <c r="AN23" s="505" t="str">
        <f t="shared" si="37"/>
        <v>-</v>
      </c>
    </row>
    <row r="24" spans="1:42" ht="20.25" hidden="1" customHeight="1" outlineLevel="1">
      <c r="A24" s="12" t="str">
        <f t="shared" si="19"/>
        <v>0_2024_COO</v>
      </c>
      <c r="B24" s="12">
        <f>'Raw Data'!D22</f>
        <v>0</v>
      </c>
      <c r="C24" s="766" t="str">
        <f t="shared" si="20"/>
        <v>-</v>
      </c>
      <c r="D24" s="767" t="str">
        <f>_xll.ciqfunctions.udf.CIQ(B24, "IQ_MARKETCAP", $A$1,$A$2)</f>
        <v>(Invalid Identifier)</v>
      </c>
      <c r="E24" s="767" t="str">
        <f>_xll.ciqfunctions.udf.CIQ($B24, "IQ_TEV", $A$1,$A$2)</f>
        <v>(Invalid Identifier)</v>
      </c>
      <c r="F24" s="768" t="str">
        <f t="shared" si="21"/>
        <v>-</v>
      </c>
      <c r="G24" s="768" t="str">
        <f t="shared" si="21"/>
        <v>-</v>
      </c>
      <c r="H24" s="767" t="str">
        <f t="shared" si="22"/>
        <v>-</v>
      </c>
      <c r="I24" s="767" t="str">
        <f t="shared" si="22"/>
        <v>-</v>
      </c>
      <c r="J24" s="769" t="str">
        <f t="shared" si="22"/>
        <v>-</v>
      </c>
      <c r="K24" s="770" t="str">
        <f t="shared" si="23"/>
        <v>-</v>
      </c>
      <c r="L24" s="770" t="str">
        <f t="shared" si="23"/>
        <v>-</v>
      </c>
      <c r="M24" s="771" t="str">
        <f t="shared" si="24"/>
        <v>-</v>
      </c>
      <c r="N24" s="772" t="str">
        <f t="shared" si="25"/>
        <v>-</v>
      </c>
      <c r="O24" s="769" t="str">
        <f t="shared" si="26"/>
        <v>-</v>
      </c>
      <c r="P24" s="773" t="str">
        <f t="shared" si="26"/>
        <v>-</v>
      </c>
      <c r="Q24" s="769" t="str">
        <f t="shared" si="26"/>
        <v>-</v>
      </c>
      <c r="R24" s="770" t="str">
        <f t="shared" si="27"/>
        <v>-</v>
      </c>
      <c r="S24" s="770" t="str">
        <f t="shared" si="27"/>
        <v>-</v>
      </c>
      <c r="T24" s="771" t="str">
        <f t="shared" si="28"/>
        <v>-</v>
      </c>
      <c r="U24" s="772" t="str">
        <f t="shared" si="29"/>
        <v>-</v>
      </c>
      <c r="V24" s="769" t="str">
        <f t="shared" si="30"/>
        <v>-</v>
      </c>
      <c r="W24" s="774" t="str">
        <f t="shared" si="30"/>
        <v>-</v>
      </c>
      <c r="X24" s="769" t="str">
        <f t="shared" si="31"/>
        <v>-</v>
      </c>
      <c r="Y24" s="774" t="str">
        <f t="shared" si="31"/>
        <v>-</v>
      </c>
      <c r="Z24" s="769" t="str">
        <f t="shared" si="32"/>
        <v>-</v>
      </c>
      <c r="AA24" s="774" t="str">
        <f t="shared" si="32"/>
        <v>-</v>
      </c>
      <c r="AB24" s="775"/>
      <c r="AC24" s="776" t="str">
        <f t="shared" si="33"/>
        <v>-</v>
      </c>
      <c r="AD24" s="777" t="str">
        <f t="shared" si="34"/>
        <v>-</v>
      </c>
      <c r="AE24" s="778" t="str">
        <f t="shared" si="35"/>
        <v>0_2023_COO</v>
      </c>
      <c r="AF24" s="778"/>
      <c r="AG24" s="782" t="str" cm="1">
        <f t="array" ref="AG24">IFERROR(INDEX('Import 2023 Data'!$E$4:$I$113,_xlfn.XMATCH(COO!$AE24,'Import 2023 Data'!$C$4:$C$113),_xlfn.XMATCH(COO!AG$5,'Import 2023 Data'!$E$3:$I$3)),"-")</f>
        <v>-</v>
      </c>
      <c r="AH24" s="778" t="str" cm="1">
        <f t="array" ref="AH24">IFERROR(INDEX('Import 2023 Data'!$E$4:$I$113,_xlfn.XMATCH(COO!$AE24,'Import 2023 Data'!$C$4:$C$113),_xlfn.XMATCH(COO!AH$5,'Import 2023 Data'!$E$3:$I$3)),"-")</f>
        <v>-</v>
      </c>
      <c r="AI24" s="778"/>
      <c r="AJ24" s="783" t="str">
        <f t="shared" si="36"/>
        <v>N</v>
      </c>
      <c r="AK24" s="778" t="str" cm="1">
        <f t="array" ref="AK24">IFERROR(INDEX('Import 2023 Data'!$E$4:$I$113,_xlfn.XMATCH(COO!$AE24,'Import 2023 Data'!$C$4:$C$113),_xlfn.XMATCH(COO!AK$5,'Import 2023 Data'!$E$3:$I$3)),"-")</f>
        <v>-</v>
      </c>
      <c r="AL24" s="775" t="str" cm="1">
        <f t="array" ref="AL24">IFERROR(INDEX('Import 2023 Data'!$E$4:$I$113,_xlfn.XMATCH(COO!$AE24,'Import 2023 Data'!$C$4:$C$113),_xlfn.XMATCH(COO!AL$5,'Import 2023 Data'!$E$3:$I$3)),"-")</f>
        <v>-</v>
      </c>
      <c r="AM24" s="775" t="str" cm="1">
        <f t="array" ref="AM24">IFERROR(INDEX('Import 2023 Data'!$E$4:$I$113,_xlfn.XMATCH(COO!$AE24,'Import 2023 Data'!$C$4:$C$113),_xlfn.XMATCH(COO!AM$5,'Import 2023 Data'!$E$3:$I$3)),"-")</f>
        <v>-</v>
      </c>
      <c r="AN24" s="505" t="str">
        <f t="shared" si="37"/>
        <v>-</v>
      </c>
    </row>
    <row r="25" spans="1:42" ht="20.25" hidden="1" customHeight="1" outlineLevel="1">
      <c r="A25" s="12" t="str">
        <f t="shared" si="19"/>
        <v>0_2024_COO</v>
      </c>
      <c r="B25" s="12">
        <f>'Raw Data'!D23</f>
        <v>0</v>
      </c>
      <c r="C25" s="766" t="str">
        <f t="shared" si="20"/>
        <v>-</v>
      </c>
      <c r="D25" s="767" t="str">
        <f>_xll.ciqfunctions.udf.CIQ(B25, "IQ_MARKETCAP", $A$1,$A$2)</f>
        <v>(Invalid Identifier)</v>
      </c>
      <c r="E25" s="767" t="str">
        <f>_xll.ciqfunctions.udf.CIQ($B25, "IQ_TEV", $A$1,$A$2)</f>
        <v>(Invalid Identifier)</v>
      </c>
      <c r="F25" s="768" t="str">
        <f t="shared" si="21"/>
        <v>-</v>
      </c>
      <c r="G25" s="768" t="str">
        <f t="shared" si="21"/>
        <v>-</v>
      </c>
      <c r="H25" s="767" t="str">
        <f t="shared" si="22"/>
        <v>-</v>
      </c>
      <c r="I25" s="767" t="str">
        <f t="shared" si="22"/>
        <v>-</v>
      </c>
      <c r="J25" s="769" t="str">
        <f t="shared" si="22"/>
        <v>-</v>
      </c>
      <c r="K25" s="770" t="str">
        <f t="shared" si="23"/>
        <v>-</v>
      </c>
      <c r="L25" s="770" t="str">
        <f t="shared" si="23"/>
        <v>-</v>
      </c>
      <c r="M25" s="771" t="str">
        <f t="shared" si="24"/>
        <v>-</v>
      </c>
      <c r="N25" s="772" t="str">
        <f t="shared" si="25"/>
        <v>-</v>
      </c>
      <c r="O25" s="769" t="str">
        <f t="shared" si="26"/>
        <v>-</v>
      </c>
      <c r="P25" s="773" t="str">
        <f t="shared" si="26"/>
        <v>-</v>
      </c>
      <c r="Q25" s="769" t="str">
        <f t="shared" si="26"/>
        <v>-</v>
      </c>
      <c r="R25" s="770" t="str">
        <f t="shared" si="27"/>
        <v>-</v>
      </c>
      <c r="S25" s="770" t="str">
        <f t="shared" si="27"/>
        <v>-</v>
      </c>
      <c r="T25" s="771" t="str">
        <f t="shared" si="28"/>
        <v>-</v>
      </c>
      <c r="U25" s="772" t="str">
        <f t="shared" si="29"/>
        <v>-</v>
      </c>
      <c r="V25" s="769" t="str">
        <f t="shared" si="30"/>
        <v>-</v>
      </c>
      <c r="W25" s="774" t="str">
        <f t="shared" si="30"/>
        <v>-</v>
      </c>
      <c r="X25" s="769" t="str">
        <f t="shared" si="31"/>
        <v>-</v>
      </c>
      <c r="Y25" s="774" t="str">
        <f t="shared" si="31"/>
        <v>-</v>
      </c>
      <c r="Z25" s="769" t="str">
        <f t="shared" si="32"/>
        <v>-</v>
      </c>
      <c r="AA25" s="774" t="str">
        <f t="shared" si="32"/>
        <v>-</v>
      </c>
      <c r="AB25" s="775"/>
      <c r="AC25" s="776" t="str">
        <f t="shared" si="33"/>
        <v>-</v>
      </c>
      <c r="AD25" s="777" t="str">
        <f t="shared" si="34"/>
        <v>-</v>
      </c>
      <c r="AE25" s="778" t="str">
        <f t="shared" si="35"/>
        <v>0_2023_COO</v>
      </c>
      <c r="AF25" s="778"/>
      <c r="AG25" s="782" t="str" cm="1">
        <f t="array" ref="AG25">IFERROR(INDEX('Import 2023 Data'!$E$4:$I$113,_xlfn.XMATCH(COO!$AE25,'Import 2023 Data'!$C$4:$C$113),_xlfn.XMATCH(COO!AG$5,'Import 2023 Data'!$E$3:$I$3)),"-")</f>
        <v>-</v>
      </c>
      <c r="AH25" s="778" t="str" cm="1">
        <f t="array" ref="AH25">IFERROR(INDEX('Import 2023 Data'!$E$4:$I$113,_xlfn.XMATCH(COO!$AE25,'Import 2023 Data'!$C$4:$C$113),_xlfn.XMATCH(COO!AH$5,'Import 2023 Data'!$E$3:$I$3)),"-")</f>
        <v>-</v>
      </c>
      <c r="AI25" s="778"/>
      <c r="AJ25" s="783" t="str">
        <f t="shared" si="36"/>
        <v>N</v>
      </c>
      <c r="AK25" s="778" t="str" cm="1">
        <f t="array" ref="AK25">IFERROR(INDEX('Import 2023 Data'!$E$4:$I$113,_xlfn.XMATCH(COO!$AE25,'Import 2023 Data'!$C$4:$C$113),_xlfn.XMATCH(COO!AK$5,'Import 2023 Data'!$E$3:$I$3)),"-")</f>
        <v>-</v>
      </c>
      <c r="AL25" s="775" t="str" cm="1">
        <f t="array" ref="AL25">IFERROR(INDEX('Import 2023 Data'!$E$4:$I$113,_xlfn.XMATCH(COO!$AE25,'Import 2023 Data'!$C$4:$C$113),_xlfn.XMATCH(COO!AL$5,'Import 2023 Data'!$E$3:$I$3)),"-")</f>
        <v>-</v>
      </c>
      <c r="AM25" s="775" t="str" cm="1">
        <f t="array" ref="AM25">IFERROR(INDEX('Import 2023 Data'!$E$4:$I$113,_xlfn.XMATCH(COO!$AE25,'Import 2023 Data'!$C$4:$C$113),_xlfn.XMATCH(COO!AM$5,'Import 2023 Data'!$E$3:$I$3)),"-")</f>
        <v>-</v>
      </c>
      <c r="AN25" s="505" t="str">
        <f t="shared" si="37"/>
        <v>-</v>
      </c>
    </row>
    <row r="26" spans="1:42" ht="20.25" hidden="1" customHeight="1" outlineLevel="1">
      <c r="A26" s="12" t="str">
        <f t="shared" si="19"/>
        <v>0_2024_COO</v>
      </c>
      <c r="B26" s="12">
        <f>'Raw Data'!D24</f>
        <v>0</v>
      </c>
      <c r="C26" s="766" t="str">
        <f t="shared" si="20"/>
        <v>-</v>
      </c>
      <c r="D26" s="767" t="str">
        <f>_xll.ciqfunctions.udf.CIQ(B26, "IQ_MARKETCAP", $A$1,$A$2)</f>
        <v>(Invalid Identifier)</v>
      </c>
      <c r="E26" s="767" t="str">
        <f>_xll.ciqfunctions.udf.CIQ($B26, "IQ_TEV", $A$1,$A$2)</f>
        <v>(Invalid Identifier)</v>
      </c>
      <c r="F26" s="768" t="str">
        <f t="shared" si="21"/>
        <v>-</v>
      </c>
      <c r="G26" s="768" t="str">
        <f t="shared" si="21"/>
        <v>-</v>
      </c>
      <c r="H26" s="767" t="str">
        <f t="shared" si="22"/>
        <v>-</v>
      </c>
      <c r="I26" s="767" t="str">
        <f t="shared" si="22"/>
        <v>-</v>
      </c>
      <c r="J26" s="769" t="str">
        <f t="shared" si="22"/>
        <v>-</v>
      </c>
      <c r="K26" s="770" t="str">
        <f t="shared" si="23"/>
        <v>-</v>
      </c>
      <c r="L26" s="770" t="str">
        <f t="shared" si="23"/>
        <v>-</v>
      </c>
      <c r="M26" s="771" t="str">
        <f t="shared" si="24"/>
        <v>-</v>
      </c>
      <c r="N26" s="772" t="str">
        <f t="shared" si="25"/>
        <v>-</v>
      </c>
      <c r="O26" s="769" t="str">
        <f t="shared" si="26"/>
        <v>-</v>
      </c>
      <c r="P26" s="773" t="str">
        <f t="shared" si="26"/>
        <v>-</v>
      </c>
      <c r="Q26" s="769" t="str">
        <f t="shared" si="26"/>
        <v>-</v>
      </c>
      <c r="R26" s="770" t="str">
        <f t="shared" si="27"/>
        <v>-</v>
      </c>
      <c r="S26" s="770" t="str">
        <f t="shared" si="27"/>
        <v>-</v>
      </c>
      <c r="T26" s="771" t="str">
        <f t="shared" si="28"/>
        <v>-</v>
      </c>
      <c r="U26" s="772" t="str">
        <f t="shared" si="29"/>
        <v>-</v>
      </c>
      <c r="V26" s="769" t="str">
        <f t="shared" si="30"/>
        <v>-</v>
      </c>
      <c r="W26" s="774" t="str">
        <f t="shared" si="30"/>
        <v>-</v>
      </c>
      <c r="X26" s="769" t="str">
        <f t="shared" si="31"/>
        <v>-</v>
      </c>
      <c r="Y26" s="774" t="str">
        <f t="shared" si="31"/>
        <v>-</v>
      </c>
      <c r="Z26" s="769" t="str">
        <f t="shared" si="32"/>
        <v>-</v>
      </c>
      <c r="AA26" s="774" t="str">
        <f t="shared" si="32"/>
        <v>-</v>
      </c>
      <c r="AB26" s="775"/>
      <c r="AC26" s="776" t="str">
        <f t="shared" si="33"/>
        <v>-</v>
      </c>
      <c r="AD26" s="777" t="str">
        <f t="shared" si="34"/>
        <v>-</v>
      </c>
      <c r="AE26" s="778" t="str">
        <f t="shared" si="35"/>
        <v>0_2023_COO</v>
      </c>
      <c r="AF26" s="778"/>
      <c r="AG26" s="784" t="str" cm="1">
        <f t="array" ref="AG26">IFERROR(INDEX('Import 2023 Data'!$E$4:$I$113,_xlfn.XMATCH(COO!$AE26,'Import 2023 Data'!$C$4:$C$113),_xlfn.XMATCH(COO!AG$5,'Import 2023 Data'!$E$3:$I$3)),"-")</f>
        <v>-</v>
      </c>
      <c r="AH26" s="785" t="str" cm="1">
        <f t="array" ref="AH26">IFERROR(INDEX('Import 2023 Data'!$E$4:$I$113,_xlfn.XMATCH(COO!$AE26,'Import 2023 Data'!$C$4:$C$113),_xlfn.XMATCH(COO!AH$5,'Import 2023 Data'!$E$3:$I$3)),"-")</f>
        <v>-</v>
      </c>
      <c r="AI26" s="785"/>
      <c r="AJ26" s="786" t="str">
        <f t="shared" si="36"/>
        <v>N</v>
      </c>
      <c r="AK26" s="785" t="str" cm="1">
        <f t="array" ref="AK26">IFERROR(INDEX('Import 2023 Data'!$E$4:$I$113,_xlfn.XMATCH(COO!$AE26,'Import 2023 Data'!$C$4:$C$113),_xlfn.XMATCH(COO!AK$5,'Import 2023 Data'!$E$3:$I$3)),"-")</f>
        <v>-</v>
      </c>
      <c r="AL26" s="787" t="str" cm="1">
        <f t="array" ref="AL26">IFERROR(INDEX('Import 2023 Data'!$E$4:$I$113,_xlfn.XMATCH(COO!$AE26,'Import 2023 Data'!$C$4:$C$113),_xlfn.XMATCH(COO!AL$5,'Import 2023 Data'!$E$3:$I$3)),"-")</f>
        <v>-</v>
      </c>
      <c r="AM26" s="787" t="str" cm="1">
        <f t="array" ref="AM26">IFERROR(INDEX('Import 2023 Data'!$E$4:$I$113,_xlfn.XMATCH(COO!$AE26,'Import 2023 Data'!$C$4:$C$113),_xlfn.XMATCH(COO!AM$5,'Import 2023 Data'!$E$3:$I$3)),"-")</f>
        <v>-</v>
      </c>
      <c r="AN26" s="509" t="str">
        <f t="shared" si="37"/>
        <v>-</v>
      </c>
    </row>
    <row r="27" spans="1:42" ht="20.25" customHeight="1" collapsed="1">
      <c r="C27" s="788" t="str">
        <f>$C$3&amp;" Summary Statistics"</f>
        <v>2024 Summary Statistics</v>
      </c>
      <c r="D27" s="789"/>
      <c r="E27" s="789"/>
      <c r="F27" s="789"/>
      <c r="G27" s="789"/>
      <c r="H27" s="789"/>
      <c r="I27" s="789"/>
      <c r="J27" s="789"/>
      <c r="K27" s="790"/>
      <c r="L27" s="790"/>
      <c r="M27" s="789"/>
      <c r="N27" s="790"/>
      <c r="O27" s="789"/>
      <c r="P27" s="789"/>
      <c r="Q27" s="789"/>
      <c r="R27" s="790"/>
      <c r="S27" s="790"/>
      <c r="T27" s="789"/>
      <c r="U27" s="790"/>
      <c r="V27" s="789"/>
      <c r="W27" s="791"/>
      <c r="X27" s="789"/>
      <c r="Y27" s="791"/>
      <c r="Z27" s="789"/>
      <c r="AA27" s="791"/>
      <c r="AB27" s="775"/>
      <c r="AC27" s="792"/>
      <c r="AD27" s="793"/>
      <c r="AE27" s="778"/>
      <c r="AF27" s="778"/>
      <c r="AG27" s="778"/>
      <c r="AH27" s="778"/>
      <c r="AI27" s="778"/>
      <c r="AJ27" s="778"/>
      <c r="AK27" s="778"/>
      <c r="AL27" s="794"/>
      <c r="AM27" s="795"/>
    </row>
    <row r="28" spans="1:42" s="17" customFormat="1" ht="20.25" customHeight="1">
      <c r="B28" s="17">
        <v>0.75</v>
      </c>
      <c r="C28" s="796" t="s">
        <v>9</v>
      </c>
      <c r="D28" s="797">
        <f t="shared" ref="D28:E30" si="38">PERCENTILE(D$8:D$26,$B28)</f>
        <v>11855.56763</v>
      </c>
      <c r="E28" s="797">
        <f t="shared" si="38"/>
        <v>14643.113660000001</v>
      </c>
      <c r="F28" s="798"/>
      <c r="G28" s="798"/>
      <c r="H28" s="798"/>
      <c r="I28" s="797">
        <f t="shared" ref="I28:R30" si="39">PERCENTILE(I$8:I$26,$B28)</f>
        <v>699.60719469750006</v>
      </c>
      <c r="J28" s="799">
        <f t="shared" si="39"/>
        <v>673.74787087750008</v>
      </c>
      <c r="K28" s="800">
        <f t="shared" si="39"/>
        <v>1.0503624980075816</v>
      </c>
      <c r="L28" s="800">
        <f t="shared" si="39"/>
        <v>0.9582842730266955</v>
      </c>
      <c r="M28" s="801">
        <f t="shared" si="39"/>
        <v>610.38575575799996</v>
      </c>
      <c r="N28" s="777">
        <f t="shared" si="39"/>
        <v>0.86250000000000004</v>
      </c>
      <c r="O28" s="799">
        <f t="shared" si="39"/>
        <v>1363.0644037500001</v>
      </c>
      <c r="P28" s="802">
        <f t="shared" si="39"/>
        <v>1309.9929504555002</v>
      </c>
      <c r="Q28" s="799">
        <f t="shared" si="39"/>
        <v>1508.008875</v>
      </c>
      <c r="R28" s="800">
        <f t="shared" si="39"/>
        <v>2.17</v>
      </c>
      <c r="S28" s="800">
        <f t="shared" ref="S28:AA30" si="40">PERCENTILE(S$8:S$26,$B28)</f>
        <v>1.9931719918652933</v>
      </c>
      <c r="T28" s="801">
        <f t="shared" si="40"/>
        <v>1454.3922946450002</v>
      </c>
      <c r="U28" s="777">
        <f t="shared" si="40"/>
        <v>2.1653707411026879</v>
      </c>
      <c r="V28" s="799">
        <f t="shared" si="40"/>
        <v>2852.46786195</v>
      </c>
      <c r="W28" s="802">
        <f t="shared" si="40"/>
        <v>2699.7048683100002</v>
      </c>
      <c r="X28" s="799">
        <f t="shared" si="40"/>
        <v>166.779147655</v>
      </c>
      <c r="Y28" s="802">
        <f t="shared" si="40"/>
        <v>63.462000000000003</v>
      </c>
      <c r="Z28" s="799">
        <f t="shared" si="40"/>
        <v>2954.2941007550003</v>
      </c>
      <c r="AA28" s="802">
        <f t="shared" si="40"/>
        <v>2836.457938171091</v>
      </c>
      <c r="AB28" s="803"/>
      <c r="AC28" s="776">
        <f t="shared" ref="AC28:AD30" si="41">PERCENTILE(AC$8:AC$26,$B28)</f>
        <v>0.5303921568627451</v>
      </c>
      <c r="AD28" s="777">
        <f t="shared" si="41"/>
        <v>0.53598036933404258</v>
      </c>
      <c r="AE28" s="778"/>
      <c r="AF28" s="778"/>
      <c r="AG28" s="778"/>
      <c r="AH28" s="778"/>
      <c r="AI28" s="778"/>
      <c r="AJ28" s="778"/>
      <c r="AK28" s="778"/>
      <c r="AL28" s="804">
        <v>2606.57982932</v>
      </c>
      <c r="AM28" s="805">
        <v>2479.994840788167</v>
      </c>
      <c r="AN28" s="666">
        <f>PERCENTILE(AN$8:AN$26,$B28)</f>
        <v>0.17962798970898675</v>
      </c>
    </row>
    <row r="29" spans="1:42" s="17" customFormat="1" ht="20.25" customHeight="1">
      <c r="B29" s="17">
        <v>0.5</v>
      </c>
      <c r="C29" s="806" t="s">
        <v>8</v>
      </c>
      <c r="D29" s="807">
        <f t="shared" si="38"/>
        <v>5759.9111199999998</v>
      </c>
      <c r="E29" s="807">
        <f t="shared" si="38"/>
        <v>6472.2609199999997</v>
      </c>
      <c r="F29" s="808"/>
      <c r="G29" s="808"/>
      <c r="H29" s="808"/>
      <c r="I29" s="807">
        <f t="shared" si="39"/>
        <v>650</v>
      </c>
      <c r="J29" s="809">
        <f t="shared" si="39"/>
        <v>569.44030750000002</v>
      </c>
      <c r="K29" s="810">
        <f t="shared" si="39"/>
        <v>0.86961538461538468</v>
      </c>
      <c r="L29" s="810">
        <f t="shared" si="39"/>
        <v>0.84484062997425158</v>
      </c>
      <c r="M29" s="811">
        <f t="shared" si="39"/>
        <v>554.78843387500001</v>
      </c>
      <c r="N29" s="812">
        <f t="shared" si="39"/>
        <v>0.8</v>
      </c>
      <c r="O29" s="809">
        <f t="shared" si="39"/>
        <v>1267.92690741</v>
      </c>
      <c r="P29" s="813">
        <f t="shared" si="39"/>
        <v>1163.025582625</v>
      </c>
      <c r="Q29" s="809">
        <f t="shared" si="39"/>
        <v>1216.55615891</v>
      </c>
      <c r="R29" s="810">
        <f t="shared" si="39"/>
        <v>1.7750000000000001</v>
      </c>
      <c r="S29" s="810">
        <f t="shared" si="40"/>
        <v>1.6306950501101058</v>
      </c>
      <c r="T29" s="811">
        <f t="shared" si="40"/>
        <v>1156.5383831943163</v>
      </c>
      <c r="U29" s="812">
        <f t="shared" si="40"/>
        <v>1.75</v>
      </c>
      <c r="V29" s="809">
        <f t="shared" si="40"/>
        <v>2544.1509095750002</v>
      </c>
      <c r="W29" s="813">
        <f t="shared" si="40"/>
        <v>2471.4075624090606</v>
      </c>
      <c r="X29" s="809">
        <f t="shared" si="40"/>
        <v>114.57599999999999</v>
      </c>
      <c r="Y29" s="813">
        <f t="shared" si="40"/>
        <v>39.064916869999998</v>
      </c>
      <c r="Z29" s="809">
        <f t="shared" si="40"/>
        <v>2650.6252866499999</v>
      </c>
      <c r="AA29" s="813">
        <f t="shared" si="40"/>
        <v>2535.2146187153166</v>
      </c>
      <c r="AB29" s="803"/>
      <c r="AC29" s="814">
        <f t="shared" si="41"/>
        <v>0.51056338028169013</v>
      </c>
      <c r="AD29" s="812">
        <f t="shared" si="41"/>
        <v>0.48943661971830987</v>
      </c>
      <c r="AE29" s="778"/>
      <c r="AF29" s="778"/>
      <c r="AG29" s="778"/>
      <c r="AH29" s="778"/>
      <c r="AI29" s="778"/>
      <c r="AJ29" s="778"/>
      <c r="AK29" s="778"/>
      <c r="AL29" s="809">
        <v>2167.4192702200003</v>
      </c>
      <c r="AM29" s="813">
        <v>2156.25</v>
      </c>
      <c r="AN29" s="667">
        <f>PERCENTILE(AN$8:AN$26,$B29)</f>
        <v>4.8915784165405984E-2</v>
      </c>
      <c r="AP29" s="17">
        <f>W29/AM29</f>
        <v>1.1461600289433325</v>
      </c>
    </row>
    <row r="30" spans="1:42" s="17" customFormat="1" ht="20.25" customHeight="1">
      <c r="B30" s="17">
        <v>0.25</v>
      </c>
      <c r="C30" s="796" t="s">
        <v>7</v>
      </c>
      <c r="D30" s="797">
        <f t="shared" si="38"/>
        <v>5001.45208</v>
      </c>
      <c r="E30" s="797">
        <f t="shared" si="38"/>
        <v>5417.8523800000003</v>
      </c>
      <c r="F30" s="798"/>
      <c r="G30" s="798"/>
      <c r="H30" s="798"/>
      <c r="I30" s="797">
        <f t="shared" si="39"/>
        <v>593.99</v>
      </c>
      <c r="J30" s="799">
        <f t="shared" si="39"/>
        <v>437.91999999999996</v>
      </c>
      <c r="K30" s="800">
        <f t="shared" si="39"/>
        <v>0.72262499999999996</v>
      </c>
      <c r="L30" s="800">
        <f t="shared" si="39"/>
        <v>0.75630114724091846</v>
      </c>
      <c r="M30" s="801">
        <f t="shared" si="39"/>
        <v>485.68899999999996</v>
      </c>
      <c r="N30" s="777">
        <f t="shared" si="39"/>
        <v>0.78750000000000009</v>
      </c>
      <c r="O30" s="799">
        <f t="shared" si="39"/>
        <v>970.84035642749996</v>
      </c>
      <c r="P30" s="802">
        <f t="shared" si="39"/>
        <v>1123.269</v>
      </c>
      <c r="Q30" s="799">
        <f t="shared" si="39"/>
        <v>1041.5625</v>
      </c>
      <c r="R30" s="800">
        <f t="shared" si="39"/>
        <v>1.6625736937662963</v>
      </c>
      <c r="S30" s="800">
        <f t="shared" si="40"/>
        <v>1.5456410123052233</v>
      </c>
      <c r="T30" s="801">
        <f t="shared" si="40"/>
        <v>1002.1875</v>
      </c>
      <c r="U30" s="777">
        <f t="shared" si="40"/>
        <v>1.675</v>
      </c>
      <c r="V30" s="799">
        <f t="shared" si="40"/>
        <v>2312.9645</v>
      </c>
      <c r="W30" s="802">
        <f t="shared" si="40"/>
        <v>2127.4594999999999</v>
      </c>
      <c r="X30" s="799">
        <f t="shared" si="40"/>
        <v>62.828346000000003</v>
      </c>
      <c r="Y30" s="802">
        <f t="shared" si="40"/>
        <v>2.0086692200000003</v>
      </c>
      <c r="Z30" s="799">
        <f t="shared" si="40"/>
        <v>2377.4582500000001</v>
      </c>
      <c r="AA30" s="802">
        <f t="shared" si="40"/>
        <v>2168.221</v>
      </c>
      <c r="AB30" s="803"/>
      <c r="AC30" s="776">
        <f t="shared" si="41"/>
        <v>0.46401963066595736</v>
      </c>
      <c r="AD30" s="777">
        <f t="shared" si="41"/>
        <v>0.4696078431372549</v>
      </c>
      <c r="AE30" s="778"/>
      <c r="AF30" s="778"/>
      <c r="AG30" s="778"/>
      <c r="AH30" s="778"/>
      <c r="AI30" s="778"/>
      <c r="AJ30" s="778"/>
      <c r="AK30" s="778"/>
      <c r="AL30" s="799">
        <v>2061.8701363636364</v>
      </c>
      <c r="AM30" s="802">
        <v>2005.41</v>
      </c>
      <c r="AN30" s="668">
        <f>PERCENTILE(AN$8:AN$26,$B30)</f>
        <v>5.8911985519831678E-3</v>
      </c>
    </row>
    <row r="31" spans="1:42" s="17" customFormat="1" ht="20.25" customHeight="1">
      <c r="A31" s="12"/>
      <c r="B31" s="12"/>
      <c r="C31" s="815" t="s">
        <v>6</v>
      </c>
      <c r="D31" s="816">
        <f>AVERAGE(D8:D26)</f>
        <v>8426.7216084615393</v>
      </c>
      <c r="E31" s="816">
        <f>AVERAGE(E8:E26)</f>
        <v>9289.5969307692303</v>
      </c>
      <c r="F31" s="815"/>
      <c r="G31" s="815"/>
      <c r="H31" s="815"/>
      <c r="I31" s="816">
        <f t="shared" ref="I31:Z31" si="42">AVERAGE(I8:I26)</f>
        <v>652.63798552416665</v>
      </c>
      <c r="J31" s="817">
        <f t="shared" si="42"/>
        <v>588.52847187500004</v>
      </c>
      <c r="K31" s="818">
        <f t="shared" si="42"/>
        <v>0.9045897742717246</v>
      </c>
      <c r="L31" s="818">
        <f t="shared" si="42"/>
        <v>0.87544778793777234</v>
      </c>
      <c r="M31" s="819">
        <f t="shared" si="42"/>
        <v>536.34795444016663</v>
      </c>
      <c r="N31" s="820">
        <f t="shared" si="42"/>
        <v>0.82500000000000018</v>
      </c>
      <c r="O31" s="817">
        <f t="shared" si="42"/>
        <v>1241.1664573991666</v>
      </c>
      <c r="P31" s="821">
        <f t="shared" si="42"/>
        <v>1188.9859399643335</v>
      </c>
      <c r="Q31" s="817">
        <f t="shared" si="42"/>
        <v>1287.5870759425002</v>
      </c>
      <c r="R31" s="818">
        <f t="shared" si="42"/>
        <v>1.9644709489504857</v>
      </c>
      <c r="S31" s="818">
        <f t="shared" si="42"/>
        <v>1.7855457815604483</v>
      </c>
      <c r="T31" s="819">
        <f t="shared" si="42"/>
        <v>1237.1845753780626</v>
      </c>
      <c r="U31" s="820">
        <f t="shared" si="42"/>
        <v>1.8886604615459903</v>
      </c>
      <c r="V31" s="817">
        <f t="shared" si="42"/>
        <v>2528.7535333416668</v>
      </c>
      <c r="W31" s="821">
        <f t="shared" si="42"/>
        <v>2426.1705153423964</v>
      </c>
      <c r="X31" s="817">
        <f t="shared" si="42"/>
        <v>136.29271247285715</v>
      </c>
      <c r="Y31" s="821">
        <f t="shared" si="42"/>
        <v>44.623436668888885</v>
      </c>
      <c r="Z31" s="817">
        <f t="shared" si="42"/>
        <v>2641.7251931191668</v>
      </c>
      <c r="AA31" s="821">
        <f t="shared" ref="AA31" si="43">AVERAGE(AA8:AA26)</f>
        <v>2539.1421751198964</v>
      </c>
      <c r="AB31" s="803"/>
      <c r="AC31" s="822">
        <f>AVERAGE(AC8:AC26)</f>
        <v>0.49539770511117504</v>
      </c>
      <c r="AD31" s="820">
        <f>AVERAGE(AD8:AD26)</f>
        <v>0.50460229488882491</v>
      </c>
      <c r="AE31" s="778"/>
      <c r="AF31" s="778"/>
      <c r="AG31" s="778"/>
      <c r="AH31" s="778"/>
      <c r="AI31" s="778"/>
      <c r="AJ31" s="778"/>
      <c r="AK31" s="778"/>
      <c r="AL31" s="817">
        <v>2300.4112162910492</v>
      </c>
      <c r="AM31" s="821">
        <v>2259.9220784689046</v>
      </c>
      <c r="AN31" s="669">
        <f>PERCENTILE(AN$8:AN$26,$B31)</f>
        <v>-4.00957169459496E-2</v>
      </c>
    </row>
    <row r="32" spans="1:42" s="17" customFormat="1" ht="20.25" customHeight="1" outlineLevel="1">
      <c r="A32" s="12"/>
      <c r="B32" s="12"/>
      <c r="C32" s="788" t="str">
        <f>$C$3+1&amp;" Estimated Summary Statistics "</f>
        <v xml:space="preserve">2025 Estimated Summary Statistics </v>
      </c>
      <c r="D32" s="789"/>
      <c r="E32" s="789"/>
      <c r="F32" s="789"/>
      <c r="G32" s="789"/>
      <c r="H32" s="789"/>
      <c r="I32" s="789"/>
      <c r="J32" s="789"/>
      <c r="K32" s="790"/>
      <c r="L32" s="790"/>
      <c r="M32" s="789"/>
      <c r="N32" s="790"/>
      <c r="O32" s="789"/>
      <c r="P32" s="789"/>
      <c r="Q32" s="789"/>
      <c r="R32" s="790"/>
      <c r="S32" s="790"/>
      <c r="T32" s="789"/>
      <c r="U32" s="790"/>
      <c r="V32" s="789"/>
      <c r="W32" s="791"/>
      <c r="X32" s="788"/>
      <c r="Y32" s="788"/>
      <c r="Z32" s="789"/>
      <c r="AA32" s="791"/>
      <c r="AB32" s="803"/>
      <c r="AC32" s="824"/>
      <c r="AD32" s="824"/>
      <c r="AE32" s="778"/>
      <c r="AF32" s="778"/>
      <c r="AG32" s="778"/>
      <c r="AH32" s="778"/>
      <c r="AI32" s="778"/>
      <c r="AJ32" s="778"/>
      <c r="AK32" s="778"/>
      <c r="AL32" s="778"/>
      <c r="AM32" s="778"/>
    </row>
    <row r="33" spans="1:40" s="17" customFormat="1" ht="20.25" customHeight="1" outlineLevel="1">
      <c r="A33" s="12"/>
      <c r="B33" s="17">
        <v>0.75</v>
      </c>
      <c r="C33" s="796" t="s">
        <v>9</v>
      </c>
      <c r="D33" s="797">
        <f t="shared" ref="D33:E35" si="44">PERCENTILE(D$8:D$26,$B33)</f>
        <v>11855.56763</v>
      </c>
      <c r="E33" s="797">
        <f t="shared" si="44"/>
        <v>14643.113660000001</v>
      </c>
      <c r="F33" s="798"/>
      <c r="G33" s="798"/>
      <c r="H33" s="798"/>
      <c r="I33" s="797">
        <f>I67</f>
        <v>723.06</v>
      </c>
      <c r="J33" s="799">
        <f>J67</f>
        <v>0</v>
      </c>
      <c r="K33" s="800">
        <f>K67</f>
        <v>0</v>
      </c>
      <c r="L33" s="800">
        <f>L67</f>
        <v>0</v>
      </c>
      <c r="M33" s="801">
        <f>M67</f>
        <v>628.75744875000009</v>
      </c>
      <c r="N33" s="777">
        <f>PERCENTILE(N$8:N$26,$B33)</f>
        <v>0.86250000000000004</v>
      </c>
      <c r="O33" s="799" t="s">
        <v>78</v>
      </c>
      <c r="P33" s="797">
        <f>P67</f>
        <v>1353.729</v>
      </c>
      <c r="Q33" s="799">
        <f>Q67</f>
        <v>0</v>
      </c>
      <c r="R33" s="800">
        <f>R67</f>
        <v>0</v>
      </c>
      <c r="S33" s="800">
        <f>S67</f>
        <v>0</v>
      </c>
      <c r="T33" s="801">
        <f>T67</f>
        <v>1498.0240634843501</v>
      </c>
      <c r="U33" s="777">
        <f>PERCENTILE(U$8:U$26,$B33)</f>
        <v>2.1653707411026879</v>
      </c>
      <c r="V33" s="799" t="s">
        <v>78</v>
      </c>
      <c r="W33" s="802">
        <f>W67</f>
        <v>2780.6960143592996</v>
      </c>
      <c r="X33" s="984">
        <f>X28</f>
        <v>166.779147655</v>
      </c>
      <c r="Y33" s="988">
        <f>Y28</f>
        <v>63.462000000000003</v>
      </c>
      <c r="Z33" s="799" t="s">
        <v>78</v>
      </c>
      <c r="AA33" s="802">
        <f>AA67</f>
        <v>2981.7173505000001</v>
      </c>
      <c r="AB33" s="803"/>
      <c r="AC33" s="824"/>
      <c r="AD33" s="824"/>
      <c r="AE33" s="778"/>
      <c r="AF33" s="778"/>
      <c r="AG33" s="778"/>
      <c r="AH33" s="778"/>
      <c r="AI33" s="778"/>
      <c r="AJ33" s="778"/>
      <c r="AK33" s="778"/>
      <c r="AL33" s="722"/>
      <c r="AM33" s="722"/>
      <c r="AN33" s="883">
        <f>W29/2434-1</f>
        <v>1.5368760233796408E-2</v>
      </c>
    </row>
    <row r="34" spans="1:40" s="17" customFormat="1" ht="20.25" customHeight="1" outlineLevel="1">
      <c r="A34" s="12"/>
      <c r="B34" s="17">
        <v>0.5</v>
      </c>
      <c r="C34" s="806" t="s">
        <v>8</v>
      </c>
      <c r="D34" s="807">
        <f t="shared" si="44"/>
        <v>5759.9111199999998</v>
      </c>
      <c r="E34" s="807">
        <f t="shared" si="44"/>
        <v>6472.2609199999997</v>
      </c>
      <c r="F34" s="808"/>
      <c r="G34" s="808"/>
      <c r="H34" s="808"/>
      <c r="I34" s="807">
        <f t="shared" ref="I34:M36" si="45">I68</f>
        <v>669.75</v>
      </c>
      <c r="J34" s="809">
        <f t="shared" si="45"/>
        <v>0</v>
      </c>
      <c r="K34" s="810">
        <f t="shared" si="45"/>
        <v>0</v>
      </c>
      <c r="L34" s="810">
        <f t="shared" si="45"/>
        <v>0</v>
      </c>
      <c r="M34" s="811">
        <f t="shared" si="45"/>
        <v>580.66249999999991</v>
      </c>
      <c r="N34" s="812">
        <f>PERCENTILE(N$8:N$26,$B34)</f>
        <v>0.8</v>
      </c>
      <c r="O34" s="809" t="s">
        <v>78</v>
      </c>
      <c r="P34" s="807">
        <f t="shared" ref="P34:T36" si="46">P68</f>
        <v>1211.5374999999999</v>
      </c>
      <c r="Q34" s="809">
        <f t="shared" si="46"/>
        <v>0</v>
      </c>
      <c r="R34" s="810">
        <f t="shared" si="46"/>
        <v>0</v>
      </c>
      <c r="S34" s="810">
        <f t="shared" si="46"/>
        <v>0</v>
      </c>
      <c r="T34" s="811">
        <f t="shared" si="46"/>
        <v>1208.1108171443659</v>
      </c>
      <c r="U34" s="812">
        <f>PERCENTILE(U$8:U$26,$B34)</f>
        <v>1.75</v>
      </c>
      <c r="V34" s="809" t="s">
        <v>78</v>
      </c>
      <c r="W34" s="813">
        <f>W68</f>
        <v>2603.8725688303662</v>
      </c>
      <c r="X34" s="992">
        <f t="shared" ref="X34:Y36" si="47">X29</f>
        <v>114.57599999999999</v>
      </c>
      <c r="Y34" s="996">
        <f t="shared" si="47"/>
        <v>39.064916869999998</v>
      </c>
      <c r="Z34" s="809" t="s">
        <v>78</v>
      </c>
      <c r="AA34" s="813">
        <f t="shared" ref="AA34:AA36" si="48">AA68</f>
        <v>2646.9629034403661</v>
      </c>
      <c r="AB34" s="803">
        <f>AA34/W34</f>
        <v>1.0165485573778887</v>
      </c>
      <c r="AC34" s="824"/>
      <c r="AD34" s="824"/>
      <c r="AE34" s="778"/>
      <c r="AF34" s="778"/>
      <c r="AG34" s="778"/>
      <c r="AH34" s="778"/>
      <c r="AI34" s="778"/>
      <c r="AJ34" s="778"/>
      <c r="AK34" s="778"/>
      <c r="AL34" s="722"/>
      <c r="AM34" s="722"/>
    </row>
    <row r="35" spans="1:40" s="17" customFormat="1" ht="20.25" customHeight="1" outlineLevel="1">
      <c r="A35" s="12"/>
      <c r="B35" s="17">
        <v>0.25</v>
      </c>
      <c r="C35" s="796" t="s">
        <v>7</v>
      </c>
      <c r="D35" s="797">
        <f t="shared" si="44"/>
        <v>5001.45208</v>
      </c>
      <c r="E35" s="797">
        <f t="shared" si="44"/>
        <v>5417.8523800000003</v>
      </c>
      <c r="F35" s="798"/>
      <c r="G35" s="798"/>
      <c r="H35" s="798"/>
      <c r="I35" s="797">
        <f t="shared" si="45"/>
        <v>611.80970000000002</v>
      </c>
      <c r="J35" s="799">
        <f t="shared" si="45"/>
        <v>0</v>
      </c>
      <c r="K35" s="800">
        <f t="shared" si="45"/>
        <v>0</v>
      </c>
      <c r="L35" s="800">
        <f t="shared" si="45"/>
        <v>0</v>
      </c>
      <c r="M35" s="801">
        <f t="shared" si="45"/>
        <v>500.25967000000003</v>
      </c>
      <c r="N35" s="777">
        <f>PERCENTILE(N$8:N$26,$B35)</f>
        <v>0.78750000000000009</v>
      </c>
      <c r="O35" s="799" t="s">
        <v>78</v>
      </c>
      <c r="P35" s="797">
        <f t="shared" si="46"/>
        <v>1156.9670700000001</v>
      </c>
      <c r="Q35" s="799">
        <f t="shared" si="46"/>
        <v>0</v>
      </c>
      <c r="R35" s="800">
        <f t="shared" si="46"/>
        <v>0</v>
      </c>
      <c r="S35" s="800">
        <f t="shared" si="46"/>
        <v>0</v>
      </c>
      <c r="T35" s="801">
        <f t="shared" si="46"/>
        <v>1032.253125</v>
      </c>
      <c r="U35" s="777">
        <f>PERCENTILE(U$8:U$26,$B35)</f>
        <v>1.675</v>
      </c>
      <c r="V35" s="799" t="s">
        <v>78</v>
      </c>
      <c r="W35" s="802">
        <f>W69</f>
        <v>2191.283285</v>
      </c>
      <c r="X35" s="984">
        <f t="shared" si="47"/>
        <v>62.828346000000003</v>
      </c>
      <c r="Y35" s="988">
        <f t="shared" si="47"/>
        <v>2.0086692200000003</v>
      </c>
      <c r="Z35" s="799" t="s">
        <v>78</v>
      </c>
      <c r="AA35" s="802">
        <f t="shared" si="48"/>
        <v>2231.5866249999999</v>
      </c>
      <c r="AB35" s="803"/>
      <c r="AC35" s="824"/>
      <c r="AD35" s="824"/>
      <c r="AE35" s="778"/>
      <c r="AF35" s="778"/>
      <c r="AG35" s="778"/>
      <c r="AH35" s="778"/>
      <c r="AI35" s="778"/>
      <c r="AJ35" s="778"/>
      <c r="AK35" s="778"/>
      <c r="AL35" s="722"/>
      <c r="AM35" s="722"/>
    </row>
    <row r="36" spans="1:40" s="17" customFormat="1" ht="20.25" customHeight="1" outlineLevel="1">
      <c r="A36" s="12"/>
      <c r="B36" s="12"/>
      <c r="C36" s="815" t="s">
        <v>6</v>
      </c>
      <c r="D36" s="816">
        <f>AVERAGE(D13:D31)</f>
        <v>5545.6500757051281</v>
      </c>
      <c r="E36" s="816">
        <f>AVERAGE(E13:E31)</f>
        <v>6254.5018117307691</v>
      </c>
      <c r="F36" s="815"/>
      <c r="G36" s="815"/>
      <c r="H36" s="815"/>
      <c r="I36" s="816">
        <f t="shared" si="45"/>
        <v>676.78370842000004</v>
      </c>
      <c r="J36" s="817">
        <f t="shared" si="45"/>
        <v>0</v>
      </c>
      <c r="K36" s="818">
        <f t="shared" si="45"/>
        <v>0</v>
      </c>
      <c r="L36" s="818">
        <f t="shared" si="45"/>
        <v>0</v>
      </c>
      <c r="M36" s="819">
        <f t="shared" si="45"/>
        <v>556.36213035058347</v>
      </c>
      <c r="N36" s="820">
        <f>AVERAGE(N13:N31)</f>
        <v>0.8113636363636364</v>
      </c>
      <c r="O36" s="817" t="s">
        <v>78</v>
      </c>
      <c r="P36" s="816">
        <f t="shared" si="46"/>
        <v>1233.1458387705834</v>
      </c>
      <c r="Q36" s="817">
        <f t="shared" si="46"/>
        <v>0</v>
      </c>
      <c r="R36" s="818">
        <f t="shared" si="46"/>
        <v>0</v>
      </c>
      <c r="S36" s="818">
        <f t="shared" si="46"/>
        <v>0</v>
      </c>
      <c r="T36" s="819">
        <f t="shared" si="46"/>
        <v>1282.9382972453775</v>
      </c>
      <c r="U36" s="820">
        <f>AVERAGE(U13:U31)</f>
        <v>1.8980401866228278</v>
      </c>
      <c r="V36" s="817" t="s">
        <v>78</v>
      </c>
      <c r="W36" s="821">
        <f>W70</f>
        <v>2516.0841360159611</v>
      </c>
      <c r="X36" s="999">
        <f t="shared" si="47"/>
        <v>136.29271247285715</v>
      </c>
      <c r="Y36" s="1003">
        <f t="shared" si="47"/>
        <v>44.623436668888885</v>
      </c>
      <c r="Z36" s="817" t="s">
        <v>78</v>
      </c>
      <c r="AA36" s="821">
        <f t="shared" si="48"/>
        <v>2629.0557957934611</v>
      </c>
      <c r="AB36" s="803"/>
      <c r="AC36" s="824"/>
      <c r="AD36" s="824"/>
      <c r="AE36" s="778"/>
      <c r="AF36" s="778"/>
      <c r="AG36" s="778"/>
      <c r="AH36" s="778"/>
      <c r="AI36" s="778"/>
      <c r="AJ36" s="778"/>
      <c r="AK36" s="778"/>
      <c r="AL36" s="722"/>
      <c r="AM36" s="722"/>
    </row>
    <row r="37" spans="1:40" ht="7.5" customHeight="1">
      <c r="C37" s="825"/>
      <c r="D37" s="825"/>
      <c r="E37" s="825"/>
      <c r="F37" s="825"/>
      <c r="G37" s="825"/>
      <c r="H37" s="825"/>
      <c r="I37" s="826"/>
      <c r="J37" s="827"/>
      <c r="K37" s="828"/>
      <c r="L37" s="828"/>
      <c r="M37" s="826"/>
      <c r="N37" s="829"/>
      <c r="O37" s="827"/>
      <c r="P37" s="826"/>
      <c r="Q37" s="826"/>
      <c r="R37" s="829"/>
      <c r="S37" s="829"/>
      <c r="T37" s="827"/>
      <c r="U37" s="828"/>
      <c r="V37" s="827"/>
      <c r="W37" s="826"/>
      <c r="X37" s="828"/>
      <c r="Y37" s="827"/>
      <c r="Z37" s="826"/>
      <c r="AA37" s="826"/>
      <c r="AB37" s="775"/>
      <c r="AC37" s="825"/>
      <c r="AD37" s="825"/>
      <c r="AE37" s="778"/>
      <c r="AF37" s="778"/>
      <c r="AG37" s="778"/>
      <c r="AH37" s="778"/>
      <c r="AI37" s="778"/>
      <c r="AJ37" s="778"/>
      <c r="AK37" s="778"/>
      <c r="AL37" s="722"/>
      <c r="AM37" s="722"/>
    </row>
    <row r="38" spans="1:40" s="35" customFormat="1" ht="20.25" customHeight="1">
      <c r="A38" s="35" t="str">
        <f>$B38&amp;"_"&amp;$C$3&amp;"_"&amp;$C$2</f>
        <v>TSX:HBM_2024_COO</v>
      </c>
      <c r="B38" s="35" t="str">
        <f>'Raw Data'!G6</f>
        <v>TSX:HBM</v>
      </c>
      <c r="C38" s="830" t="str">
        <f>IFERROR(INDEX(Raw_Data,MATCH($A38,Look_Up2,0),MATCH(C$4,Component,0)),"-")</f>
        <v>Hudbay Minerals Inc.</v>
      </c>
      <c r="D38" s="831">
        <f>_xll.ciqfunctions.udf.CIQ(B38, "IQ_MARKETCAP", $A$1,$A$2)</f>
        <v>5664.3295799999996</v>
      </c>
      <c r="E38" s="831">
        <f>_xll.ciqfunctions.udf.CIQ($B38, "IQ_TEV", $A$1,$A$2)</f>
        <v>6773.8200500000003</v>
      </c>
      <c r="F38" s="832" t="str">
        <f>IFERROR(INDEX(Raw_Data,MATCH($A38,Look_Up2,0),MATCH(F$4,Component,0)),"-")</f>
        <v>Andre Lauzon</v>
      </c>
      <c r="G38" s="832" t="str">
        <f>IFERROR(INDEX(Raw_Data,MATCH($A38,Look_Up2,0),MATCH(G$4,Component,0)),"-")</f>
        <v>COO</v>
      </c>
      <c r="H38" s="832" t="str">
        <f>IFERROR(INDEX(Raw_Data,MATCH($A38,Look_Up2,0),MATCH(H$4,Component,0))/1000,"-")</f>
        <v>-</v>
      </c>
      <c r="I38" s="831">
        <f>IFERROR(INDEX(Raw_Data,MATCH($A38,Look_Up2,0),MATCH(I$4,Component,0))/1000,"-")</f>
        <v>651</v>
      </c>
      <c r="J38" s="831">
        <f>IFERROR(INDEX(Raw_Data,MATCH($A38,Look_Up2,0),MATCH(J$4,Component,0))/1000,"-")</f>
        <v>740.46600000000001</v>
      </c>
      <c r="K38" s="833">
        <f>IFERROR(INDEX(Raw_Data,MATCH($A38,Look_Up2,0),MATCH(K$4,Component,0)),"-")</f>
        <v>1.1374285714285715</v>
      </c>
      <c r="L38" s="833">
        <f>IFERROR(INDEX(Raw_Data,MATCH($A38,Look_Up2,0),MATCH(L$4,Component,0)),"-")</f>
        <v>1.1374285714285715</v>
      </c>
      <c r="M38" s="831">
        <f>IFERROR(INDEX(Raw_Data,MATCH($A38,Look_Up2,0),MATCH(M$4,Component,0))/1000,"-")</f>
        <v>585.9</v>
      </c>
      <c r="N38" s="833">
        <f>IFERROR(IF(INDEX(Raw_Data,MATCH($A38,Look_Up2,0),MATCH(N$4,Component,0))="-",L38,INDEX(Raw_Data,MATCH($A38,Look_Up2,0),MATCH(N$4,Component,0))),"-")</f>
        <v>0.9</v>
      </c>
      <c r="O38" s="831" t="s">
        <v>78</v>
      </c>
      <c r="P38" s="831">
        <f>IFERROR(INDEX(Raw_Data,MATCH($A38,Look_Up2,0),MATCH(P$4,Component,0))/1000,"-")</f>
        <v>1236.9000000000001</v>
      </c>
      <c r="Q38" s="831">
        <f>IFERROR(INDEX(Raw_Data,MATCH($A38,Look_Up2,0),MATCH(Q$4,Component,0))/1000,"-")</f>
        <v>1054</v>
      </c>
      <c r="R38" s="833">
        <f>IFERROR(INDEX(Raw_Data,MATCH($A38,Look_Up2,0),MATCH(R$4,Component,0)),"-")</f>
        <v>1.6190476190476191</v>
      </c>
      <c r="S38" s="833">
        <f>IFERROR(INDEX(Raw_Data,MATCH($A38,Look_Up2,0),MATCH(S$4,Component,0)),"-")</f>
        <v>1.6190476190476191</v>
      </c>
      <c r="T38" s="831">
        <f>IFERROR(INDEX(Raw_Data,MATCH($A38,Look_Up2,0),MATCH(T$4,Component,0))/1000,"-")</f>
        <v>1106.7</v>
      </c>
      <c r="U38" s="833">
        <f>IFERROR(IF(INDEX(Raw_Data,MATCH($A38,Look_Up2,0),MATCH(U$4,Component,0))="-",S38,INDEX(Raw_Data,MATCH($A38,Look_Up2,0),MATCH(U$4,Component,0))),"-")</f>
        <v>1.7</v>
      </c>
      <c r="V38" s="831" t="s">
        <v>78</v>
      </c>
      <c r="W38" s="831">
        <f>IFERROR(INDEX(Raw_Data,MATCH($A38,Look_Up2,0),MATCH(W$4,Component,0))/1000,"-")</f>
        <v>2343.6</v>
      </c>
      <c r="X38" s="835">
        <f>IFERROR((INDEX(Raw_Data,MATCH($A38,Look_Up2,0),MATCH(X$4,Component,0))/1000),"-")</f>
        <v>74.400000000000006</v>
      </c>
      <c r="Y38" s="831">
        <f>IFERROR((INDEX(Raw_Data,MATCH($A38,Look_Up2,0),MATCH(Y$4,Component,0))/1000),"-")</f>
        <v>85.126999999999995</v>
      </c>
      <c r="Z38" s="831">
        <f>IFERROR(INDEX(Raw_Data,MATCH($A38,Look_Up2,0),MATCH(Z$4,Component,0))/1000,"-")</f>
        <v>2604.9929999999999</v>
      </c>
      <c r="AA38" s="834">
        <f>IFERROR(INDEX(Raw_Data,MATCH($A38,Look_Up2,0),MATCH(AA$4,Component,0))/1000,"-")</f>
        <v>2503.127</v>
      </c>
      <c r="AB38" s="803">
        <f>AA38/W38</f>
        <v>1.0680692097627582</v>
      </c>
      <c r="AC38" s="837">
        <f>IFERROR(P38/W38,0)</f>
        <v>0.52777777777777779</v>
      </c>
      <c r="AD38" s="838">
        <f>IFERROR(T38/W38,0)</f>
        <v>0.47222222222222227</v>
      </c>
      <c r="AE38" s="778" t="str">
        <f>B38&amp;"_"&amp;$AE$6&amp;"_"&amp;$C$2</f>
        <v>TSX:HBM_2023_COO</v>
      </c>
      <c r="AF38" s="778"/>
      <c r="AG38" s="778"/>
      <c r="AH38" s="778"/>
      <c r="AI38" s="778"/>
      <c r="AJ38" s="778"/>
      <c r="AK38" s="778"/>
      <c r="AL38" s="722"/>
      <c r="AM38" s="722"/>
    </row>
    <row r="39" spans="1:40" ht="20.25" customHeight="1">
      <c r="B39" s="33"/>
      <c r="C39" s="839" t="s">
        <v>5</v>
      </c>
      <c r="D39" s="840">
        <f>IF(D$38&gt;=MAX(D$8:D$26),"max",IF(D$38&lt;=MIN(D$8:D$26),"min",PERCENTRANK(D$8:D$26,D$38)))</f>
        <v>0.46100000000000002</v>
      </c>
      <c r="E39" s="840">
        <f>IF(E$38&gt;=MAX(E$8:E$26),"max",IF(E$38&lt;=MIN(E$8:E$26),"min",PERCENTRANK(E$8:E$26,E$38)))</f>
        <v>0.56899999999999995</v>
      </c>
      <c r="F39" s="841"/>
      <c r="G39" s="841"/>
      <c r="H39" s="841"/>
      <c r="I39" s="840">
        <f>IF(I$38&gt;=MAX(I$46:I$65),"max",IF(I$38&lt;=MIN(I$46:I$65),"min",PERCENTRANK(I$46:I$65,I$38)))</f>
        <v>0.33</v>
      </c>
      <c r="J39" s="840">
        <f>IF(J$38&gt;=MAX(J$8:J$26),"max",IF(J$38&lt;=MIN(J$8:J$26),"min",PERCENTRANK(J$8:J$26,J$38)))</f>
        <v>0.85099999999999998</v>
      </c>
      <c r="K39" s="840">
        <f>IF(K$38&gt;=MAX(K$8:K$26),"max",IF(K$38&lt;=MIN(K$8:K$26),"min",PERCENTRANK(K$8:K$26,K$38)))</f>
        <v>0.80400000000000005</v>
      </c>
      <c r="L39" s="840">
        <f>IF(L$38&gt;=MAX(L$8:L$26),"max",IF(L$38&lt;=MIN(L$8:L$26),"min",PERCENTRANK(L$8:L$26,L$38)))</f>
        <v>0.94399999999999995</v>
      </c>
      <c r="M39" s="840">
        <f>IF(M$38&gt;=MAX(M$46:M$65),"max",IF(M$38&lt;=MIN(M$46:M$65),"min",PERCENTRANK(M$46:M$65,M$38)))</f>
        <v>0.52</v>
      </c>
      <c r="N39" s="840">
        <f>IF(N$38&gt;=MAX(N$8:N$26),"max",IF(N$38&lt;=MIN(N$8:N$26),"min",PERCENTRANK(N$8:N$26,N$38)))</f>
        <v>0.81799999999999995</v>
      </c>
      <c r="O39" s="840" t="s">
        <v>78</v>
      </c>
      <c r="P39" s="840">
        <f>IF(P$38&gt;=MAX(P$46:P$65),"max",IF(P$38&lt;=MIN(P$46:P$65),"min",PERCENTRANK(P$46:P$65,P$38)))</f>
        <v>0.54200000000000004</v>
      </c>
      <c r="Q39" s="840">
        <f>IF(Q$38&gt;=MAX(Q$8:Q$26),"max",IF(Q$38&lt;=MIN(Q$8:Q$26),"min",PERCENTRANK(Q$8:Q$26,Q$38)))</f>
        <v>0.26600000000000001</v>
      </c>
      <c r="R39" s="840">
        <f>IF(R$38&gt;=MAX(R$8:R$26),"max",IF(R$38&lt;=MIN(R$8:R$26),"min",PERCENTRANK(R$8:R$26,R$38)))</f>
        <v>0.14299999999999999</v>
      </c>
      <c r="S39" s="840">
        <f>IF(S$38&gt;=MAX(S$8:S$26),"max",IF(S$38&lt;=MIN(S$8:S$26),"min",PERCENTRANK(S$8:S$26,S$38)))</f>
        <v>0.443</v>
      </c>
      <c r="T39" s="840">
        <f>IF(T$38&gt;=MAX(T$46:T$65),"max",IF(T$38&lt;=MIN(T$46:T$65),"min",PERCENTRANK(T$46:T$65,T$38)))</f>
        <v>0.33500000000000002</v>
      </c>
      <c r="U39" s="840">
        <f>IF(U$38&gt;=MAX(U$8:U$26),"max",IF(U$38&lt;=MIN(U$8:U$26),"min",PERCENTRANK(U$8:U$26,U$38)))</f>
        <v>0.27200000000000002</v>
      </c>
      <c r="V39" s="840" t="s">
        <v>78</v>
      </c>
      <c r="W39" s="840">
        <f>IF(W$38&gt;=MAX(W$46:W$65),"max",IF(W$38&lt;=MIN(W$46:W$65),"min",PERCENTRANK(W$46:W$65,W$38)))</f>
        <v>0.34399999999999997</v>
      </c>
      <c r="X39" s="840">
        <f>IF(X$38&gt;=MAX(X$8:X$26),"max",IF(X$38&lt;=MIN(X$8:X$26),"min",PERCENTRANK(X$8:X$26,X$38)))</f>
        <v>0.28799999999999998</v>
      </c>
      <c r="Y39" s="840">
        <f>IF(Y$38&gt;=MAX(Y$8:Y$26),"max",IF(Y$38&lt;=MIN(Y$8:Y$26),"min",PERCENTRANK(Y$8:Y$26,Y$38)))</f>
        <v>0.877</v>
      </c>
      <c r="Z39" s="840">
        <f>IF(Z$38&gt;=MAX(Z$8:Z$26),"max",IF(Z$38&lt;=MIN(Z$8:Z$26),"min",PERCENTRANK(Z$8:Z$26,Z$38)))</f>
        <v>0.47099999999999997</v>
      </c>
      <c r="AA39" s="842">
        <f>IF(AA$38&gt;=MAX(AA$46:AA$65),"max",IF(AA$38&lt;=MIN(AA$46:AA$65),"min",PERCENTRANK(AA$46:AA$65,AA$38)))</f>
        <v>0.34399999999999997</v>
      </c>
      <c r="AB39" s="775"/>
      <c r="AC39" s="843">
        <f>IF(AC$38&gt;=MAX(AC$8:AC26),"max",IF(AC$38&lt;=MIN(AC$8:AC26),"min",PERCENTRANK(AC$8:AC26,AC$38)))</f>
        <v>0.63600000000000001</v>
      </c>
      <c r="AD39" s="844">
        <f>IF(AD$38&gt;=MAX(AD$8:AD26),"max",IF(AD$38&lt;=MIN(AD$8:AD26),"min",PERCENTRANK(AD$8:AD26,AD$38)))</f>
        <v>0.36299999999999999</v>
      </c>
      <c r="AE39" s="778"/>
      <c r="AF39" s="778"/>
      <c r="AG39" s="778"/>
      <c r="AH39" s="778"/>
      <c r="AI39" s="778"/>
      <c r="AJ39" s="778"/>
      <c r="AK39" s="778"/>
      <c r="AL39" s="722"/>
      <c r="AM39" s="722"/>
    </row>
    <row r="40" spans="1:40" ht="7.5" customHeight="1">
      <c r="B40" s="33"/>
      <c r="C40" s="286"/>
      <c r="D40" s="286"/>
      <c r="E40" s="259"/>
      <c r="F40" s="259"/>
      <c r="G40" s="259"/>
      <c r="H40" s="259"/>
      <c r="I40" s="275"/>
      <c r="J40" s="275"/>
      <c r="K40" s="275"/>
      <c r="L40" s="275"/>
      <c r="M40" s="275"/>
      <c r="N40" s="275"/>
      <c r="O40" s="275"/>
      <c r="P40" s="275"/>
      <c r="Q40" s="275"/>
      <c r="R40" s="275"/>
      <c r="S40" s="275"/>
      <c r="T40" s="275"/>
      <c r="U40" s="275"/>
      <c r="V40" s="275"/>
      <c r="W40" s="275"/>
      <c r="X40" s="275"/>
      <c r="Y40" s="275"/>
      <c r="Z40" s="275"/>
      <c r="AA40" s="275"/>
      <c r="AC40" s="259"/>
      <c r="AD40" s="259"/>
      <c r="AE40" s="316"/>
      <c r="AF40" s="316"/>
      <c r="AG40" s="316"/>
      <c r="AH40" s="316"/>
      <c r="AI40" s="316"/>
      <c r="AJ40" s="316"/>
      <c r="AK40" s="316"/>
    </row>
    <row r="41" spans="1:40" ht="15" customHeight="1">
      <c r="B41" s="33"/>
      <c r="C41" s="286" t="s">
        <v>243</v>
      </c>
      <c r="D41" s="286"/>
      <c r="E41" s="259"/>
      <c r="F41" s="259"/>
      <c r="G41" s="259"/>
      <c r="H41" s="259"/>
      <c r="I41" s="275"/>
      <c r="J41" s="275"/>
      <c r="K41" s="275"/>
      <c r="L41" s="275"/>
      <c r="M41" s="275"/>
      <c r="N41" s="275"/>
      <c r="O41" s="275"/>
      <c r="P41" s="275"/>
      <c r="Q41" s="275"/>
      <c r="R41" s="275"/>
      <c r="S41" s="275"/>
      <c r="T41" s="275"/>
      <c r="U41" s="275"/>
      <c r="V41" s="275"/>
      <c r="W41" s="600">
        <f>W38/W34-1</f>
        <v>-9.9955954813594428E-2</v>
      </c>
      <c r="X41" s="275"/>
      <c r="Y41" s="275"/>
      <c r="Z41" s="275"/>
      <c r="AA41" s="275"/>
      <c r="AC41" s="259"/>
      <c r="AD41" s="259"/>
      <c r="AE41" s="316"/>
      <c r="AF41" s="316"/>
      <c r="AG41" s="316"/>
      <c r="AH41" s="316"/>
      <c r="AI41" s="316"/>
      <c r="AJ41" s="316"/>
      <c r="AK41" s="316"/>
    </row>
    <row r="42" spans="1:40">
      <c r="B42" s="15"/>
      <c r="C42" s="284"/>
      <c r="D42" s="284"/>
      <c r="E42" s="284"/>
      <c r="F42" s="284"/>
      <c r="G42" s="284"/>
      <c r="H42" s="284"/>
      <c r="I42" s="284"/>
      <c r="J42" s="284"/>
      <c r="K42" s="284"/>
      <c r="L42" s="284"/>
      <c r="M42" s="284"/>
      <c r="N42" s="284"/>
      <c r="O42" s="284"/>
      <c r="P42" s="284"/>
      <c r="Q42" s="284"/>
      <c r="R42" s="284"/>
      <c r="S42" s="284"/>
      <c r="T42" s="284"/>
      <c r="U42" s="284"/>
      <c r="V42" s="284"/>
      <c r="W42" s="604">
        <f>W38-W34</f>
        <v>-260.27256883036625</v>
      </c>
      <c r="X42" s="284"/>
      <c r="Y42" s="284"/>
      <c r="Z42" s="284"/>
      <c r="AA42" s="284"/>
      <c r="AC42" s="258"/>
      <c r="AD42" s="258"/>
    </row>
    <row r="43" spans="1:40">
      <c r="B43" s="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C43" s="27"/>
      <c r="AD43" s="27"/>
    </row>
    <row r="44" spans="1:40">
      <c r="B44" s="15"/>
      <c r="C44" s="305" t="s">
        <v>110</v>
      </c>
      <c r="D44" s="313"/>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C44" s="307"/>
      <c r="AD44" s="307"/>
      <c r="AE44" s="308"/>
      <c r="AF44" s="308"/>
      <c r="AG44" s="308"/>
      <c r="AH44" s="308"/>
      <c r="AI44" s="308"/>
      <c r="AJ44" s="308"/>
      <c r="AK44" s="308"/>
    </row>
    <row r="45" spans="1:40" ht="50">
      <c r="B45" s="15"/>
      <c r="C45" s="297" t="s">
        <v>111</v>
      </c>
      <c r="E45" s="14"/>
      <c r="F45" s="14"/>
      <c r="G45" s="315" t="s">
        <v>119</v>
      </c>
      <c r="H45" s="314" t="s">
        <v>115</v>
      </c>
      <c r="I45" s="314" t="s">
        <v>116</v>
      </c>
      <c r="J45" s="314"/>
      <c r="K45" s="314"/>
      <c r="L45" s="314"/>
      <c r="M45" s="314" t="s">
        <v>16</v>
      </c>
      <c r="O45" s="314"/>
      <c r="P45" s="314" t="s">
        <v>117</v>
      </c>
      <c r="Q45" s="314"/>
      <c r="R45" s="314"/>
      <c r="S45" s="314"/>
      <c r="T45" s="314" t="s">
        <v>14</v>
      </c>
      <c r="V45" s="314"/>
      <c r="W45" s="314" t="s">
        <v>118</v>
      </c>
      <c r="Y45" s="314"/>
      <c r="Z45" s="314"/>
      <c r="AA45" s="314" t="s">
        <v>246</v>
      </c>
      <c r="AC45" s="27"/>
      <c r="AD45" s="27"/>
    </row>
    <row r="46" spans="1:40" ht="14.5">
      <c r="A46" s="295" t="str">
        <f t="shared" ref="A46:B56" si="49">A8</f>
        <v>TSX:K_2024_COO</v>
      </c>
      <c r="B46" s="295" t="str">
        <f t="shared" si="49"/>
        <v>TSX:K</v>
      </c>
      <c r="C46" s="296" t="str">
        <f>_xll.ciqfunctions.udf.CIQ(B46,"IQ_COMPANY_NAME")</f>
        <v>Kinross Gold Corporation</v>
      </c>
      <c r="E46" s="14"/>
      <c r="F46" s="14"/>
      <c r="G46" s="294" t="s">
        <v>661</v>
      </c>
      <c r="H46" s="303">
        <f t="shared" ref="H46:H65" si="50">IFERROR(INDEX(Raw_Data,MATCH($A46,Look_Up2,0),MATCH(H$4,Component,0))/1000,"-")</f>
        <v>670</v>
      </c>
      <c r="I46" s="303">
        <f>IFERROR(IF(G46="y",IF(H46&lt;&gt;"-",H46,INDEX(Raw_Data,MATCH($A46,Look_Up2,0),MATCH(I$4,Component,0))/1000*(1+'Raw Data'!$G$13)),(INDEX(Raw_Data,MATCH($A46,Look_Up2,0),MATCH(I$4,Component,0))/1000)),"-")</f>
        <v>670</v>
      </c>
      <c r="J46" s="361"/>
      <c r="K46" s="361"/>
      <c r="L46" s="361"/>
      <c r="M46" s="303">
        <f t="shared" ref="M46:M56" si="51">IFERROR(I46*N8,"-")</f>
        <v>603</v>
      </c>
      <c r="N46" s="362"/>
      <c r="O46" s="361"/>
      <c r="P46" s="303">
        <f>IFERROR(IF(SUM(M46,I46)=0,"-",SUM(M46,I46)),"-")</f>
        <v>1273</v>
      </c>
      <c r="Q46" s="361"/>
      <c r="R46" s="361"/>
      <c r="S46" s="361"/>
      <c r="T46" s="303">
        <f t="shared" ref="T46:T56" si="52">IFERROR(I46*U8,"-")</f>
        <v>1443.0645287184013</v>
      </c>
      <c r="U46" s="362"/>
      <c r="V46" s="361"/>
      <c r="W46" s="303">
        <f>IFERROR(IF(SUM(T46,P46)=0,"-",SUM(T46,P46)),"-")</f>
        <v>2716.0645287184016</v>
      </c>
      <c r="X46" s="362"/>
      <c r="Y46" s="361"/>
      <c r="Z46" s="361"/>
      <c r="AA46" s="303">
        <f t="shared" ref="AA46:AA56" si="53">IFERROR(IF(SUM(W46,X8,Y8)=0,"-",SUM(W46,X8,Y8)),"-")</f>
        <v>3025.9599881284016</v>
      </c>
      <c r="AB46" s="362"/>
    </row>
    <row r="47" spans="1:40" ht="14.5">
      <c r="A47" s="295" t="str">
        <f t="shared" si="49"/>
        <v>TSX:LUN_2024_COO</v>
      </c>
      <c r="B47" s="295" t="str">
        <f t="shared" si="49"/>
        <v>TSX:LUN</v>
      </c>
      <c r="C47" s="296" t="str">
        <f>_xll.ciqfunctions.udf.CIQ(B47,"IQ_COMPANY_NAME")</f>
        <v>Lundin Mining Corporation</v>
      </c>
      <c r="E47" s="14"/>
      <c r="F47" s="14"/>
      <c r="G47" s="294" t="s">
        <v>661</v>
      </c>
      <c r="H47" s="262">
        <f t="shared" si="50"/>
        <v>815.88416854000013</v>
      </c>
      <c r="I47" s="262">
        <f>IFERROR(IF(G47="y",IF(H47&lt;&gt;"-",H47,INDEX(Raw_Data,MATCH($A47,Look_Up2,0),MATCH(I$4,Component,0))/1000*(1+'Raw Data'!$G$13)),(INDEX(Raw_Data,MATCH($A47,Look_Up2,0),MATCH(I$4,Component,0))/1000)),"-")</f>
        <v>815.88416854000013</v>
      </c>
      <c r="J47" s="361"/>
      <c r="K47" s="361"/>
      <c r="L47" s="361"/>
      <c r="M47" s="262">
        <f t="shared" si="51"/>
        <v>652.70733483200013</v>
      </c>
      <c r="N47" s="362"/>
      <c r="O47" s="361"/>
      <c r="P47" s="262">
        <f t="shared" ref="P47:P65" si="54">IFERROR(IF(SUM(M47,I47)=0,"-",SUM(M47,I47)),"-")</f>
        <v>1468.5915033720003</v>
      </c>
      <c r="Q47" s="361"/>
      <c r="R47" s="361"/>
      <c r="S47" s="361"/>
      <c r="T47" s="262">
        <f t="shared" si="52"/>
        <v>1232.5456342887319</v>
      </c>
      <c r="U47" s="362"/>
      <c r="V47" s="361"/>
      <c r="W47" s="262">
        <f t="shared" ref="W47:W65" si="55">IFERROR(IF(SUM(T47,P47)=0,"-",SUM(T47,P47)),"-")</f>
        <v>2701.1371376607322</v>
      </c>
      <c r="X47" s="362"/>
      <c r="Y47" s="361"/>
      <c r="Z47" s="361"/>
      <c r="AA47" s="262">
        <f t="shared" si="53"/>
        <v>2703.1458068807319</v>
      </c>
      <c r="AB47" s="362"/>
    </row>
    <row r="48" spans="1:40" ht="14.5">
      <c r="A48" s="295" t="str">
        <f t="shared" si="49"/>
        <v>TSX:AGI_2024_COO</v>
      </c>
      <c r="B48" s="295" t="str">
        <f t="shared" si="49"/>
        <v>TSX:AGI</v>
      </c>
      <c r="C48" s="296" t="str">
        <f>_xll.ciqfunctions.udf.CIQ(B48,"IQ_COMPANY_NAME")</f>
        <v>Alamos Gold Inc.</v>
      </c>
      <c r="E48" s="14"/>
      <c r="F48" s="14"/>
      <c r="G48" s="294" t="s">
        <v>661</v>
      </c>
      <c r="H48" s="262" t="str">
        <f t="shared" si="50"/>
        <v>-</v>
      </c>
      <c r="I48" s="262">
        <f>IFERROR(IF(G48="y",IF(H48&lt;&gt;"-",H48,INDEX(Raw_Data,MATCH($A48,Look_Up2,0),MATCH(I$4,Component,0))/1000*(1+'Raw Data'!$G$13)),(INDEX(Raw_Data,MATCH($A48,Look_Up2,0),MATCH(I$4,Component,0))/1000)),"-")</f>
        <v>669.5</v>
      </c>
      <c r="J48" s="361"/>
      <c r="K48" s="361"/>
      <c r="L48" s="361"/>
      <c r="M48" s="262">
        <f t="shared" si="51"/>
        <v>569.07499999999993</v>
      </c>
      <c r="N48" s="362"/>
      <c r="O48" s="361"/>
      <c r="P48" s="262">
        <f t="shared" si="54"/>
        <v>1238.5749999999998</v>
      </c>
      <c r="Q48" s="361"/>
      <c r="R48" s="361"/>
      <c r="S48" s="361"/>
      <c r="T48" s="262">
        <f t="shared" si="52"/>
        <v>1138.1499999999999</v>
      </c>
      <c r="U48" s="362"/>
      <c r="V48" s="361"/>
      <c r="W48" s="262">
        <f t="shared" si="55"/>
        <v>2376.7249999999995</v>
      </c>
      <c r="X48" s="362"/>
      <c r="Y48" s="361"/>
      <c r="Z48" s="361"/>
      <c r="AA48" s="262">
        <f t="shared" si="53"/>
        <v>2572.9388246799995</v>
      </c>
      <c r="AB48" s="362"/>
    </row>
    <row r="49" spans="1:30" ht="14.5">
      <c r="A49" s="295" t="str">
        <f t="shared" si="49"/>
        <v>TSX:PAAS_2024_COO</v>
      </c>
      <c r="B49" s="295" t="str">
        <f t="shared" si="49"/>
        <v>TSX:PAAS</v>
      </c>
      <c r="C49" s="296" t="str">
        <f>_xll.ciqfunctions.udf.CIQ(B49,"IQ_COMPANY_NAME")</f>
        <v>Pan American Silver Corp.</v>
      </c>
      <c r="G49" s="294" t="s">
        <v>661</v>
      </c>
      <c r="H49" s="262" t="str">
        <f t="shared" si="50"/>
        <v>-</v>
      </c>
      <c r="I49" s="262">
        <f>IFERROR(IF(G49="y",IF(H49&lt;&gt;"-",H49,INDEX(Raw_Data,MATCH($A49,Look_Up2,0),MATCH(I$4,Component,0))/1000*(1+'Raw Data'!$G$13)),(INDEX(Raw_Data,MATCH($A49,Look_Up2,0),MATCH(I$4,Component,0))/1000)),"-")</f>
        <v>803.4</v>
      </c>
      <c r="J49" s="362"/>
      <c r="K49" s="362"/>
      <c r="L49" s="362"/>
      <c r="M49" s="262">
        <f t="shared" si="51"/>
        <v>642.72</v>
      </c>
      <c r="N49" s="362"/>
      <c r="O49" s="362"/>
      <c r="P49" s="262">
        <f t="shared" si="54"/>
        <v>1446.12</v>
      </c>
      <c r="Q49" s="362"/>
      <c r="R49" s="362"/>
      <c r="S49" s="362"/>
      <c r="T49" s="262">
        <f t="shared" si="52"/>
        <v>1767.48</v>
      </c>
      <c r="U49" s="362"/>
      <c r="V49" s="362"/>
      <c r="W49" s="262">
        <f t="shared" si="55"/>
        <v>3213.6</v>
      </c>
      <c r="X49" s="362"/>
      <c r="Y49" s="362"/>
      <c r="Z49" s="362"/>
      <c r="AA49" s="262">
        <f t="shared" si="53"/>
        <v>3564.6</v>
      </c>
      <c r="AB49" s="362"/>
    </row>
    <row r="50" spans="1:30" ht="14.5">
      <c r="A50" s="295" t="str">
        <f t="shared" si="49"/>
        <v>TSX:CS_2024_COO</v>
      </c>
      <c r="B50" s="295" t="str">
        <f t="shared" si="49"/>
        <v>TSX:CS</v>
      </c>
      <c r="C50" s="296" t="str">
        <f>_xll.ciqfunctions.udf.CIQ(B50,"IQ_COMPANY_NAME")</f>
        <v>Capstone Copper Corp.</v>
      </c>
      <c r="G50" s="294" t="s">
        <v>661</v>
      </c>
      <c r="H50" s="262" t="str">
        <f t="shared" si="50"/>
        <v>-</v>
      </c>
      <c r="I50" s="262">
        <f>IFERROR(IF(G50="y",IF(H50&lt;&gt;"-",H50,INDEX(Raw_Data,MATCH($A50,Look_Up2,0),MATCH(I$4,Component,0))/1000*(1+'Raw Data'!$G$13)),(INDEX(Raw_Data,MATCH($A50,Look_Up2,0),MATCH(I$4,Component,0))/1000)),"-")</f>
        <v>696.28</v>
      </c>
      <c r="J50" s="362"/>
      <c r="K50" s="362"/>
      <c r="L50" s="362"/>
      <c r="M50" s="262">
        <f t="shared" si="51"/>
        <v>626.65200000000004</v>
      </c>
      <c r="N50" s="362"/>
      <c r="O50" s="362"/>
      <c r="P50" s="262">
        <f t="shared" si="54"/>
        <v>1322.932</v>
      </c>
      <c r="Q50" s="362"/>
      <c r="R50" s="362"/>
      <c r="S50" s="362"/>
      <c r="T50" s="262">
        <f t="shared" si="52"/>
        <v>1183.6759999999999</v>
      </c>
      <c r="U50" s="362"/>
      <c r="V50" s="362"/>
      <c r="W50" s="262">
        <f t="shared" si="55"/>
        <v>2506.6080000000002</v>
      </c>
      <c r="X50" s="362"/>
      <c r="Y50" s="362"/>
      <c r="Z50" s="362"/>
      <c r="AA50" s="262">
        <f t="shared" si="53"/>
        <v>2590.7800000000002</v>
      </c>
      <c r="AB50" s="362"/>
    </row>
    <row r="51" spans="1:30" ht="14.5">
      <c r="A51" s="295" t="str">
        <f t="shared" si="49"/>
        <v>TSX:IMG_2024_COO</v>
      </c>
      <c r="B51" s="295" t="str">
        <f t="shared" si="49"/>
        <v>TSX:IMG</v>
      </c>
      <c r="C51" s="296" t="str">
        <f>_xll.ciqfunctions.udf.CIQ(B51,"IQ_COMPANY_NAME")</f>
        <v>IAMGOLD Corporation</v>
      </c>
      <c r="G51" s="294" t="s">
        <v>661</v>
      </c>
      <c r="H51" s="262" t="str">
        <f t="shared" si="50"/>
        <v>-</v>
      </c>
      <c r="I51" s="262">
        <f>IFERROR(IF(G51="y",IF(H51&lt;&gt;"-",H51,INDEX(Raw_Data,MATCH($A51,Look_Up2,0),MATCH(I$4,Component,0))/1000*(1+'Raw Data'!$G$13)),(INDEX(Raw_Data,MATCH($A51,Look_Up2,0),MATCH(I$4,Component,0))/1000)),"-")</f>
        <v>618.32960000000003</v>
      </c>
      <c r="J51" s="362"/>
      <c r="K51" s="362"/>
      <c r="L51" s="362"/>
      <c r="M51" s="262">
        <f t="shared" si="51"/>
        <v>494.66368000000006</v>
      </c>
      <c r="N51" s="362"/>
      <c r="O51" s="362"/>
      <c r="P51" s="262">
        <f t="shared" si="54"/>
        <v>1112.9932800000001</v>
      </c>
      <c r="Q51" s="362"/>
      <c r="R51" s="362"/>
      <c r="S51" s="362"/>
      <c r="T51" s="262">
        <f t="shared" si="52"/>
        <v>989.32736000000011</v>
      </c>
      <c r="U51" s="362"/>
      <c r="V51" s="362"/>
      <c r="W51" s="262">
        <f t="shared" si="55"/>
        <v>2102.3206400000004</v>
      </c>
      <c r="X51" s="362"/>
      <c r="Y51" s="362"/>
      <c r="Z51" s="362"/>
      <c r="AA51" s="262">
        <f t="shared" si="53"/>
        <v>2195.0406400000002</v>
      </c>
      <c r="AB51" s="362"/>
    </row>
    <row r="52" spans="1:30" ht="14.5">
      <c r="A52" s="295" t="str">
        <f t="shared" si="49"/>
        <v>TSX:BTO_2024_COO</v>
      </c>
      <c r="B52" s="295" t="str">
        <f t="shared" si="49"/>
        <v>TSX:BTO</v>
      </c>
      <c r="C52" s="296" t="str">
        <f>_xll.ciqfunctions.udf.CIQ(B52,"IQ_COMPANY_NAME")</f>
        <v>B2Gold Corp.</v>
      </c>
      <c r="G52" s="294" t="s">
        <v>661</v>
      </c>
      <c r="H52" s="262" t="str">
        <f t="shared" si="50"/>
        <v>-</v>
      </c>
      <c r="I52" s="262">
        <f>IFERROR(IF(G52="y",IF(H52&lt;&gt;"-",H52,INDEX(Raw_Data,MATCH($A52,Look_Up2,0),MATCH(I$4,Component,0))/1000*(1+'Raw Data'!$G$13)),(INDEX(Raw_Data,MATCH($A52,Look_Up2,0),MATCH(I$4,Component,0))/1000)),"-")</f>
        <v>669.5</v>
      </c>
      <c r="J52" s="362"/>
      <c r="K52" s="362"/>
      <c r="L52" s="362"/>
      <c r="M52" s="262">
        <f t="shared" si="51"/>
        <v>502.125</v>
      </c>
      <c r="N52" s="362"/>
      <c r="O52" s="362"/>
      <c r="P52" s="262">
        <f t="shared" si="54"/>
        <v>1171.625</v>
      </c>
      <c r="Q52" s="362"/>
      <c r="R52" s="362"/>
      <c r="S52" s="362"/>
      <c r="T52" s="262">
        <f t="shared" si="52"/>
        <v>1802.4999999999998</v>
      </c>
      <c r="U52" s="362"/>
      <c r="V52" s="362"/>
      <c r="W52" s="262">
        <f t="shared" si="55"/>
        <v>2974.125</v>
      </c>
      <c r="X52" s="362"/>
      <c r="Y52" s="362"/>
      <c r="Z52" s="362"/>
      <c r="AA52" s="262">
        <f t="shared" si="53"/>
        <v>2975.125</v>
      </c>
      <c r="AB52" s="362"/>
    </row>
    <row r="53" spans="1:30" s="17" customFormat="1" ht="14.5">
      <c r="A53" s="295" t="str">
        <f t="shared" si="49"/>
        <v>NYSE:HL_2024_COO</v>
      </c>
      <c r="B53" s="295" t="str">
        <f t="shared" si="49"/>
        <v>NYSE:HL</v>
      </c>
      <c r="C53" s="296" t="str">
        <f>_xll.ciqfunctions.udf.CIQ(B53,"IQ_COMPANY_NAME")</f>
        <v>Hecla Mining Company</v>
      </c>
      <c r="E53" s="22"/>
      <c r="F53" s="20"/>
      <c r="G53" s="294" t="s">
        <v>661</v>
      </c>
      <c r="H53" s="262" t="str">
        <f t="shared" si="50"/>
        <v>-</v>
      </c>
      <c r="I53" s="262" t="str">
        <f>IFERROR(IF(G53="y",IF(H53&lt;&gt;"-",H53,INDEX(Raw_Data,MATCH($A53,Look_Up2,0),MATCH(I$4,Component,0))/1000*(1+'Raw Data'!$G$13)),(INDEX(Raw_Data,MATCH($A53,Look_Up2,0),MATCH(I$4,Component,0))/1000)),"-")</f>
        <v>-</v>
      </c>
      <c r="J53" s="22"/>
      <c r="K53" s="363"/>
      <c r="L53" s="363"/>
      <c r="M53" s="262" t="str">
        <f t="shared" si="51"/>
        <v>-</v>
      </c>
      <c r="N53" s="364"/>
      <c r="O53" s="22"/>
      <c r="P53" s="262" t="str">
        <f t="shared" si="54"/>
        <v>-</v>
      </c>
      <c r="Q53" s="21"/>
      <c r="R53" s="365"/>
      <c r="S53" s="365"/>
      <c r="T53" s="262" t="str">
        <f t="shared" si="52"/>
        <v>-</v>
      </c>
      <c r="U53" s="364"/>
      <c r="V53" s="22"/>
      <c r="W53" s="262" t="str">
        <f t="shared" si="55"/>
        <v>-</v>
      </c>
      <c r="X53" s="364"/>
      <c r="Y53" s="22"/>
      <c r="Z53" s="22"/>
      <c r="AA53" s="262" t="str">
        <f t="shared" si="53"/>
        <v>-</v>
      </c>
      <c r="AB53" s="364"/>
      <c r="AC53" s="19"/>
      <c r="AD53" s="19"/>
    </row>
    <row r="54" spans="1:30" ht="14.5">
      <c r="A54" s="295" t="str">
        <f t="shared" si="49"/>
        <v>TSX:NGD_2024_COO</v>
      </c>
      <c r="B54" s="295" t="str">
        <f t="shared" si="49"/>
        <v>TSX:NGD</v>
      </c>
      <c r="C54" s="296" t="str">
        <f>_xll.ciqfunctions.udf.CIQ(B54,"IQ_COMPANY_NAME")</f>
        <v>New Gold Inc.</v>
      </c>
      <c r="G54" s="294" t="s">
        <v>661</v>
      </c>
      <c r="H54" s="262" t="str">
        <f t="shared" si="50"/>
        <v>-</v>
      </c>
      <c r="I54" s="262">
        <f>IFERROR(IF(G54="y",IF(H54&lt;&gt;"-",H54,INDEX(Raw_Data,MATCH($A54,Look_Up2,0),MATCH(I$4,Component,0))/1000*(1+'Raw Data'!$G$13)),(INDEX(Raw_Data,MATCH($A54,Look_Up2,0),MATCH(I$4,Component,0))/1000)),"-")</f>
        <v>592.25</v>
      </c>
      <c r="J54" s="366"/>
      <c r="K54" s="366"/>
      <c r="L54" s="366"/>
      <c r="M54" s="262">
        <f t="shared" si="51"/>
        <v>592.25</v>
      </c>
      <c r="N54" s="362"/>
      <c r="O54" s="366"/>
      <c r="P54" s="262">
        <f t="shared" si="54"/>
        <v>1184.5</v>
      </c>
      <c r="Q54" s="366"/>
      <c r="R54" s="366"/>
      <c r="S54" s="366"/>
      <c r="T54" s="262">
        <f t="shared" si="52"/>
        <v>1036.4375</v>
      </c>
      <c r="U54" s="362"/>
      <c r="V54" s="366"/>
      <c r="W54" s="262">
        <f t="shared" si="55"/>
        <v>2220.9375</v>
      </c>
      <c r="X54" s="362"/>
      <c r="Y54" s="366"/>
      <c r="Z54" s="366"/>
      <c r="AA54" s="262">
        <f t="shared" si="53"/>
        <v>2236.7175000000002</v>
      </c>
      <c r="AB54" s="362"/>
    </row>
    <row r="55" spans="1:30" ht="14.5">
      <c r="A55" s="295" t="str">
        <f t="shared" si="49"/>
        <v>TSX:ELD_2024_COO</v>
      </c>
      <c r="B55" s="295" t="str">
        <f t="shared" si="49"/>
        <v>TSX:ELD</v>
      </c>
      <c r="C55" s="296" t="str">
        <f>_xll.ciqfunctions.udf.CIQ(B55,"IQ_COMPANY_NAME")</f>
        <v>Eldorado Gold Corporation</v>
      </c>
      <c r="G55" s="294" t="s">
        <v>661</v>
      </c>
      <c r="H55" s="262" t="str">
        <f t="shared" si="50"/>
        <v>-</v>
      </c>
      <c r="I55" s="262">
        <f>IFERROR(IF(G55="y",IF(H55&lt;&gt;"-",H55,INDEX(Raw_Data,MATCH($A55,Look_Up2,0),MATCH(I$4,Component,0))/1000*(1+'Raw Data'!$G$13)),(INDEX(Raw_Data,MATCH($A55,Look_Up2,0),MATCH(I$4,Component,0))/1000)),"-")</f>
        <v>502.64</v>
      </c>
      <c r="J55" s="362"/>
      <c r="K55" s="362"/>
      <c r="L55" s="362"/>
      <c r="M55" s="262">
        <f t="shared" si="51"/>
        <v>402.11200000000002</v>
      </c>
      <c r="N55" s="362"/>
      <c r="O55" s="362"/>
      <c r="P55" s="262">
        <f t="shared" si="54"/>
        <v>904.75199999999995</v>
      </c>
      <c r="Q55" s="362"/>
      <c r="R55" s="362"/>
      <c r="S55" s="362"/>
      <c r="T55" s="262">
        <f t="shared" si="52"/>
        <v>753.96</v>
      </c>
      <c r="U55" s="362"/>
      <c r="V55" s="362"/>
      <c r="W55" s="262">
        <f t="shared" si="55"/>
        <v>1658.712</v>
      </c>
      <c r="X55" s="362"/>
      <c r="Y55" s="362"/>
      <c r="Z55" s="362"/>
      <c r="AA55" s="262">
        <f t="shared" si="53"/>
        <v>1746.5519999999999</v>
      </c>
      <c r="AB55" s="362"/>
    </row>
    <row r="56" spans="1:30" ht="14.5">
      <c r="A56" s="295" t="str">
        <f t="shared" si="49"/>
        <v>TSX:SSRM_2024_COO</v>
      </c>
      <c r="B56" s="295" t="str">
        <f t="shared" si="49"/>
        <v>TSX:SSRM</v>
      </c>
      <c r="C56" s="296" t="str">
        <f>_xll.ciqfunctions.udf.CIQ(B56,"IQ_COMPANY_NAME")</f>
        <v>SSR Mining Inc.</v>
      </c>
      <c r="G56" s="294" t="s">
        <v>661</v>
      </c>
      <c r="H56" s="262" t="str">
        <f t="shared" si="50"/>
        <v>-</v>
      </c>
      <c r="I56" s="262">
        <f>IFERROR(IF(G56="y",IF(H56&lt;&gt;"-",H56,INDEX(Raw_Data,MATCH($A56,Look_Up2,0),MATCH(I$4,Component,0))/1000*(1+'Raw Data'!$G$13)),(INDEX(Raw_Data,MATCH($A56,Look_Up2,0),MATCH(I$4,Component,0))/1000)),"-")</f>
        <v>846.76506000000006</v>
      </c>
      <c r="J56" s="362"/>
      <c r="K56" s="362"/>
      <c r="L56" s="362"/>
      <c r="M56" s="262">
        <f t="shared" si="51"/>
        <v>635.07379500000002</v>
      </c>
      <c r="N56" s="362"/>
      <c r="O56" s="362"/>
      <c r="P56" s="262">
        <f t="shared" si="54"/>
        <v>1481.838855</v>
      </c>
      <c r="Q56" s="362"/>
      <c r="R56" s="362"/>
      <c r="S56" s="362"/>
      <c r="T56" s="262">
        <f t="shared" si="52"/>
        <v>1481.8388550000002</v>
      </c>
      <c r="U56" s="362"/>
      <c r="V56" s="362"/>
      <c r="W56" s="262">
        <f t="shared" si="55"/>
        <v>2963.6777099999999</v>
      </c>
      <c r="X56" s="362"/>
      <c r="Y56" s="362"/>
      <c r="Z56" s="362"/>
      <c r="AA56" s="262">
        <f t="shared" si="53"/>
        <v>3001.4944019999998</v>
      </c>
      <c r="AB56" s="362"/>
    </row>
    <row r="57" spans="1:30" ht="14.5">
      <c r="A57" s="295" t="e">
        <f>#REF!</f>
        <v>#REF!</v>
      </c>
      <c r="B57" s="295" t="e">
        <f>#REF!</f>
        <v>#REF!</v>
      </c>
      <c r="C57" s="296" t="str">
        <f>_xll.ciqfunctions.udf.CIQ(B57,"IQ_COMPANY_NAME")</f>
        <v>#NA</v>
      </c>
      <c r="G57" s="294" t="s">
        <v>661</v>
      </c>
      <c r="H57" s="262" t="str">
        <f t="shared" si="50"/>
        <v>-</v>
      </c>
      <c r="I57" s="262" t="str">
        <f>IFERROR(IF(G57="y",IF(H57&lt;&gt;"-",H57,INDEX(Raw_Data,MATCH($A57,Look_Up2,0),MATCH(I$4,Component,0))/1000*(1+'Raw Data'!$G$13)),(INDEX(Raw_Data,MATCH($A57,Look_Up2,0),MATCH(I$4,Component,0))/1000)),"-")</f>
        <v>-</v>
      </c>
      <c r="J57" s="362"/>
      <c r="K57" s="362"/>
      <c r="L57" s="362"/>
      <c r="M57" s="262" t="str">
        <f>IFERROR(I57*#REF!,"-")</f>
        <v>-</v>
      </c>
      <c r="N57" s="362"/>
      <c r="O57" s="362"/>
      <c r="P57" s="262" t="str">
        <f t="shared" si="54"/>
        <v>-</v>
      </c>
      <c r="Q57" s="362"/>
      <c r="R57" s="362"/>
      <c r="S57" s="362"/>
      <c r="T57" s="262" t="str">
        <f>IFERROR(I57*#REF!,"-")</f>
        <v>-</v>
      </c>
      <c r="U57" s="362"/>
      <c r="V57" s="362"/>
      <c r="W57" s="262" t="str">
        <f t="shared" si="55"/>
        <v>-</v>
      </c>
      <c r="X57" s="362"/>
      <c r="Y57" s="362"/>
      <c r="Z57" s="362"/>
      <c r="AA57" s="262" t="str">
        <f>IFERROR(IF(SUM(W57,#REF!,#REF!)=0,"-",SUM(W57,#REF!,#REF!)),"-")</f>
        <v>-</v>
      </c>
      <c r="AB57" s="362"/>
    </row>
    <row r="58" spans="1:30" ht="14.5">
      <c r="A58" s="295" t="str">
        <f t="shared" ref="A58:B65" si="56">A19</f>
        <v>TSX:ERO_2024_COO</v>
      </c>
      <c r="B58" s="295" t="str">
        <f t="shared" si="56"/>
        <v>TSX:ERO</v>
      </c>
      <c r="C58" s="296" t="str">
        <f>_xll.ciqfunctions.udf.CIQ(B58,"IQ_COMPANY_NAME")</f>
        <v>Ero Copper Corp.</v>
      </c>
      <c r="G58" s="294" t="s">
        <v>661</v>
      </c>
      <c r="H58" s="262" t="str">
        <f t="shared" si="50"/>
        <v>-</v>
      </c>
      <c r="I58" s="262">
        <f>IFERROR(IF(G58="y",IF(H58&lt;&gt;"-",H58,INDEX(Raw_Data,MATCH($A58,Look_Up2,0),MATCH(I$4,Component,0))/1000*(1+'Raw Data'!$G$13)),(INDEX(Raw_Data,MATCH($A58,Look_Up2,0),MATCH(I$4,Component,0))/1000)),"-")</f>
        <v>670.35567249999997</v>
      </c>
      <c r="J58" s="362"/>
      <c r="K58" s="362"/>
      <c r="L58" s="362"/>
      <c r="M58" s="262">
        <f t="shared" ref="M58:M65" si="57">IFERROR(I58*N19,"-")</f>
        <v>502.766754375</v>
      </c>
      <c r="N58" s="362"/>
      <c r="O58" s="362"/>
      <c r="P58" s="262">
        <f t="shared" si="54"/>
        <v>1173.122426875</v>
      </c>
      <c r="Q58" s="362"/>
      <c r="R58" s="362"/>
      <c r="S58" s="362"/>
      <c r="T58" s="262">
        <f t="shared" ref="T58:T65" si="58">IFERROR(I58*U19,"-")</f>
        <v>1546.5796889374001</v>
      </c>
      <c r="U58" s="362"/>
      <c r="V58" s="362"/>
      <c r="W58" s="262">
        <f t="shared" si="55"/>
        <v>2719.7021158123998</v>
      </c>
      <c r="X58" s="362"/>
      <c r="Y58" s="362"/>
      <c r="Z58" s="362"/>
      <c r="AA58" s="262">
        <f t="shared" ref="AA58:AA65" si="59">IFERROR(IF(SUM(W58,X19,Y19)=0,"-",SUM(W58,X19,Y19)),"-")</f>
        <v>2720.1213878323997</v>
      </c>
      <c r="AB58" s="362"/>
    </row>
    <row r="59" spans="1:30" ht="14.5">
      <c r="A59" s="295" t="str">
        <f t="shared" si="56"/>
        <v>TSX:CG_2024_COO</v>
      </c>
      <c r="B59" s="295" t="str">
        <f t="shared" si="56"/>
        <v>TSX:CG</v>
      </c>
      <c r="C59" s="296" t="str">
        <f>_xll.ciqfunctions.udf.CIQ(B59,"IQ_COMPANY_NAME")</f>
        <v>Centerra Gold Inc.</v>
      </c>
      <c r="G59" s="294" t="s">
        <v>661</v>
      </c>
      <c r="H59" s="262" t="str">
        <f t="shared" si="50"/>
        <v>-</v>
      </c>
      <c r="I59" s="262">
        <f>IFERROR(IF(G59="y",IF(H59&lt;&gt;"-",H59,INDEX(Raw_Data,MATCH($A59,Look_Up2,0),MATCH(I$4,Component,0))/1000*(1+'Raw Data'!$G$13)),(INDEX(Raw_Data,MATCH($A59,Look_Up2,0),MATCH(I$4,Component,0))/1000)),"-")</f>
        <v>566.5</v>
      </c>
      <c r="J59" s="362"/>
      <c r="K59" s="362"/>
      <c r="L59" s="362"/>
      <c r="M59" s="262">
        <f t="shared" si="57"/>
        <v>453.20000000000005</v>
      </c>
      <c r="N59" s="362"/>
      <c r="O59" s="362"/>
      <c r="P59" s="262">
        <f t="shared" si="54"/>
        <v>1019.7</v>
      </c>
      <c r="Q59" s="362"/>
      <c r="R59" s="362"/>
      <c r="S59" s="362"/>
      <c r="T59" s="262">
        <f t="shared" si="58"/>
        <v>1019.7</v>
      </c>
      <c r="U59" s="362"/>
      <c r="V59" s="362"/>
      <c r="W59" s="262">
        <f t="shared" si="55"/>
        <v>2039.4</v>
      </c>
      <c r="X59" s="362"/>
      <c r="Y59" s="362"/>
      <c r="Z59" s="362"/>
      <c r="AA59" s="262">
        <f t="shared" si="59"/>
        <v>2216.194</v>
      </c>
      <c r="AB59" s="362"/>
    </row>
    <row r="60" spans="1:30" ht="14.5">
      <c r="A60" s="295" t="str">
        <f t="shared" si="56"/>
        <v>0_2024_COO</v>
      </c>
      <c r="B60" s="295">
        <f t="shared" si="56"/>
        <v>0</v>
      </c>
      <c r="C60" s="296" t="str">
        <f>_xll.ciqfunctions.udf.CIQ(B60,"IQ_COMPANY_NAME")</f>
        <v>(Invalid Identifier)</v>
      </c>
      <c r="G60" s="294" t="s">
        <v>661</v>
      </c>
      <c r="H60" s="262" t="str">
        <f t="shared" si="50"/>
        <v>-</v>
      </c>
      <c r="I60" s="262" t="str">
        <f>IFERROR(IF(G60="y",IF(H60&lt;&gt;"-",H60,INDEX(Raw_Data,MATCH($A60,Look_Up2,0),MATCH(I$4,Component,0))/1000*(1+'Raw Data'!$G$13)),(INDEX(Raw_Data,MATCH($A60,Look_Up2,0),MATCH(I$4,Component,0))/1000)),"-")</f>
        <v>-</v>
      </c>
      <c r="J60" s="362"/>
      <c r="K60" s="362"/>
      <c r="L60" s="362"/>
      <c r="M60" s="262" t="str">
        <f t="shared" si="57"/>
        <v>-</v>
      </c>
      <c r="N60" s="362"/>
      <c r="O60" s="362"/>
      <c r="P60" s="262" t="str">
        <f t="shared" si="54"/>
        <v>-</v>
      </c>
      <c r="Q60" s="362"/>
      <c r="R60" s="362"/>
      <c r="S60" s="362"/>
      <c r="T60" s="262" t="str">
        <f t="shared" si="58"/>
        <v>-</v>
      </c>
      <c r="U60" s="362"/>
      <c r="V60" s="362"/>
      <c r="W60" s="262" t="str">
        <f t="shared" si="55"/>
        <v>-</v>
      </c>
      <c r="X60" s="362"/>
      <c r="Y60" s="362"/>
      <c r="Z60" s="362"/>
      <c r="AA60" s="262" t="str">
        <f t="shared" si="59"/>
        <v>-</v>
      </c>
      <c r="AB60" s="362"/>
    </row>
    <row r="61" spans="1:30" ht="14.5">
      <c r="A61" s="295" t="str">
        <f t="shared" si="56"/>
        <v>0_2024_COO</v>
      </c>
      <c r="B61" s="295">
        <f t="shared" si="56"/>
        <v>0</v>
      </c>
      <c r="C61" s="296" t="str">
        <f>_xll.ciqfunctions.udf.CIQ(B61,"IQ_COMPANY_NAME")</f>
        <v>(Invalid Identifier)</v>
      </c>
      <c r="G61" s="294" t="s">
        <v>661</v>
      </c>
      <c r="H61" s="262" t="str">
        <f t="shared" si="50"/>
        <v>-</v>
      </c>
      <c r="I61" s="262" t="str">
        <f>IFERROR(IF(G61="y",IF(H61&lt;&gt;"-",H61,INDEX(Raw_Data,MATCH($A61,Look_Up2,0),MATCH(I$4,Component,0))/1000*(1+'Raw Data'!$G$13)),(INDEX(Raw_Data,MATCH($A61,Look_Up2,0),MATCH(I$4,Component,0))/1000)),"-")</f>
        <v>-</v>
      </c>
      <c r="J61" s="362"/>
      <c r="K61" s="362"/>
      <c r="L61" s="362"/>
      <c r="M61" s="262" t="str">
        <f t="shared" si="57"/>
        <v>-</v>
      </c>
      <c r="N61" s="362"/>
      <c r="O61" s="362"/>
      <c r="P61" s="262" t="str">
        <f t="shared" si="54"/>
        <v>-</v>
      </c>
      <c r="Q61" s="362"/>
      <c r="R61" s="362"/>
      <c r="S61" s="362"/>
      <c r="T61" s="262" t="str">
        <f t="shared" si="58"/>
        <v>-</v>
      </c>
      <c r="U61" s="362"/>
      <c r="V61" s="362"/>
      <c r="W61" s="262" t="str">
        <f t="shared" si="55"/>
        <v>-</v>
      </c>
      <c r="X61" s="362"/>
      <c r="Y61" s="362"/>
      <c r="Z61" s="362"/>
      <c r="AA61" s="262" t="str">
        <f t="shared" si="59"/>
        <v>-</v>
      </c>
      <c r="AB61" s="362"/>
    </row>
    <row r="62" spans="1:30" ht="14.5">
      <c r="A62" s="295" t="str">
        <f t="shared" si="56"/>
        <v>0_2024_COO</v>
      </c>
      <c r="B62" s="295">
        <f t="shared" si="56"/>
        <v>0</v>
      </c>
      <c r="C62" s="296" t="str">
        <f>_xll.ciqfunctions.udf.CIQ(B62,"IQ_COMPANY_NAME")</f>
        <v>(Invalid Identifier)</v>
      </c>
      <c r="G62" s="294" t="s">
        <v>661</v>
      </c>
      <c r="H62" s="262" t="str">
        <f t="shared" si="50"/>
        <v>-</v>
      </c>
      <c r="I62" s="262" t="str">
        <f>IFERROR(IF(G62="y",IF(H62&lt;&gt;"-",H62,INDEX(Raw_Data,MATCH($A62,Look_Up2,0),MATCH(I$4,Component,0))/1000*(1+'Raw Data'!$G$13)),(INDEX(Raw_Data,MATCH($A62,Look_Up2,0),MATCH(I$4,Component,0))/1000)),"-")</f>
        <v>-</v>
      </c>
      <c r="J62" s="362"/>
      <c r="K62" s="362"/>
      <c r="L62" s="362"/>
      <c r="M62" s="262" t="str">
        <f t="shared" si="57"/>
        <v>-</v>
      </c>
      <c r="N62" s="362"/>
      <c r="O62" s="362"/>
      <c r="P62" s="262" t="str">
        <f t="shared" si="54"/>
        <v>-</v>
      </c>
      <c r="Q62" s="362"/>
      <c r="R62" s="362"/>
      <c r="S62" s="362"/>
      <c r="T62" s="262" t="str">
        <f t="shared" si="58"/>
        <v>-</v>
      </c>
      <c r="U62" s="362"/>
      <c r="V62" s="362"/>
      <c r="W62" s="262" t="str">
        <f t="shared" si="55"/>
        <v>-</v>
      </c>
      <c r="X62" s="362"/>
      <c r="Y62" s="362"/>
      <c r="Z62" s="362"/>
      <c r="AA62" s="262" t="str">
        <f t="shared" si="59"/>
        <v>-</v>
      </c>
      <c r="AB62" s="362"/>
    </row>
    <row r="63" spans="1:30" ht="14.5">
      <c r="A63" s="295" t="str">
        <f t="shared" si="56"/>
        <v>0_2024_COO</v>
      </c>
      <c r="B63" s="295">
        <f t="shared" si="56"/>
        <v>0</v>
      </c>
      <c r="C63" s="296" t="str">
        <f>_xll.ciqfunctions.udf.CIQ(B63,"IQ_COMPANY_NAME")</f>
        <v>(Invalid Identifier)</v>
      </c>
      <c r="G63" s="294" t="s">
        <v>661</v>
      </c>
      <c r="H63" s="262" t="str">
        <f t="shared" si="50"/>
        <v>-</v>
      </c>
      <c r="I63" s="262" t="str">
        <f>IFERROR(IF(G63="y",IF(H63&lt;&gt;"-",H63,INDEX(Raw_Data,MATCH($A63,Look_Up2,0),MATCH(I$4,Component,0))/1000*(1+'Raw Data'!$G$13)),(INDEX(Raw_Data,MATCH($A63,Look_Up2,0),MATCH(I$4,Component,0))/1000)),"-")</f>
        <v>-</v>
      </c>
      <c r="J63" s="362"/>
      <c r="K63" s="362"/>
      <c r="L63" s="362"/>
      <c r="M63" s="262" t="str">
        <f t="shared" si="57"/>
        <v>-</v>
      </c>
      <c r="N63" s="362"/>
      <c r="O63" s="362"/>
      <c r="P63" s="262" t="str">
        <f t="shared" si="54"/>
        <v>-</v>
      </c>
      <c r="Q63" s="362"/>
      <c r="R63" s="362"/>
      <c r="S63" s="362"/>
      <c r="T63" s="262" t="str">
        <f t="shared" si="58"/>
        <v>-</v>
      </c>
      <c r="U63" s="362"/>
      <c r="V63" s="362"/>
      <c r="W63" s="262" t="str">
        <f t="shared" si="55"/>
        <v>-</v>
      </c>
      <c r="X63" s="362"/>
      <c r="Y63" s="362"/>
      <c r="Z63" s="362"/>
      <c r="AA63" s="262" t="str">
        <f t="shared" si="59"/>
        <v>-</v>
      </c>
      <c r="AB63" s="362"/>
    </row>
    <row r="64" spans="1:30" ht="14.5">
      <c r="A64" s="295" t="str">
        <f t="shared" si="56"/>
        <v>0_2024_COO</v>
      </c>
      <c r="B64" s="295">
        <f t="shared" si="56"/>
        <v>0</v>
      </c>
      <c r="C64" s="296" t="str">
        <f>_xll.ciqfunctions.udf.CIQ(B64,"IQ_COMPANY_NAME")</f>
        <v>(Invalid Identifier)</v>
      </c>
      <c r="G64" s="294" t="s">
        <v>661</v>
      </c>
      <c r="H64" s="262" t="str">
        <f t="shared" si="50"/>
        <v>-</v>
      </c>
      <c r="I64" s="262" t="str">
        <f>IFERROR(IF(G64="y",IF(H64&lt;&gt;"-",H64,INDEX(Raw_Data,MATCH($A64,Look_Up2,0),MATCH(I$4,Component,0))/1000*(1+'Raw Data'!$G$13)),(INDEX(Raw_Data,MATCH($A64,Look_Up2,0),MATCH(I$4,Component,0))/1000)),"-")</f>
        <v>-</v>
      </c>
      <c r="J64" s="362"/>
      <c r="K64" s="362"/>
      <c r="L64" s="362"/>
      <c r="M64" s="262" t="str">
        <f t="shared" si="57"/>
        <v>-</v>
      </c>
      <c r="N64" s="362"/>
      <c r="O64" s="362"/>
      <c r="P64" s="262" t="str">
        <f t="shared" si="54"/>
        <v>-</v>
      </c>
      <c r="Q64" s="362"/>
      <c r="R64" s="362"/>
      <c r="S64" s="362"/>
      <c r="T64" s="262" t="str">
        <f t="shared" si="58"/>
        <v>-</v>
      </c>
      <c r="U64" s="362"/>
      <c r="V64" s="362"/>
      <c r="W64" s="262" t="str">
        <f t="shared" si="55"/>
        <v>-</v>
      </c>
      <c r="X64" s="362"/>
      <c r="Y64" s="362"/>
      <c r="Z64" s="362"/>
      <c r="AA64" s="262" t="str">
        <f t="shared" si="59"/>
        <v>-</v>
      </c>
      <c r="AB64" s="362"/>
    </row>
    <row r="65" spans="1:28" ht="14.5">
      <c r="A65" s="295" t="str">
        <f t="shared" si="56"/>
        <v>0_2024_COO</v>
      </c>
      <c r="B65" s="295">
        <f t="shared" si="56"/>
        <v>0</v>
      </c>
      <c r="C65" s="296" t="str">
        <f>_xll.ciqfunctions.udf.CIQ(B65,"IQ_COMPANY_NAME")</f>
        <v>(Invalid Identifier)</v>
      </c>
      <c r="G65" s="294" t="s">
        <v>661</v>
      </c>
      <c r="H65" s="304" t="str">
        <f t="shared" si="50"/>
        <v>-</v>
      </c>
      <c r="I65" s="262" t="str">
        <f>IFERROR(IF(G65="y",IF(H65&lt;&gt;"-",H65,INDEX(Raw_Data,MATCH($A65,Look_Up2,0),MATCH(I$4,Component,0))/1000*(1+'Raw Data'!$G$13)),(INDEX(Raw_Data,MATCH($A65,Look_Up2,0),MATCH(I$4,Component,0))/1000)),"-")</f>
        <v>-</v>
      </c>
      <c r="J65" s="362"/>
      <c r="K65" s="362"/>
      <c r="L65" s="362"/>
      <c r="M65" s="262" t="str">
        <f t="shared" si="57"/>
        <v>-</v>
      </c>
      <c r="N65" s="362"/>
      <c r="O65" s="362"/>
      <c r="P65" s="304" t="str">
        <f t="shared" si="54"/>
        <v>-</v>
      </c>
      <c r="Q65" s="362"/>
      <c r="R65" s="362"/>
      <c r="S65" s="362"/>
      <c r="T65" s="262" t="str">
        <f t="shared" si="58"/>
        <v>-</v>
      </c>
      <c r="U65" s="362"/>
      <c r="V65" s="362"/>
      <c r="W65" s="304" t="str">
        <f t="shared" si="55"/>
        <v>-</v>
      </c>
      <c r="X65" s="362"/>
      <c r="Y65" s="362"/>
      <c r="Z65" s="362"/>
      <c r="AA65" s="304" t="str">
        <f t="shared" si="59"/>
        <v>-</v>
      </c>
      <c r="AB65" s="362"/>
    </row>
    <row r="66" spans="1:28" ht="14.5">
      <c r="A66" s="15"/>
      <c r="B66" s="15"/>
      <c r="I66" s="288"/>
      <c r="M66" s="288"/>
      <c r="P66" s="288"/>
      <c r="T66" s="288"/>
      <c r="W66" s="288"/>
      <c r="AA66" s="288"/>
    </row>
    <row r="67" spans="1:28" ht="14.5">
      <c r="A67" s="15"/>
      <c r="B67" s="15"/>
      <c r="I67" s="262">
        <f>PERCENTILE(I$46:I$65,$B28)</f>
        <v>723.06</v>
      </c>
      <c r="M67" s="262">
        <f>PERCENTILE(M$46:M$65,$B28)</f>
        <v>628.75744875000009</v>
      </c>
      <c r="P67" s="262">
        <f>PERCENTILE(P$46:P$65,$B28)</f>
        <v>1353.729</v>
      </c>
      <c r="T67" s="262">
        <f>PERCENTILE(T$46:T$65,$B28)</f>
        <v>1498.0240634843501</v>
      </c>
      <c r="W67" s="262">
        <f>PERCENTILE(W$46:W$65,$B28)</f>
        <v>2780.6960143592996</v>
      </c>
      <c r="AA67" s="262">
        <f>PERCENTILE(AA$46:AA$65,$B28)</f>
        <v>2981.7173505000001</v>
      </c>
    </row>
    <row r="68" spans="1:28" ht="14.5">
      <c r="A68" s="15"/>
      <c r="B68" s="15"/>
      <c r="I68" s="266">
        <f>PERCENTILE(I$46:I$65,$B29)</f>
        <v>669.75</v>
      </c>
      <c r="M68" s="266">
        <f>PERCENTILE(M$46:M$65,$B29)</f>
        <v>580.66249999999991</v>
      </c>
      <c r="P68" s="266">
        <f>PERCENTILE(P$46:P$65,$B29)</f>
        <v>1211.5374999999999</v>
      </c>
      <c r="T68" s="266">
        <f>PERCENTILE(T$46:T$65,$B29)</f>
        <v>1208.1108171443659</v>
      </c>
      <c r="W68" s="266">
        <f>PERCENTILE(W$46:W$65,$B29)</f>
        <v>2603.8725688303662</v>
      </c>
      <c r="AA68" s="266">
        <f>PERCENTILE(AA$46:AA$65,$B29)</f>
        <v>2646.9629034403661</v>
      </c>
    </row>
    <row r="69" spans="1:28" ht="14.5">
      <c r="A69" s="15"/>
      <c r="B69" s="15"/>
      <c r="I69" s="262">
        <f>PERCENTILE(I$46:I$65,$B30)</f>
        <v>611.80970000000002</v>
      </c>
      <c r="M69" s="262">
        <f>PERCENTILE(M$46:M$65,$B30)</f>
        <v>500.25967000000003</v>
      </c>
      <c r="P69" s="262">
        <f>PERCENTILE(P$46:P$65,$B30)</f>
        <v>1156.9670700000001</v>
      </c>
      <c r="T69" s="262">
        <f>PERCENTILE(T$46:T$65,$B30)</f>
        <v>1032.253125</v>
      </c>
      <c r="W69" s="262">
        <f>PERCENTILE(W$46:W$65,$B30)</f>
        <v>2191.283285</v>
      </c>
      <c r="AA69" s="262">
        <f>PERCENTILE(AA$46:AA$65,$B30)</f>
        <v>2231.5866249999999</v>
      </c>
    </row>
    <row r="70" spans="1:28" ht="14.5">
      <c r="A70" s="15"/>
      <c r="B70" s="15"/>
      <c r="I70" s="270">
        <f>AVERAGE(I46:I65)</f>
        <v>676.78370842000004</v>
      </c>
      <c r="M70" s="270">
        <f>AVERAGE(M46:M65)</f>
        <v>556.36213035058347</v>
      </c>
      <c r="P70" s="270">
        <f>AVERAGE(P46:P65)</f>
        <v>1233.1458387705834</v>
      </c>
      <c r="T70" s="270">
        <f>AVERAGE(T46:T65)</f>
        <v>1282.9382972453775</v>
      </c>
      <c r="W70" s="270">
        <f>AVERAGE(W46:W65)</f>
        <v>2516.0841360159611</v>
      </c>
      <c r="AA70" s="270">
        <f>AVERAGE(AA46:AA65)</f>
        <v>2629.0557957934611</v>
      </c>
    </row>
    <row r="71" spans="1:28">
      <c r="A71" s="15"/>
      <c r="B71" s="15"/>
    </row>
  </sheetData>
  <sortState xmlns:xlrd2="http://schemas.microsoft.com/office/spreadsheetml/2017/richdata2" ref="A8:AP20">
    <sortCondition descending="1" ref="E8:E20"/>
  </sortState>
  <mergeCells count="10">
    <mergeCell ref="C6:C7"/>
    <mergeCell ref="D6:D7"/>
    <mergeCell ref="E6:E7"/>
    <mergeCell ref="F6:F7"/>
    <mergeCell ref="G6:G7"/>
    <mergeCell ref="I6:I7"/>
    <mergeCell ref="X6:X7"/>
    <mergeCell ref="Y6:Y7"/>
    <mergeCell ref="Z6:AA6"/>
    <mergeCell ref="H6:H7"/>
  </mergeCells>
  <conditionalFormatting sqref="C8:AA15">
    <cfRule type="expression" dxfId="68" priority="4">
      <formula>MOD(ROW(),2)=0</formula>
    </cfRule>
  </conditionalFormatting>
  <conditionalFormatting sqref="C16:AA20">
    <cfRule type="expression" dxfId="67" priority="3">
      <formula>MOD(ROW(),2)=1</formula>
    </cfRule>
  </conditionalFormatting>
  <conditionalFormatting sqref="C28:AA31">
    <cfRule type="expression" dxfId="66" priority="5">
      <formula>MOD(ROW(),2)=0</formula>
    </cfRule>
  </conditionalFormatting>
  <conditionalFormatting sqref="C33:AA36">
    <cfRule type="expression" dxfId="65" priority="1">
      <formula>MOD(ROW(),2)=0</formula>
    </cfRule>
  </conditionalFormatting>
  <conditionalFormatting sqref="H46:I65">
    <cfRule type="expression" dxfId="64" priority="65">
      <formula>MOD(ROW(),2)=0</formula>
    </cfRule>
  </conditionalFormatting>
  <conditionalFormatting sqref="I67:I70">
    <cfRule type="expression" dxfId="63" priority="70">
      <formula>MOD(ROW(),2)=0</formula>
    </cfRule>
  </conditionalFormatting>
  <conditionalFormatting sqref="M46:M65">
    <cfRule type="expression" dxfId="62" priority="73">
      <formula>MOD(ROW(),2)=0</formula>
    </cfRule>
  </conditionalFormatting>
  <conditionalFormatting sqref="M67:M70">
    <cfRule type="expression" dxfId="61" priority="69">
      <formula>MOD(ROW(),2)=0</formula>
    </cfRule>
  </conditionalFormatting>
  <conditionalFormatting sqref="P46:P65">
    <cfRule type="expression" dxfId="60" priority="72">
      <formula>MOD(ROW(),2)=0</formula>
    </cfRule>
  </conditionalFormatting>
  <conditionalFormatting sqref="P67:P70">
    <cfRule type="expression" dxfId="59" priority="68">
      <formula>MOD(ROW(),2)=0</formula>
    </cfRule>
  </conditionalFormatting>
  <conditionalFormatting sqref="T46:T65">
    <cfRule type="expression" dxfId="58" priority="71">
      <formula>MOD(ROW(),2)=0</formula>
    </cfRule>
  </conditionalFormatting>
  <conditionalFormatting sqref="T67:T70">
    <cfRule type="expression" dxfId="57" priority="67">
      <formula>MOD(ROW(),2)=0</formula>
    </cfRule>
  </conditionalFormatting>
  <conditionalFormatting sqref="W46:W65">
    <cfRule type="expression" dxfId="56" priority="63">
      <formula>MOD(ROW(),2)=0</formula>
    </cfRule>
  </conditionalFormatting>
  <conditionalFormatting sqref="W67:W70">
    <cfRule type="expression" dxfId="55" priority="66">
      <formula>MOD(ROW(),2)=0</formula>
    </cfRule>
  </conditionalFormatting>
  <conditionalFormatting sqref="AA46:AA65">
    <cfRule type="expression" dxfId="54" priority="60">
      <formula>MOD(ROW(),2)=0</formula>
    </cfRule>
  </conditionalFormatting>
  <conditionalFormatting sqref="AA67:AA70">
    <cfRule type="expression" dxfId="53" priority="61">
      <formula>MOD(ROW(),2)=0</formula>
    </cfRule>
  </conditionalFormatting>
  <conditionalFormatting sqref="AC28:AD36">
    <cfRule type="expression" dxfId="52" priority="25">
      <formula>MOD(ROW(),2)=0</formula>
    </cfRule>
  </conditionalFormatting>
  <conditionalFormatting sqref="AG8:AK14 AC8:AD26">
    <cfRule type="expression" dxfId="51" priority="23">
      <formula>MOD(ROW(),2)=0</formula>
    </cfRule>
  </conditionalFormatting>
  <conditionalFormatting sqref="AG16:AK20">
    <cfRule type="expression" dxfId="50" priority="22">
      <formula>MOD(ROW(),2)=1</formula>
    </cfRule>
  </conditionalFormatting>
  <conditionalFormatting sqref="AL8:AM8 AL9 AL10:AM14 AL15 AL17:AM17">
    <cfRule type="expression" dxfId="49" priority="20">
      <formula>MOD(ROW(),2)=0</formula>
    </cfRule>
  </conditionalFormatting>
  <conditionalFormatting sqref="AL8:AM15 AL17:AM17">
    <cfRule type="expression" dxfId="48" priority="19">
      <formula>$AJ8="Y"</formula>
    </cfRule>
  </conditionalFormatting>
  <conditionalFormatting sqref="AL28:AN31">
    <cfRule type="expression" dxfId="47" priority="21">
      <formula>MOD(ROW(),2)=0</formula>
    </cfRule>
  </conditionalFormatting>
  <conditionalFormatting sqref="AN8:AN14">
    <cfRule type="expression" dxfId="46" priority="37">
      <formula>MOD(ROW(),2)=0</formula>
    </cfRule>
  </conditionalFormatting>
  <dataValidations disablePrompts="1" count="1">
    <dataValidation type="list" allowBlank="1" showInputMessage="1" showErrorMessage="1" sqref="G46:G65" xr:uid="{C2DA89B2-6FF8-4939-8176-B1CFB8CA4131}">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2B33-6C8E-435A-8773-7C502782D4BE}">
  <sheetPr>
    <tabColor theme="2" tint="0.749992370372631"/>
    <pageSetUpPr fitToPage="1"/>
  </sheetPr>
  <dimension ref="A1:AP71"/>
  <sheetViews>
    <sheetView workbookViewId="0">
      <selection activeCell="C6" sqref="C6:AM38"/>
    </sheetView>
  </sheetViews>
  <sheetFormatPr defaultColWidth="9.1796875" defaultRowHeight="14" outlineLevelRow="1" outlineLevelCol="3"/>
  <cols>
    <col min="1" max="1" width="10.453125" style="12" bestFit="1" customWidth="1"/>
    <col min="2" max="2" width="8.1796875" style="12" customWidth="1"/>
    <col min="3" max="3" width="26.1796875" style="12" customWidth="1"/>
    <col min="4" max="5" width="14.453125" style="12" hidden="1" customWidth="1" outlineLevel="1"/>
    <col min="6" max="6" width="20.7265625" style="12" customWidth="1" outlineLevel="1"/>
    <col min="7" max="7" width="36.54296875" style="12" bestFit="1" customWidth="1"/>
    <col min="8" max="8" width="5.7265625" style="12" hidden="1" customWidth="1" outlineLevel="1"/>
    <col min="9" max="9" width="10.81640625" style="12" bestFit="1" customWidth="1" collapsed="1"/>
    <col min="10" max="10" width="8" style="12" hidden="1" customWidth="1" outlineLevel="1"/>
    <col min="11" max="11" width="8.54296875" style="12" hidden="1" customWidth="1" outlineLevel="1"/>
    <col min="12" max="12" width="12.453125" style="12" hidden="1" customWidth="1" outlineLevel="1"/>
    <col min="13" max="13" width="10.26953125" style="12" bestFit="1" customWidth="1" collapsed="1"/>
    <col min="14" max="14" width="10.81640625" style="12" bestFit="1" customWidth="1"/>
    <col min="15" max="15" width="10.7265625" style="12" bestFit="1" customWidth="1"/>
    <col min="16" max="16" width="10.26953125" style="12" bestFit="1" customWidth="1"/>
    <col min="17" max="18" width="10.1796875" style="12" hidden="1" customWidth="1" outlineLevel="1"/>
    <col min="19" max="19" width="26.1796875" style="12" hidden="1" customWidth="1" outlineLevel="1"/>
    <col min="20" max="20" width="10.26953125" style="12" bestFit="1" customWidth="1" collapsed="1"/>
    <col min="21" max="21" width="10.81640625" style="12" bestFit="1" customWidth="1"/>
    <col min="22" max="22" width="10.1796875" style="12" bestFit="1" customWidth="1"/>
    <col min="23" max="23" width="10.26953125" style="12" bestFit="1" customWidth="1"/>
    <col min="24" max="27" width="13.26953125" style="12" hidden="1" customWidth="1" outlineLevel="3"/>
    <col min="28" max="28" width="9.1796875" style="12" hidden="1" customWidth="1" outlineLevel="2"/>
    <col min="29" max="30" width="13.26953125" style="12" hidden="1" customWidth="1" outlineLevel="2"/>
    <col min="31" max="31" width="8.7265625" style="12" hidden="1" customWidth="1" outlineLevel="1"/>
    <col min="32" max="32" width="2.7265625" style="12" customWidth="1" collapsed="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2.81640625" style="12" customWidth="1" collapsed="1"/>
    <col min="39" max="39" width="12.81640625" style="12" customWidth="1"/>
    <col min="40" max="40" width="16" style="12" bestFit="1" customWidth="1"/>
    <col min="41" max="16384" width="9.1796875" style="12"/>
  </cols>
  <sheetData>
    <row r="1" spans="1:42" s="48" customFormat="1" ht="17.25" customHeight="1">
      <c r="A1" s="111">
        <v>45852</v>
      </c>
    </row>
    <row r="2" spans="1:42">
      <c r="A2" s="12" t="s">
        <v>2</v>
      </c>
      <c r="B2" s="49" t="s">
        <v>24</v>
      </c>
      <c r="C2" s="53" t="s">
        <v>469</v>
      </c>
      <c r="D2" s="12" t="s">
        <v>277</v>
      </c>
    </row>
    <row r="3" spans="1:42">
      <c r="B3" s="49" t="s">
        <v>23</v>
      </c>
      <c r="C3" s="53">
        <f>'Raw Data'!$F$9</f>
        <v>2024</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2" ht="21">
      <c r="B5" s="26"/>
      <c r="C5" s="256" t="str">
        <f>+C2&amp; " Benchmarking - "&amp;'Raw Data'!G5&amp;" $000s"</f>
        <v>Tech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2" ht="40" customHeight="1">
      <c r="B6" s="45"/>
      <c r="C6" s="1111" t="s">
        <v>22</v>
      </c>
      <c r="D6" s="1113" t="s">
        <v>21</v>
      </c>
      <c r="E6" s="1113" t="s">
        <v>20</v>
      </c>
      <c r="F6" s="1113" t="s">
        <v>19</v>
      </c>
      <c r="G6" s="1113" t="s">
        <v>18</v>
      </c>
      <c r="H6" s="1115" t="s">
        <v>114</v>
      </c>
      <c r="I6" s="1115" t="s">
        <v>17</v>
      </c>
      <c r="J6" s="919" t="s">
        <v>16</v>
      </c>
      <c r="K6" s="919"/>
      <c r="L6" s="919"/>
      <c r="M6" s="919" t="s">
        <v>16</v>
      </c>
      <c r="N6" s="919"/>
      <c r="O6" s="919" t="s">
        <v>15</v>
      </c>
      <c r="P6" s="919"/>
      <c r="Q6" s="919" t="s">
        <v>14</v>
      </c>
      <c r="R6" s="919"/>
      <c r="S6" s="919"/>
      <c r="T6" s="919" t="s">
        <v>14</v>
      </c>
      <c r="U6" s="919"/>
      <c r="V6" s="919" t="s">
        <v>656</v>
      </c>
      <c r="W6" s="920"/>
      <c r="X6" s="1127" t="s">
        <v>31</v>
      </c>
      <c r="Y6" s="1119" t="s">
        <v>245</v>
      </c>
      <c r="Z6" s="1119" t="s">
        <v>244</v>
      </c>
      <c r="AA6" s="1121"/>
      <c r="AB6" s="910"/>
      <c r="AC6" s="921" t="s">
        <v>12</v>
      </c>
      <c r="AD6" s="920"/>
      <c r="AE6" s="910">
        <v>2023</v>
      </c>
      <c r="AF6" s="912"/>
      <c r="AG6" s="922" t="s">
        <v>657</v>
      </c>
      <c r="AH6" s="923"/>
      <c r="AI6" s="923"/>
      <c r="AJ6" s="923"/>
      <c r="AK6" s="923"/>
      <c r="AL6" s="922" t="s">
        <v>657</v>
      </c>
      <c r="AM6" s="924"/>
      <c r="AN6" s="1078"/>
    </row>
    <row r="7" spans="1:42" ht="20.149999999999999" customHeight="1">
      <c r="A7" s="52" t="s">
        <v>54</v>
      </c>
      <c r="B7" s="52" t="s">
        <v>25</v>
      </c>
      <c r="C7" s="1112"/>
      <c r="D7" s="1114" t="s">
        <v>21</v>
      </c>
      <c r="E7" s="1114" t="s">
        <v>20</v>
      </c>
      <c r="F7" s="1114" t="s">
        <v>19</v>
      </c>
      <c r="G7" s="1114" t="s">
        <v>18</v>
      </c>
      <c r="H7" s="1116" t="s">
        <v>17</v>
      </c>
      <c r="I7" s="1116" t="s">
        <v>17</v>
      </c>
      <c r="J7" s="925" t="s">
        <v>40</v>
      </c>
      <c r="K7" s="926" t="s">
        <v>51</v>
      </c>
      <c r="L7" s="926" t="s">
        <v>104</v>
      </c>
      <c r="M7" s="926" t="s">
        <v>42</v>
      </c>
      <c r="N7" s="925" t="s">
        <v>41</v>
      </c>
      <c r="O7" s="925" t="s">
        <v>53</v>
      </c>
      <c r="P7" s="925" t="s">
        <v>42</v>
      </c>
      <c r="Q7" s="926" t="s">
        <v>40</v>
      </c>
      <c r="R7" s="927" t="s">
        <v>52</v>
      </c>
      <c r="S7" s="927" t="s">
        <v>105</v>
      </c>
      <c r="T7" s="926" t="s">
        <v>42</v>
      </c>
      <c r="U7" s="928" t="s">
        <v>41</v>
      </c>
      <c r="V7" s="925" t="s">
        <v>40</v>
      </c>
      <c r="W7" s="929" t="s">
        <v>42</v>
      </c>
      <c r="X7" s="1128"/>
      <c r="Y7" s="1120"/>
      <c r="Z7" s="925" t="s">
        <v>40</v>
      </c>
      <c r="AA7" s="929" t="s">
        <v>42</v>
      </c>
      <c r="AB7" s="910"/>
      <c r="AC7" s="930" t="s">
        <v>11</v>
      </c>
      <c r="AD7" s="931" t="s">
        <v>10</v>
      </c>
      <c r="AE7" s="912" t="str">
        <f>AE6&amp;" Lookup"</f>
        <v>2023 Lookup</v>
      </c>
      <c r="AF7" s="912"/>
      <c r="AG7" s="932" t="s">
        <v>22</v>
      </c>
      <c r="AH7" s="933" t="s">
        <v>19</v>
      </c>
      <c r="AI7" s="933" t="s">
        <v>660</v>
      </c>
      <c r="AJ7" s="934" t="s">
        <v>658</v>
      </c>
      <c r="AK7" s="933" t="s">
        <v>18</v>
      </c>
      <c r="AL7" s="935" t="s">
        <v>40</v>
      </c>
      <c r="AM7" s="936" t="s">
        <v>42</v>
      </c>
      <c r="AN7" s="1079" t="s">
        <v>659</v>
      </c>
    </row>
    <row r="8" spans="1:42" ht="20.25" customHeight="1">
      <c r="A8" s="12" t="str">
        <f t="shared" ref="A8:A26" si="0">$B8&amp;"_"&amp;$C$3&amp;"_"&amp;$C$2</f>
        <v>TSX:K_2024_Tech</v>
      </c>
      <c r="B8" s="12" t="str">
        <f>'Raw Data'!D5</f>
        <v>TSX:K</v>
      </c>
      <c r="C8" s="626" t="str">
        <f t="shared" ref="C8:C26" si="1">IFERROR(INDEX(Raw_Data,MATCH($A8,Look_Up2,0),MATCH(C$4,Component,0)),"-")</f>
        <v>Kinross Gold Corporation</v>
      </c>
      <c r="D8" s="627">
        <f>_xll.ciqfunctions.udf.CIQ(B8, "IQ_MARKETCAP", $A$1,$A$2)</f>
        <v>26179.912</v>
      </c>
      <c r="E8" s="627">
        <f>_xll.ciqfunctions.udf.CIQ($B8, "IQ_TEV", $A$1,$A$2)</f>
        <v>27159.32229</v>
      </c>
      <c r="F8" s="628" t="str">
        <f t="shared" ref="F8:G26" si="2">IFERROR(INDEX(Raw_Data,MATCH($A8,Look_Up2,0),MATCH(F$4,Component,0)),"-")</f>
        <v>William D. Dunford</v>
      </c>
      <c r="G8" s="628" t="str">
        <f t="shared" si="2"/>
        <v>SVP, Technical Services</v>
      </c>
      <c r="H8" s="627">
        <f t="shared" ref="H8:J26" si="3">IFERROR(INDEX(Raw_Data,MATCH($A8,Look_Up2,0),MATCH(H$4,Component,0))/1000,"-")</f>
        <v>535</v>
      </c>
      <c r="I8" s="627">
        <f t="shared" si="3"/>
        <v>485.65675650000003</v>
      </c>
      <c r="J8" s="359">
        <f t="shared" si="3"/>
        <v>464.40953031000004</v>
      </c>
      <c r="K8" s="629">
        <f t="shared" ref="K8:L26" si="4">IFERROR(INDEX(Raw_Data,MATCH($A8,Look_Up2,0),MATCH(K$4,Component,0)),"-")</f>
        <v>0.95625052898857399</v>
      </c>
      <c r="L8" s="629">
        <f t="shared" si="4"/>
        <v>0.95625052898857399</v>
      </c>
      <c r="M8" s="630">
        <f t="shared" ref="M8:M26" si="5">IFERROR(INDEX(Raw_Data,MATCH($A8,Look_Up2,0),MATCH(M$4,Component,0))/1000,"-")</f>
        <v>364.24256737499996</v>
      </c>
      <c r="N8" s="631">
        <f t="shared" ref="N8:N26" si="6">IFERROR(IF(INDEX(Raw_Data,MATCH($A8,Look_Up2,0),MATCH(N$4,Component,0))="-",L8,INDEX(Raw_Data,MATCH($A8,Look_Up2,0),MATCH(N$4,Component,0))),"-")</f>
        <v>0.75</v>
      </c>
      <c r="O8" s="359">
        <f t="shared" ref="O8:Q26" si="7">IFERROR(INDEX(Raw_Data,MATCH($A8,Look_Up2,0),MATCH(O$4,Component,0))/1000,"-")</f>
        <v>950.06628681000007</v>
      </c>
      <c r="P8" s="632">
        <f t="shared" si="7"/>
        <v>849.89932387500005</v>
      </c>
      <c r="Q8" s="359">
        <f t="shared" si="7"/>
        <v>1029.59232378</v>
      </c>
      <c r="R8" s="629">
        <f t="shared" ref="R8:S26" si="8">IFERROR(INDEX(Raw_Data,MATCH($A8,Look_Up2,0),MATCH(R$4,Component,0)),"-")</f>
        <v>2.12</v>
      </c>
      <c r="S8" s="629">
        <f t="shared" si="8"/>
        <v>2.12</v>
      </c>
      <c r="T8" s="630">
        <f t="shared" ref="T8:T26" si="9">IFERROR(INDEX(Raw_Data,MATCH($A8,Look_Up2,0),MATCH(T$4,Component,0))/1000,"-")</f>
        <v>1029.59232378</v>
      </c>
      <c r="U8" s="631">
        <f t="shared" ref="U8:U26" si="10">IFERROR(IF(INDEX(Raw_Data,MATCH($A8,Look_Up2,0),MATCH(U$4,Component,0))="-",S8,INDEX(Raw_Data,MATCH($A8,Look_Up2,0),MATCH(U$4,Component,0))),"-")</f>
        <v>2.12</v>
      </c>
      <c r="V8" s="359">
        <f t="shared" ref="V8:W26" si="11">IFERROR(INDEX(Raw_Data,MATCH($A8,Look_Up2,0),MATCH(V$4,Component,0))/1000,"-")</f>
        <v>1979.6586105900001</v>
      </c>
      <c r="W8" s="360">
        <f t="shared" si="11"/>
        <v>1879.491647655</v>
      </c>
      <c r="X8" s="359">
        <f t="shared" ref="X8:Y26" si="12">IFERROR((INDEX(Raw_Data,MATCH($A8,Look_Up2,0),MATCH(X$4,Component,0))/1000),"-")</f>
        <v>127.48609748000001</v>
      </c>
      <c r="Y8" s="360">
        <f t="shared" si="12"/>
        <v>122.13421346000001</v>
      </c>
      <c r="Z8" s="359">
        <f t="shared" ref="Z8:AA26" si="13">IFERROR(INDEX(Raw_Data,MATCH($A8,Look_Up2,0),MATCH(Z$4,Component,0))/1000,"-")</f>
        <v>2229.2789215300004</v>
      </c>
      <c r="AA8" s="360">
        <f t="shared" si="13"/>
        <v>2129.111958595</v>
      </c>
      <c r="AB8" s="698"/>
      <c r="AC8" s="567">
        <f>IFERROR(P8/W8,"-")</f>
        <v>0.45219638242894061</v>
      </c>
      <c r="AD8" s="568">
        <f>IFERROR(T8/W8,"-")</f>
        <v>0.54780361757105944</v>
      </c>
      <c r="AE8" s="699" t="str">
        <f t="shared" ref="AE8:AE26" si="14">B8&amp;"_"&amp;$AE$6&amp;"_"&amp;$C$2</f>
        <v>TSX:K_2023_Tech</v>
      </c>
      <c r="AF8" s="699"/>
      <c r="AG8" s="700" t="str" cm="1">
        <f t="array" ref="AG8">IFERROR(INDEX('Import 2023 Data'!$E$4:$I$113,_xlfn.XMATCH(Tech!$AE8,'Import 2023 Data'!$C$4:$C$113),_xlfn.XMATCH(Tech!AG$5,'Import 2023 Data'!$E$3:$I$3)),"-")</f>
        <v>Kinross Gold Corporation</v>
      </c>
      <c r="AH8" s="701" t="str" cm="1">
        <f t="array" ref="AH8">IFERROR(INDEX('Import 2023 Data'!$E$4:$I$113,_xlfn.XMATCH(Tech!$AE8,'Import 2023 Data'!$C$4:$C$113),_xlfn.XMATCH(Tech!AH$5,'Import 2023 Data'!$E$3:$I$3)),"-")</f>
        <v>William D. Dunford</v>
      </c>
      <c r="AI8" s="702" t="str">
        <f>IF(ISNUMBER(_xlfn.XMATCH(C8,'Import 2023 Data'!$E$4:$E$113)),"N","Y")</f>
        <v>N</v>
      </c>
      <c r="AJ8" s="702" t="str">
        <f>IFERROR(IF(TRIM(LOWER(AH8))=TRIM(LOWER(F8)),"N","Y"),"-")</f>
        <v>N</v>
      </c>
      <c r="AK8" s="701" t="str" cm="1">
        <f t="array" ref="AK8">IFERROR(INDEX('Import 2023 Data'!$E$4:$I$113,_xlfn.XMATCH(Tech!$AE8,'Import 2023 Data'!$C$4:$C$113),_xlfn.XMATCH(Tech!AK$5,'Import 2023 Data'!$E$3:$I$3)),"-")</f>
        <v>SVP and Chief Technical Officer</v>
      </c>
      <c r="AL8" s="889" cm="1">
        <f t="array" ref="AL8">IFERROR(INDEX('Import 2023 Data'!$E$4:$I$113,_xlfn.XMATCH(Tech!$AE8,'Import 2023 Data'!$C$4:$C$113),_xlfn.XMATCH(Tech!AL$5,'Import 2023 Data'!$E$3:$I$3)),"-")</f>
        <v>1425.83894298</v>
      </c>
      <c r="AM8" s="890" cm="1">
        <f t="array" ref="AM8">IFERROR(INDEX('Import 2023 Data'!$E$4:$I$113,_xlfn.XMATCH(Tech!$AE8,'Import 2023 Data'!$C$4:$C$113),_xlfn.XMATCH(Tech!AM$5,'Import 2023 Data'!$E$3:$I$3)),"-")</f>
        <v>1282.47393493</v>
      </c>
      <c r="AN8" s="1080">
        <f>IF(AJ8="N",IFERROR(W8/AM8-1,"-"),"-")</f>
        <v>0.46552034818359589</v>
      </c>
      <c r="AP8" s="12" t="s">
        <v>771</v>
      </c>
    </row>
    <row r="9" spans="1:42" ht="20.25" hidden="1" customHeight="1">
      <c r="A9" s="12" t="str">
        <f t="shared" si="0"/>
        <v>TSX:LUN_2024_Tech</v>
      </c>
      <c r="B9" s="12" t="str">
        <f>'Raw Data'!D6</f>
        <v>TSX:LUN</v>
      </c>
      <c r="C9" s="626" t="str">
        <f t="shared" si="1"/>
        <v>-</v>
      </c>
      <c r="D9" s="627">
        <f>_xll.ciqfunctions.udf.CIQ(B9, "IQ_MARKETCAP", $A$1,$A$2)</f>
        <v>11855.56763</v>
      </c>
      <c r="E9" s="627">
        <f>_xll.ciqfunctions.udf.CIQ($B9, "IQ_TEV", $A$1,$A$2)</f>
        <v>16005.2402</v>
      </c>
      <c r="F9" s="628" t="str">
        <f t="shared" si="2"/>
        <v>-</v>
      </c>
      <c r="G9" s="628" t="str">
        <f t="shared" si="2"/>
        <v>-</v>
      </c>
      <c r="H9" s="627" t="str">
        <f t="shared" si="3"/>
        <v>-</v>
      </c>
      <c r="I9" s="627" t="str">
        <f t="shared" si="3"/>
        <v>-</v>
      </c>
      <c r="J9" s="359" t="str">
        <f t="shared" si="3"/>
        <v>-</v>
      </c>
      <c r="K9" s="629" t="str">
        <f t="shared" si="4"/>
        <v>-</v>
      </c>
      <c r="L9" s="629" t="str">
        <f t="shared" si="4"/>
        <v>-</v>
      </c>
      <c r="M9" s="630" t="str">
        <f t="shared" si="5"/>
        <v>-</v>
      </c>
      <c r="N9" s="631" t="str">
        <f t="shared" si="6"/>
        <v>-</v>
      </c>
      <c r="O9" s="359" t="str">
        <f t="shared" si="7"/>
        <v>-</v>
      </c>
      <c r="P9" s="632" t="str">
        <f t="shared" si="7"/>
        <v>-</v>
      </c>
      <c r="Q9" s="359" t="str">
        <f t="shared" si="7"/>
        <v>-</v>
      </c>
      <c r="R9" s="629" t="str">
        <f t="shared" si="8"/>
        <v>-</v>
      </c>
      <c r="S9" s="629" t="str">
        <f t="shared" si="8"/>
        <v>-</v>
      </c>
      <c r="T9" s="630" t="str">
        <f t="shared" si="9"/>
        <v>-</v>
      </c>
      <c r="U9" s="631" t="str">
        <f t="shared" si="10"/>
        <v>-</v>
      </c>
      <c r="V9" s="359" t="str">
        <f t="shared" si="11"/>
        <v>-</v>
      </c>
      <c r="W9" s="360" t="str">
        <f t="shared" si="11"/>
        <v>-</v>
      </c>
      <c r="X9" s="359" t="str">
        <f t="shared" si="12"/>
        <v>-</v>
      </c>
      <c r="Y9" s="360" t="str">
        <f t="shared" si="12"/>
        <v>-</v>
      </c>
      <c r="Z9" s="359" t="str">
        <f t="shared" si="13"/>
        <v>-</v>
      </c>
      <c r="AA9" s="360" t="str">
        <f t="shared" si="13"/>
        <v>-</v>
      </c>
      <c r="AB9" s="698"/>
      <c r="AC9" s="567" t="str">
        <f t="shared" ref="AC9:AC26" si="15">IFERROR(P9/W9,"-")</f>
        <v>-</v>
      </c>
      <c r="AD9" s="568" t="str">
        <f t="shared" ref="AD9:AD26" si="16">IFERROR(T9/W9,"-")</f>
        <v>-</v>
      </c>
      <c r="AE9" s="699" t="str">
        <f t="shared" si="14"/>
        <v>TSX:LUN_2023_Tech</v>
      </c>
      <c r="AF9" s="699"/>
      <c r="AG9" s="703" t="str" cm="1">
        <f t="array" ref="AG9">IFERROR(INDEX('Import 2023 Data'!$E$4:$I$113,_xlfn.XMATCH(Tech!$AE9,'Import 2023 Data'!$C$4:$C$113),_xlfn.XMATCH(Tech!AG$5,'Import 2023 Data'!$E$3:$I$3)),"-")</f>
        <v>-</v>
      </c>
      <c r="AH9" s="699" t="str" cm="1">
        <f t="array" ref="AH9">IFERROR(INDEX('Import 2023 Data'!$E$4:$I$113,_xlfn.XMATCH(Tech!$AE9,'Import 2023 Data'!$C$4:$C$113),_xlfn.XMATCH(Tech!AH$5,'Import 2023 Data'!$E$3:$I$3)),"-")</f>
        <v>-</v>
      </c>
      <c r="AI9" s="704" t="str">
        <f>IF(ISNUMBER(_xlfn.XMATCH(C9,'Import 2023 Data'!$E$4:$E$113)),"N","Y")</f>
        <v>N</v>
      </c>
      <c r="AJ9" s="704" t="str">
        <f t="shared" ref="AJ9:AJ26" si="17">IFERROR(IF(TRIM(LOWER(AH9))=TRIM(LOWER(F9)),"N","Y"),"-")</f>
        <v>N</v>
      </c>
      <c r="AK9" s="699" t="str" cm="1">
        <f t="array" ref="AK9">IFERROR(INDEX('Import 2023 Data'!$E$4:$I$113,_xlfn.XMATCH(Tech!$AE9,'Import 2023 Data'!$C$4:$C$113),_xlfn.XMATCH(Tech!AK$5,'Import 2023 Data'!$E$3:$I$3)),"-")</f>
        <v>-</v>
      </c>
      <c r="AL9" s="893" t="str" cm="1">
        <f t="array" ref="AL9">IFERROR(INDEX('Import 2023 Data'!$E$4:$I$113,_xlfn.XMATCH(Tech!$AE9,'Import 2023 Data'!$C$4:$C$113),_xlfn.XMATCH(Tech!AL$5,'Import 2023 Data'!$E$3:$I$3)),"-")</f>
        <v>-</v>
      </c>
      <c r="AM9" s="894" t="str" cm="1">
        <f t="array" ref="AM9">IFERROR(INDEX('Import 2023 Data'!$E$4:$I$113,_xlfn.XMATCH(Tech!$AE9,'Import 2023 Data'!$C$4:$C$113),_xlfn.XMATCH(Tech!AM$5,'Import 2023 Data'!$E$3:$I$3)),"-")</f>
        <v>-</v>
      </c>
      <c r="AN9" s="1080" t="str">
        <f t="shared" ref="AN9:AN16" si="18">IF(AJ9="N",IFERROR(W9/AM9-1,"-"),"-")</f>
        <v>-</v>
      </c>
    </row>
    <row r="10" spans="1:42" ht="20.25" customHeight="1">
      <c r="A10" s="12" t="str">
        <f t="shared" si="0"/>
        <v>TSX:AGI_2024_Tech</v>
      </c>
      <c r="B10" s="12" t="str">
        <f>'Raw Data'!D7</f>
        <v>TSX:AGI</v>
      </c>
      <c r="C10" s="626" t="str">
        <f t="shared" si="1"/>
        <v>Alamos Gold Inc.</v>
      </c>
      <c r="D10" s="627">
        <f>_xll.ciqfunctions.udf.CIQ(B10, "IQ_MARKETCAP", $A$1,$A$2)</f>
        <v>15291.758599999999</v>
      </c>
      <c r="E10" s="627">
        <f>_xll.ciqfunctions.udf.CIQ($B10, "IQ_TEV", $A$1,$A$2)</f>
        <v>15239.87026</v>
      </c>
      <c r="F10" s="628" t="str">
        <f t="shared" si="2"/>
        <v>Christopher Bostwick</v>
      </c>
      <c r="G10" s="628" t="str">
        <f t="shared" si="2"/>
        <v>SVP, Technical Services</v>
      </c>
      <c r="H10" s="627" t="str">
        <f t="shared" si="3"/>
        <v>-</v>
      </c>
      <c r="I10" s="627">
        <f t="shared" si="3"/>
        <v>445</v>
      </c>
      <c r="J10" s="359">
        <f t="shared" si="3"/>
        <v>376.32404135000002</v>
      </c>
      <c r="K10" s="629">
        <f t="shared" si="4"/>
        <v>0.84567200303370793</v>
      </c>
      <c r="L10" s="629">
        <f t="shared" si="4"/>
        <v>0.73189047986149858</v>
      </c>
      <c r="M10" s="630">
        <f t="shared" si="5"/>
        <v>311.5</v>
      </c>
      <c r="N10" s="631">
        <f t="shared" si="6"/>
        <v>0.7</v>
      </c>
      <c r="O10" s="359">
        <f t="shared" si="7"/>
        <v>821.32404135000002</v>
      </c>
      <c r="P10" s="632">
        <f t="shared" si="7"/>
        <v>756.5</v>
      </c>
      <c r="Q10" s="359">
        <f t="shared" si="7"/>
        <v>644.81981421000012</v>
      </c>
      <c r="R10" s="629">
        <f t="shared" si="8"/>
        <v>1.4490332903595509</v>
      </c>
      <c r="S10" s="629">
        <f t="shared" si="8"/>
        <v>1.2992227455522594</v>
      </c>
      <c r="T10" s="630">
        <f t="shared" si="9"/>
        <v>689.75</v>
      </c>
      <c r="U10" s="631">
        <f t="shared" si="10"/>
        <v>1.55</v>
      </c>
      <c r="V10" s="359">
        <f t="shared" si="11"/>
        <v>1466.14385556</v>
      </c>
      <c r="W10" s="360">
        <f t="shared" si="11"/>
        <v>1446.25</v>
      </c>
      <c r="X10" s="359">
        <f t="shared" si="12"/>
        <v>98.58510167</v>
      </c>
      <c r="Y10" s="360">
        <f t="shared" si="12"/>
        <v>28.80508391</v>
      </c>
      <c r="Z10" s="359">
        <f t="shared" si="13"/>
        <v>1593.53404114</v>
      </c>
      <c r="AA10" s="360">
        <f t="shared" si="13"/>
        <v>1573.64018558</v>
      </c>
      <c r="AB10" s="698"/>
      <c r="AC10" s="567">
        <f t="shared" si="15"/>
        <v>0.52307692307692311</v>
      </c>
      <c r="AD10" s="568">
        <f t="shared" si="16"/>
        <v>0.47692307692307695</v>
      </c>
      <c r="AE10" s="699" t="str">
        <f t="shared" si="14"/>
        <v>TSX:AGI_2023_Tech</v>
      </c>
      <c r="AF10" s="699"/>
      <c r="AG10" s="703" t="str" cm="1">
        <f t="array" ref="AG10">IFERROR(INDEX('Import 2023 Data'!$E$4:$I$113,_xlfn.XMATCH(Tech!$AE10,'Import 2023 Data'!$C$4:$C$113),_xlfn.XMATCH(Tech!AG$5,'Import 2023 Data'!$E$3:$I$3)),"-")</f>
        <v>Alamos Gold Inc.</v>
      </c>
      <c r="AH10" s="699" t="str" cm="1">
        <f t="array" ref="AH10">IFERROR(INDEX('Import 2023 Data'!$E$4:$I$113,_xlfn.XMATCH(Tech!$AE10,'Import 2023 Data'!$C$4:$C$113),_xlfn.XMATCH(Tech!AH$5,'Import 2023 Data'!$E$3:$I$3)),"-")</f>
        <v xml:space="preserve">Christopher Botswick </v>
      </c>
      <c r="AI10" s="704" t="str">
        <f>IF(ISNUMBER(_xlfn.XMATCH(C10,'Import 2023 Data'!$E$4:$E$113)),"N","Y")</f>
        <v>N</v>
      </c>
      <c r="AJ10" s="704" t="s">
        <v>720</v>
      </c>
      <c r="AK10" s="699" t="str" cm="1">
        <f t="array" ref="AK10">IFERROR(INDEX('Import 2023 Data'!$E$4:$I$113,_xlfn.XMATCH(Tech!$AE10,'Import 2023 Data'!$C$4:$C$113),_xlfn.XMATCH(Tech!AK$5,'Import 2023 Data'!$E$3:$I$3)),"-")</f>
        <v>SVP, Technical Services</v>
      </c>
      <c r="AL10" s="893" cm="1">
        <f t="array" ref="AL10">IFERROR(INDEX('Import 2023 Data'!$E$4:$I$113,_xlfn.XMATCH(Tech!$AE10,'Import 2023 Data'!$C$4:$C$113),_xlfn.XMATCH(Tech!AL$5,'Import 2023 Data'!$E$3:$I$3)),"-")</f>
        <v>1269.5649100599999</v>
      </c>
      <c r="AM10" s="894" cm="1">
        <f t="array" ref="AM10">IFERROR(INDEX('Import 2023 Data'!$E$4:$I$113,_xlfn.XMATCH(Tech!$AE10,'Import 2023 Data'!$C$4:$C$113),_xlfn.XMATCH(Tech!AM$5,'Import 2023 Data'!$E$3:$I$3)),"-")</f>
        <v>1185.213037643487</v>
      </c>
      <c r="AN10" s="1080">
        <f t="shared" si="18"/>
        <v>0.22024476112372393</v>
      </c>
      <c r="AP10" s="12" t="s">
        <v>778</v>
      </c>
    </row>
    <row r="11" spans="1:42" ht="20.25" hidden="1" customHeight="1">
      <c r="A11" s="12" t="str">
        <f t="shared" si="0"/>
        <v>TSX:PAAS_2024_Tech</v>
      </c>
      <c r="B11" s="12" t="str">
        <f>'Raw Data'!D8</f>
        <v>TSX:PAAS</v>
      </c>
      <c r="C11" s="626" t="str">
        <f t="shared" si="1"/>
        <v>-</v>
      </c>
      <c r="D11" s="627">
        <f>_xll.ciqfunctions.udf.CIQ(B11, "IQ_MARKETCAP", $A$1,$A$2)</f>
        <v>14762.84492</v>
      </c>
      <c r="E11" s="627">
        <f>_xll.ciqfunctions.udf.CIQ($B11, "IQ_TEV", $A$1,$A$2)</f>
        <v>14643.113660000001</v>
      </c>
      <c r="F11" s="628" t="str">
        <f t="shared" si="2"/>
        <v>-</v>
      </c>
      <c r="G11" s="628" t="str">
        <f t="shared" si="2"/>
        <v>-</v>
      </c>
      <c r="H11" s="627" t="str">
        <f t="shared" si="3"/>
        <v>-</v>
      </c>
      <c r="I11" s="627" t="str">
        <f t="shared" si="3"/>
        <v>-</v>
      </c>
      <c r="J11" s="359" t="str">
        <f t="shared" si="3"/>
        <v>-</v>
      </c>
      <c r="K11" s="629" t="str">
        <f t="shared" si="4"/>
        <v>-</v>
      </c>
      <c r="L11" s="629" t="str">
        <f t="shared" si="4"/>
        <v>-</v>
      </c>
      <c r="M11" s="630" t="str">
        <f t="shared" si="5"/>
        <v>-</v>
      </c>
      <c r="N11" s="631" t="str">
        <f t="shared" si="6"/>
        <v>-</v>
      </c>
      <c r="O11" s="359" t="str">
        <f t="shared" si="7"/>
        <v>-</v>
      </c>
      <c r="P11" s="632" t="str">
        <f t="shared" si="7"/>
        <v>-</v>
      </c>
      <c r="Q11" s="359" t="str">
        <f t="shared" si="7"/>
        <v>-</v>
      </c>
      <c r="R11" s="629" t="str">
        <f t="shared" si="8"/>
        <v>-</v>
      </c>
      <c r="S11" s="629" t="str">
        <f t="shared" si="8"/>
        <v>-</v>
      </c>
      <c r="T11" s="630" t="str">
        <f t="shared" si="9"/>
        <v>-</v>
      </c>
      <c r="U11" s="631" t="str">
        <f t="shared" si="10"/>
        <v>-</v>
      </c>
      <c r="V11" s="359" t="str">
        <f t="shared" si="11"/>
        <v>-</v>
      </c>
      <c r="W11" s="360" t="str">
        <f t="shared" si="11"/>
        <v>-</v>
      </c>
      <c r="X11" s="359" t="str">
        <f t="shared" si="12"/>
        <v>-</v>
      </c>
      <c r="Y11" s="360" t="str">
        <f t="shared" si="12"/>
        <v>-</v>
      </c>
      <c r="Z11" s="359" t="str">
        <f t="shared" si="13"/>
        <v>-</v>
      </c>
      <c r="AA11" s="360" t="str">
        <f t="shared" si="13"/>
        <v>-</v>
      </c>
      <c r="AB11" s="698"/>
      <c r="AC11" s="567" t="str">
        <f t="shared" si="15"/>
        <v>-</v>
      </c>
      <c r="AD11" s="568" t="str">
        <f t="shared" si="16"/>
        <v>-</v>
      </c>
      <c r="AE11" s="699" t="str">
        <f t="shared" si="14"/>
        <v>TSX:PAAS_2023_Tech</v>
      </c>
      <c r="AF11" s="699"/>
      <c r="AG11" s="703" t="str" cm="1">
        <f t="array" ref="AG11">IFERROR(INDEX('Import 2023 Data'!$E$4:$I$113,_xlfn.XMATCH(Tech!$AE11,'Import 2023 Data'!$C$4:$C$113),_xlfn.XMATCH(Tech!AG$5,'Import 2023 Data'!$E$3:$I$3)),"-")</f>
        <v>-</v>
      </c>
      <c r="AH11" s="699" t="str" cm="1">
        <f t="array" ref="AH11">IFERROR(INDEX('Import 2023 Data'!$E$4:$I$113,_xlfn.XMATCH(Tech!$AE11,'Import 2023 Data'!$C$4:$C$113),_xlfn.XMATCH(Tech!AH$5,'Import 2023 Data'!$E$3:$I$3)),"-")</f>
        <v>-</v>
      </c>
      <c r="AI11" s="704" t="str">
        <f>IF(ISNUMBER(_xlfn.XMATCH(C11,'Import 2023 Data'!$E$4:$E$113)),"N","Y")</f>
        <v>N</v>
      </c>
      <c r="AJ11" s="704" t="str">
        <f t="shared" si="17"/>
        <v>N</v>
      </c>
      <c r="AK11" s="699" t="str" cm="1">
        <f t="array" ref="AK11">IFERROR(INDEX('Import 2023 Data'!$E$4:$I$113,_xlfn.XMATCH(Tech!$AE11,'Import 2023 Data'!$C$4:$C$113),_xlfn.XMATCH(Tech!AK$5,'Import 2023 Data'!$E$3:$I$3)),"-")</f>
        <v>-</v>
      </c>
      <c r="AL11" s="893" t="str" cm="1">
        <f t="array" ref="AL11">IFERROR(INDEX('Import 2023 Data'!$E$4:$I$113,_xlfn.XMATCH(Tech!$AE11,'Import 2023 Data'!$C$4:$C$113),_xlfn.XMATCH(Tech!AL$5,'Import 2023 Data'!$E$3:$I$3)),"-")</f>
        <v>-</v>
      </c>
      <c r="AM11" s="894" t="str" cm="1">
        <f t="array" ref="AM11">IFERROR(INDEX('Import 2023 Data'!$E$4:$I$113,_xlfn.XMATCH(Tech!$AE11,'Import 2023 Data'!$C$4:$C$113),_xlfn.XMATCH(Tech!AM$5,'Import 2023 Data'!$E$3:$I$3)),"-")</f>
        <v>-</v>
      </c>
      <c r="AN11" s="1080" t="str">
        <f t="shared" si="18"/>
        <v>-</v>
      </c>
    </row>
    <row r="12" spans="1:42" ht="20.25" hidden="1" customHeight="1">
      <c r="A12" s="12" t="str">
        <f t="shared" si="0"/>
        <v>TSX:CS_2024_Tech</v>
      </c>
      <c r="B12" s="12" t="str">
        <f>'Raw Data'!D9</f>
        <v>TSX:CS</v>
      </c>
      <c r="C12" s="626" t="str">
        <f t="shared" si="1"/>
        <v>-</v>
      </c>
      <c r="D12" s="627">
        <f>_xll.ciqfunctions.udf.CIQ(B12, "IQ_MARKETCAP", $A$1,$A$2)</f>
        <v>5953.1492900000003</v>
      </c>
      <c r="E12" s="627">
        <f>_xll.ciqfunctions.udf.CIQ($B12, "IQ_TEV", $A$1,$A$2)</f>
        <v>8486.01584</v>
      </c>
      <c r="F12" s="628" t="str">
        <f t="shared" si="2"/>
        <v>-</v>
      </c>
      <c r="G12" s="628" t="str">
        <f t="shared" si="2"/>
        <v>-</v>
      </c>
      <c r="H12" s="627" t="str">
        <f t="shared" si="3"/>
        <v>-</v>
      </c>
      <c r="I12" s="627" t="str">
        <f t="shared" si="3"/>
        <v>-</v>
      </c>
      <c r="J12" s="359" t="str">
        <f t="shared" si="3"/>
        <v>-</v>
      </c>
      <c r="K12" s="629" t="str">
        <f t="shared" si="4"/>
        <v>-</v>
      </c>
      <c r="L12" s="629" t="str">
        <f t="shared" si="4"/>
        <v>-</v>
      </c>
      <c r="M12" s="630" t="str">
        <f t="shared" si="5"/>
        <v>-</v>
      </c>
      <c r="N12" s="631" t="str">
        <f t="shared" si="6"/>
        <v>-</v>
      </c>
      <c r="O12" s="359" t="str">
        <f t="shared" si="7"/>
        <v>-</v>
      </c>
      <c r="P12" s="632" t="str">
        <f t="shared" si="7"/>
        <v>-</v>
      </c>
      <c r="Q12" s="359" t="str">
        <f t="shared" si="7"/>
        <v>-</v>
      </c>
      <c r="R12" s="629" t="str">
        <f t="shared" si="8"/>
        <v>-</v>
      </c>
      <c r="S12" s="629" t="str">
        <f t="shared" si="8"/>
        <v>-</v>
      </c>
      <c r="T12" s="630" t="str">
        <f t="shared" si="9"/>
        <v>-</v>
      </c>
      <c r="U12" s="631" t="str">
        <f t="shared" si="10"/>
        <v>-</v>
      </c>
      <c r="V12" s="359" t="str">
        <f t="shared" si="11"/>
        <v>-</v>
      </c>
      <c r="W12" s="360" t="str">
        <f t="shared" si="11"/>
        <v>-</v>
      </c>
      <c r="X12" s="359" t="str">
        <f t="shared" si="12"/>
        <v>-</v>
      </c>
      <c r="Y12" s="360" t="str">
        <f t="shared" si="12"/>
        <v>-</v>
      </c>
      <c r="Z12" s="359" t="str">
        <f t="shared" si="13"/>
        <v>-</v>
      </c>
      <c r="AA12" s="360" t="str">
        <f t="shared" si="13"/>
        <v>-</v>
      </c>
      <c r="AB12" s="698"/>
      <c r="AC12" s="567" t="str">
        <f t="shared" si="15"/>
        <v>-</v>
      </c>
      <c r="AD12" s="568" t="str">
        <f t="shared" si="16"/>
        <v>-</v>
      </c>
      <c r="AE12" s="699" t="str">
        <f t="shared" si="14"/>
        <v>TSX:CS_2023_Tech</v>
      </c>
      <c r="AF12" s="699"/>
      <c r="AG12" s="703" t="str" cm="1">
        <f t="array" ref="AG12">IFERROR(INDEX('Import 2023 Data'!$E$4:$I$113,_xlfn.XMATCH(Tech!$AE12,'Import 2023 Data'!$C$4:$C$113),_xlfn.XMATCH(Tech!AG$5,'Import 2023 Data'!$E$3:$I$3)),"-")</f>
        <v>-</v>
      </c>
      <c r="AH12" s="699" t="str" cm="1">
        <f t="array" ref="AH12">IFERROR(INDEX('Import 2023 Data'!$E$4:$I$113,_xlfn.XMATCH(Tech!$AE12,'Import 2023 Data'!$C$4:$C$113),_xlfn.XMATCH(Tech!AH$5,'Import 2023 Data'!$E$3:$I$3)),"-")</f>
        <v>-</v>
      </c>
      <c r="AI12" s="704" t="str">
        <f>IF(ISNUMBER(_xlfn.XMATCH(C12,'Import 2023 Data'!$E$4:$E$113)),"N","Y")</f>
        <v>N</v>
      </c>
      <c r="AJ12" s="704" t="str">
        <f t="shared" si="17"/>
        <v>N</v>
      </c>
      <c r="AK12" s="699" t="str" cm="1">
        <f t="array" ref="AK12">IFERROR(INDEX('Import 2023 Data'!$E$4:$I$113,_xlfn.XMATCH(Tech!$AE12,'Import 2023 Data'!$C$4:$C$113),_xlfn.XMATCH(Tech!AK$5,'Import 2023 Data'!$E$3:$I$3)),"-")</f>
        <v>-</v>
      </c>
      <c r="AL12" s="893" t="str" cm="1">
        <f t="array" ref="AL12">IFERROR(INDEX('Import 2023 Data'!$E$4:$I$113,_xlfn.XMATCH(Tech!$AE12,'Import 2023 Data'!$C$4:$C$113),_xlfn.XMATCH(Tech!AL$5,'Import 2023 Data'!$E$3:$I$3)),"-")</f>
        <v>-</v>
      </c>
      <c r="AM12" s="894" t="str" cm="1">
        <f t="array" ref="AM12">IFERROR(INDEX('Import 2023 Data'!$E$4:$I$113,_xlfn.XMATCH(Tech!$AE12,'Import 2023 Data'!$C$4:$C$113),_xlfn.XMATCH(Tech!AM$5,'Import 2023 Data'!$E$3:$I$3)),"-")</f>
        <v>-</v>
      </c>
      <c r="AN12" s="1080" t="str">
        <f t="shared" si="18"/>
        <v>-</v>
      </c>
    </row>
    <row r="13" spans="1:42" ht="20.25" hidden="1" customHeight="1">
      <c r="A13" s="12" t="str">
        <f t="shared" si="0"/>
        <v>TSX:IMG_2024_Tech</v>
      </c>
      <c r="B13" s="12" t="str">
        <f>'Raw Data'!D10</f>
        <v>TSX:IMG</v>
      </c>
      <c r="C13" s="626" t="str">
        <f t="shared" si="1"/>
        <v>-</v>
      </c>
      <c r="D13" s="627">
        <f>_xll.ciqfunctions.udf.CIQ(B13, "IQ_MARKETCAP", $A$1,$A$2)</f>
        <v>5554.9869099999996</v>
      </c>
      <c r="E13" s="627">
        <f>_xll.ciqfunctions.udf.CIQ($B13, "IQ_TEV", $A$1,$A$2)</f>
        <v>6834.0846799999999</v>
      </c>
      <c r="F13" s="628" t="str">
        <f t="shared" si="2"/>
        <v>-</v>
      </c>
      <c r="G13" s="628" t="str">
        <f t="shared" si="2"/>
        <v>-</v>
      </c>
      <c r="H13" s="627" t="str">
        <f t="shared" si="3"/>
        <v>-</v>
      </c>
      <c r="I13" s="627" t="str">
        <f t="shared" si="3"/>
        <v>-</v>
      </c>
      <c r="J13" s="359" t="str">
        <f t="shared" si="3"/>
        <v>-</v>
      </c>
      <c r="K13" s="629" t="str">
        <f t="shared" si="4"/>
        <v>-</v>
      </c>
      <c r="L13" s="629" t="str">
        <f t="shared" si="4"/>
        <v>-</v>
      </c>
      <c r="M13" s="630" t="str">
        <f t="shared" si="5"/>
        <v>-</v>
      </c>
      <c r="N13" s="631" t="str">
        <f t="shared" si="6"/>
        <v>-</v>
      </c>
      <c r="O13" s="359" t="str">
        <f t="shared" si="7"/>
        <v>-</v>
      </c>
      <c r="P13" s="632" t="str">
        <f t="shared" si="7"/>
        <v>-</v>
      </c>
      <c r="Q13" s="359" t="str">
        <f t="shared" si="7"/>
        <v>-</v>
      </c>
      <c r="R13" s="629" t="str">
        <f t="shared" si="8"/>
        <v>-</v>
      </c>
      <c r="S13" s="629" t="str">
        <f t="shared" si="8"/>
        <v>-</v>
      </c>
      <c r="T13" s="630" t="str">
        <f t="shared" si="9"/>
        <v>-</v>
      </c>
      <c r="U13" s="631" t="str">
        <f t="shared" si="10"/>
        <v>-</v>
      </c>
      <c r="V13" s="359" t="str">
        <f t="shared" si="11"/>
        <v>-</v>
      </c>
      <c r="W13" s="360" t="str">
        <f t="shared" si="11"/>
        <v>-</v>
      </c>
      <c r="X13" s="359" t="str">
        <f t="shared" si="12"/>
        <v>-</v>
      </c>
      <c r="Y13" s="360" t="str">
        <f t="shared" si="12"/>
        <v>-</v>
      </c>
      <c r="Z13" s="359" t="str">
        <f t="shared" si="13"/>
        <v>-</v>
      </c>
      <c r="AA13" s="360" t="str">
        <f t="shared" si="13"/>
        <v>-</v>
      </c>
      <c r="AB13" s="698"/>
      <c r="AC13" s="567" t="str">
        <f t="shared" si="15"/>
        <v>-</v>
      </c>
      <c r="AD13" s="568" t="str">
        <f t="shared" si="16"/>
        <v>-</v>
      </c>
      <c r="AE13" s="699" t="str">
        <f t="shared" si="14"/>
        <v>TSX:IMG_2023_Tech</v>
      </c>
      <c r="AF13" s="699"/>
      <c r="AG13" s="703" t="str" cm="1">
        <f t="array" ref="AG13">IFERROR(INDEX('Import 2023 Data'!$E$4:$I$113,_xlfn.XMATCH(Tech!$AE13,'Import 2023 Data'!$C$4:$C$113),_xlfn.XMATCH(Tech!AG$5,'Import 2023 Data'!$E$3:$I$3)),"-")</f>
        <v>-</v>
      </c>
      <c r="AH13" s="699" t="str" cm="1">
        <f t="array" ref="AH13">IFERROR(INDEX('Import 2023 Data'!$E$4:$I$113,_xlfn.XMATCH(Tech!$AE13,'Import 2023 Data'!$C$4:$C$113),_xlfn.XMATCH(Tech!AH$5,'Import 2023 Data'!$E$3:$I$3)),"-")</f>
        <v>-</v>
      </c>
      <c r="AI13" s="704" t="str">
        <f>IF(ISNUMBER(_xlfn.XMATCH(C13,'Import 2023 Data'!$E$4:$E$113)),"N","Y")</f>
        <v>N</v>
      </c>
      <c r="AJ13" s="704" t="str">
        <f t="shared" si="17"/>
        <v>N</v>
      </c>
      <c r="AK13" s="699" t="str" cm="1">
        <f t="array" ref="AK13">IFERROR(INDEX('Import 2023 Data'!$E$4:$I$113,_xlfn.XMATCH(Tech!$AE13,'Import 2023 Data'!$C$4:$C$113),_xlfn.XMATCH(Tech!AK$5,'Import 2023 Data'!$E$3:$I$3)),"-")</f>
        <v>-</v>
      </c>
      <c r="AL13" s="893" t="str" cm="1">
        <f t="array" ref="AL13">IFERROR(INDEX('Import 2023 Data'!$E$4:$I$113,_xlfn.XMATCH(Tech!$AE13,'Import 2023 Data'!$C$4:$C$113),_xlfn.XMATCH(Tech!AL$5,'Import 2023 Data'!$E$3:$I$3)),"-")</f>
        <v>-</v>
      </c>
      <c r="AM13" s="894" t="str" cm="1">
        <f t="array" ref="AM13">IFERROR(INDEX('Import 2023 Data'!$E$4:$I$113,_xlfn.XMATCH(Tech!$AE13,'Import 2023 Data'!$C$4:$C$113),_xlfn.XMATCH(Tech!AM$5,'Import 2023 Data'!$E$3:$I$3)),"-")</f>
        <v>-</v>
      </c>
      <c r="AN13" s="1080" t="str">
        <f t="shared" si="18"/>
        <v>-</v>
      </c>
    </row>
    <row r="14" spans="1:42" ht="20.25" customHeight="1">
      <c r="A14" s="12" t="str">
        <f t="shared" si="0"/>
        <v>TSX:BTO_2024_Tech</v>
      </c>
      <c r="B14" s="12" t="str">
        <f>'Raw Data'!D11</f>
        <v>TSX:BTO</v>
      </c>
      <c r="C14" s="626" t="str">
        <f t="shared" si="1"/>
        <v>B2Gold Corp.</v>
      </c>
      <c r="D14" s="627">
        <f>_xll.ciqfunctions.udf.CIQ(B14, "IQ_MARKETCAP", $A$1,$A$2)</f>
        <v>6289.7347200000004</v>
      </c>
      <c r="E14" s="627">
        <f>_xll.ciqfunctions.udf.CIQ($B14, "IQ_TEV", $A$1,$A$2)</f>
        <v>6472.2609199999997</v>
      </c>
      <c r="F14" s="628" t="str">
        <f t="shared" si="2"/>
        <v>Victor King</v>
      </c>
      <c r="G14" s="628" t="str">
        <f t="shared" si="2"/>
        <v>SVP, Exploration</v>
      </c>
      <c r="H14" s="627" t="str">
        <f t="shared" si="3"/>
        <v>-</v>
      </c>
      <c r="I14" s="627">
        <f t="shared" si="3"/>
        <v>600</v>
      </c>
      <c r="J14" s="359">
        <f t="shared" si="3"/>
        <v>297</v>
      </c>
      <c r="K14" s="629">
        <f t="shared" si="4"/>
        <v>0.495</v>
      </c>
      <c r="L14" s="629">
        <f t="shared" si="4"/>
        <v>0.69234627831715212</v>
      </c>
      <c r="M14" s="630">
        <f t="shared" si="5"/>
        <v>450</v>
      </c>
      <c r="N14" s="631">
        <f t="shared" si="6"/>
        <v>0.75</v>
      </c>
      <c r="O14" s="359">
        <f t="shared" si="7"/>
        <v>897</v>
      </c>
      <c r="P14" s="632">
        <f t="shared" si="7"/>
        <v>1050</v>
      </c>
      <c r="Q14" s="359">
        <f t="shared" si="7"/>
        <v>1450</v>
      </c>
      <c r="R14" s="629">
        <f t="shared" si="8"/>
        <v>2.4166666666666665</v>
      </c>
      <c r="S14" s="629">
        <f t="shared" si="8"/>
        <v>2.862459546925566</v>
      </c>
      <c r="T14" s="630">
        <f t="shared" si="9"/>
        <v>1717.4757281553395</v>
      </c>
      <c r="U14" s="631">
        <f t="shared" si="10"/>
        <v>2.862459546925566</v>
      </c>
      <c r="V14" s="359">
        <f t="shared" si="11"/>
        <v>2347</v>
      </c>
      <c r="W14" s="360">
        <f t="shared" si="11"/>
        <v>2767.4757281553398</v>
      </c>
      <c r="X14" s="359" t="str">
        <f t="shared" si="12"/>
        <v>-</v>
      </c>
      <c r="Y14" s="360" t="str">
        <f t="shared" si="12"/>
        <v>-</v>
      </c>
      <c r="Z14" s="359">
        <f t="shared" si="13"/>
        <v>2347</v>
      </c>
      <c r="AA14" s="360">
        <f t="shared" si="13"/>
        <v>2767.4757281553398</v>
      </c>
      <c r="AB14" s="698"/>
      <c r="AC14" s="567">
        <f t="shared" si="15"/>
        <v>0.37940712155762146</v>
      </c>
      <c r="AD14" s="568">
        <f t="shared" si="16"/>
        <v>0.62059287844237843</v>
      </c>
      <c r="AE14" s="699" t="str">
        <f t="shared" si="14"/>
        <v>TSX:BTO_2023_Tech</v>
      </c>
      <c r="AF14" s="699"/>
      <c r="AG14" s="703" t="str" cm="1">
        <f t="array" ref="AG14">IFERROR(INDEX('Import 2023 Data'!$E$4:$I$113,_xlfn.XMATCH(Tech!$AE14,'Import 2023 Data'!$C$4:$C$113),_xlfn.XMATCH(Tech!AG$5,'Import 2023 Data'!$E$3:$I$3)),"-")</f>
        <v>B2Gold Corp.</v>
      </c>
      <c r="AH14" s="699" t="str" cm="1">
        <f t="array" ref="AH14">IFERROR(INDEX('Import 2023 Data'!$E$4:$I$113,_xlfn.XMATCH(Tech!$AE14,'Import 2023 Data'!$C$4:$C$113),_xlfn.XMATCH(Tech!AH$5,'Import 2023 Data'!$E$3:$I$3)),"-")</f>
        <v xml:space="preserve">Victor King </v>
      </c>
      <c r="AI14" s="704" t="str">
        <f>IF(ISNUMBER(_xlfn.XMATCH(C14,'Import 2023 Data'!$E$4:$E$113)),"N","Y")</f>
        <v>N</v>
      </c>
      <c r="AJ14" s="704" t="str">
        <f t="shared" si="17"/>
        <v>N</v>
      </c>
      <c r="AK14" s="699" t="str" cm="1">
        <f t="array" ref="AK14">IFERROR(INDEX('Import 2023 Data'!$E$4:$I$113,_xlfn.XMATCH(Tech!$AE14,'Import 2023 Data'!$C$4:$C$113),_xlfn.XMATCH(Tech!AK$5,'Import 2023 Data'!$E$3:$I$3)),"-")</f>
        <v>SVP, Exploration</v>
      </c>
      <c r="AL14" s="893" cm="1">
        <f t="array" ref="AL14">IFERROR(INDEX('Import 2023 Data'!$E$4:$I$113,_xlfn.XMATCH(Tech!$AE14,'Import 2023 Data'!$C$4:$C$113),_xlfn.XMATCH(Tech!AL$5,'Import 2023 Data'!$E$3:$I$3)),"-")</f>
        <v>2440</v>
      </c>
      <c r="AM14" s="894" cm="1">
        <f t="array" ref="AM14">IFERROR(INDEX('Import 2023 Data'!$E$4:$I$113,_xlfn.XMATCH(Tech!$AE14,'Import 2023 Data'!$C$4:$C$113),_xlfn.XMATCH(Tech!AM$5,'Import 2023 Data'!$E$3:$I$3)),"-")</f>
        <v>2904.1369240752756</v>
      </c>
      <c r="AN14" s="1080">
        <f t="shared" si="18"/>
        <v>-4.7057421703162627E-2</v>
      </c>
      <c r="AP14" s="12" t="s">
        <v>779</v>
      </c>
    </row>
    <row r="15" spans="1:42" ht="20.25" hidden="1" customHeight="1">
      <c r="A15" s="12" t="str">
        <f t="shared" si="0"/>
        <v>NYSE:HL_2024_Tech</v>
      </c>
      <c r="B15" s="12" t="str">
        <f>'Raw Data'!D12</f>
        <v>NYSE:HL</v>
      </c>
      <c r="C15" s="626" t="str">
        <f t="shared" si="1"/>
        <v>-</v>
      </c>
      <c r="D15" s="627">
        <f>_xll.ciqfunctions.udf.CIQ(B15, "IQ_MARKETCAP", $A$1,$A$2)</f>
        <v>5232.0834199999999</v>
      </c>
      <c r="E15" s="627">
        <f>_xll.ciqfunctions.udf.CIQ($B15, "IQ_TEV", $A$1,$A$2)</f>
        <v>5991.3399399999998</v>
      </c>
      <c r="F15" s="628" t="str">
        <f t="shared" si="2"/>
        <v>-</v>
      </c>
      <c r="G15" s="628" t="str">
        <f t="shared" si="2"/>
        <v>-</v>
      </c>
      <c r="H15" s="627" t="str">
        <f t="shared" si="3"/>
        <v>-</v>
      </c>
      <c r="I15" s="627" t="str">
        <f t="shared" si="3"/>
        <v>-</v>
      </c>
      <c r="J15" s="359" t="str">
        <f t="shared" si="3"/>
        <v>-</v>
      </c>
      <c r="K15" s="629" t="str">
        <f t="shared" si="4"/>
        <v>-</v>
      </c>
      <c r="L15" s="629" t="str">
        <f t="shared" si="4"/>
        <v>-</v>
      </c>
      <c r="M15" s="630" t="str">
        <f t="shared" si="5"/>
        <v>-</v>
      </c>
      <c r="N15" s="631" t="str">
        <f t="shared" si="6"/>
        <v>-</v>
      </c>
      <c r="O15" s="359" t="str">
        <f t="shared" si="7"/>
        <v>-</v>
      </c>
      <c r="P15" s="632" t="str">
        <f t="shared" si="7"/>
        <v>-</v>
      </c>
      <c r="Q15" s="359" t="str">
        <f t="shared" si="7"/>
        <v>-</v>
      </c>
      <c r="R15" s="629" t="str">
        <f t="shared" si="8"/>
        <v>-</v>
      </c>
      <c r="S15" s="629" t="str">
        <f t="shared" si="8"/>
        <v>-</v>
      </c>
      <c r="T15" s="630" t="str">
        <f t="shared" si="9"/>
        <v>-</v>
      </c>
      <c r="U15" s="631" t="str">
        <f t="shared" si="10"/>
        <v>-</v>
      </c>
      <c r="V15" s="359" t="str">
        <f t="shared" si="11"/>
        <v>-</v>
      </c>
      <c r="W15" s="360" t="str">
        <f t="shared" si="11"/>
        <v>-</v>
      </c>
      <c r="X15" s="359" t="str">
        <f t="shared" si="12"/>
        <v>-</v>
      </c>
      <c r="Y15" s="360" t="str">
        <f t="shared" si="12"/>
        <v>-</v>
      </c>
      <c r="Z15" s="359" t="str">
        <f t="shared" si="13"/>
        <v>-</v>
      </c>
      <c r="AA15" s="360" t="str">
        <f t="shared" si="13"/>
        <v>-</v>
      </c>
      <c r="AB15" s="698"/>
      <c r="AC15" s="567" t="str">
        <f t="shared" si="15"/>
        <v>-</v>
      </c>
      <c r="AD15" s="568" t="str">
        <f t="shared" si="16"/>
        <v>-</v>
      </c>
      <c r="AE15" s="699" t="str">
        <f t="shared" si="14"/>
        <v>NYSE:HL_2023_Tech</v>
      </c>
      <c r="AF15" s="699"/>
      <c r="AG15" s="703" t="str" cm="1">
        <f t="array" ref="AG15">IFERROR(INDEX('Import 2023 Data'!$E$4:$I$113,_xlfn.XMATCH(Tech!$AE15,'Import 2023 Data'!$C$4:$C$113),_xlfn.XMATCH(Tech!AG$5,'Import 2023 Data'!$E$3:$I$3)),"-")</f>
        <v>-</v>
      </c>
      <c r="AH15" s="699" t="str" cm="1">
        <f t="array" ref="AH15">IFERROR(INDEX('Import 2023 Data'!$E$4:$I$113,_xlfn.XMATCH(Tech!$AE15,'Import 2023 Data'!$C$4:$C$113),_xlfn.XMATCH(Tech!AH$5,'Import 2023 Data'!$E$3:$I$3)),"-")</f>
        <v>-</v>
      </c>
      <c r="AI15" s="704" t="str">
        <f>IF(ISNUMBER(_xlfn.XMATCH(C15,'Import 2023 Data'!$E$4:$E$113)),"N","Y")</f>
        <v>N</v>
      </c>
      <c r="AJ15" s="704" t="str">
        <f t="shared" si="17"/>
        <v>N</v>
      </c>
      <c r="AK15" s="699" t="str" cm="1">
        <f t="array" ref="AK15">IFERROR(INDEX('Import 2023 Data'!$E$4:$I$113,_xlfn.XMATCH(Tech!$AE15,'Import 2023 Data'!$C$4:$C$113),_xlfn.XMATCH(Tech!AK$5,'Import 2023 Data'!$E$3:$I$3)),"-")</f>
        <v>-</v>
      </c>
      <c r="AL15" s="893" t="str" cm="1">
        <f t="array" ref="AL15">IFERROR(INDEX('Import 2023 Data'!$E$4:$I$113,_xlfn.XMATCH(Tech!$AE15,'Import 2023 Data'!$C$4:$C$113),_xlfn.XMATCH(Tech!AL$5,'Import 2023 Data'!$E$3:$I$3)),"-")</f>
        <v>-</v>
      </c>
      <c r="AM15" s="894" t="str" cm="1">
        <f t="array" ref="AM15">IFERROR(INDEX('Import 2023 Data'!$E$4:$I$113,_xlfn.XMATCH(Tech!$AE15,'Import 2023 Data'!$C$4:$C$113),_xlfn.XMATCH(Tech!AM$5,'Import 2023 Data'!$E$3:$I$3)),"-")</f>
        <v>-</v>
      </c>
      <c r="AN15" s="1080" t="str">
        <f t="shared" si="18"/>
        <v>-</v>
      </c>
    </row>
    <row r="16" spans="1:42" ht="20.25" customHeight="1">
      <c r="A16" s="12" t="str">
        <f t="shared" si="0"/>
        <v>TSX:NGD_2024_Tech</v>
      </c>
      <c r="B16" s="12" t="str">
        <f>'Raw Data'!D13</f>
        <v>TSX:NGD</v>
      </c>
      <c r="C16" s="872" t="str">
        <f t="shared" si="1"/>
        <v>New Gold Inc.</v>
      </c>
      <c r="D16" s="873">
        <f>_xll.ciqfunctions.udf.CIQ(B16, "IQ_MARKETCAP", $A$1,$A$2)</f>
        <v>5001.45208</v>
      </c>
      <c r="E16" s="873">
        <f>_xll.ciqfunctions.udf.CIQ($B16, "IQ_TEV", $A$1,$A$2)</f>
        <v>5417.8523800000003</v>
      </c>
      <c r="F16" s="874" t="str">
        <f t="shared" si="2"/>
        <v>Luke Buchanan</v>
      </c>
      <c r="G16" s="874" t="str">
        <f t="shared" si="2"/>
        <v>VP, Technical Services</v>
      </c>
      <c r="H16" s="873" t="str">
        <f t="shared" si="3"/>
        <v>-</v>
      </c>
      <c r="I16" s="873">
        <f t="shared" si="3"/>
        <v>440</v>
      </c>
      <c r="J16" s="875">
        <f t="shared" si="3"/>
        <v>351.78</v>
      </c>
      <c r="K16" s="876">
        <f t="shared" si="4"/>
        <v>0.79949999999999999</v>
      </c>
      <c r="L16" s="876">
        <f t="shared" si="4"/>
        <v>0.79485673234811161</v>
      </c>
      <c r="M16" s="877">
        <f t="shared" si="5"/>
        <v>286</v>
      </c>
      <c r="N16" s="878">
        <f t="shared" si="6"/>
        <v>0.65</v>
      </c>
      <c r="O16" s="875">
        <f t="shared" si="7"/>
        <v>791.78</v>
      </c>
      <c r="P16" s="879">
        <f t="shared" si="7"/>
        <v>726</v>
      </c>
      <c r="Q16" s="875">
        <f t="shared" si="7"/>
        <v>549.99900000000002</v>
      </c>
      <c r="R16" s="876">
        <f t="shared" si="8"/>
        <v>1.2499977272727272</v>
      </c>
      <c r="S16" s="876">
        <f t="shared" si="8"/>
        <v>1.0789374767473905</v>
      </c>
      <c r="T16" s="877">
        <f t="shared" si="9"/>
        <v>550</v>
      </c>
      <c r="U16" s="878">
        <f t="shared" si="10"/>
        <v>1.25</v>
      </c>
      <c r="V16" s="875">
        <f t="shared" si="11"/>
        <v>1341.779</v>
      </c>
      <c r="W16" s="879">
        <f t="shared" si="11"/>
        <v>1276</v>
      </c>
      <c r="X16" s="359" t="str">
        <f t="shared" si="12"/>
        <v>-</v>
      </c>
      <c r="Y16" s="360">
        <f t="shared" si="12"/>
        <v>15.78</v>
      </c>
      <c r="Z16" s="359">
        <f t="shared" si="13"/>
        <v>1357.559</v>
      </c>
      <c r="AA16" s="360">
        <f t="shared" si="13"/>
        <v>1291.78</v>
      </c>
      <c r="AB16" s="698"/>
      <c r="AC16" s="567">
        <f t="shared" si="15"/>
        <v>0.56896551724137934</v>
      </c>
      <c r="AD16" s="568">
        <f t="shared" si="16"/>
        <v>0.43103448275862066</v>
      </c>
      <c r="AE16" s="699" t="str">
        <f t="shared" si="14"/>
        <v>TSX:NGD_2023_Tech</v>
      </c>
      <c r="AF16" s="699"/>
      <c r="AG16" s="707" t="str" cm="1">
        <f t="array" ref="AG16">IFERROR(INDEX('Import 2023 Data'!$E$4:$I$113,_xlfn.XMATCH(Tech!$AE16,'Import 2023 Data'!$C$4:$C$113),_xlfn.XMATCH(Tech!AG$5,'Import 2023 Data'!$E$3:$I$3)),"-")</f>
        <v>-</v>
      </c>
      <c r="AH16" s="708" t="str" cm="1">
        <f t="array" ref="AH16">IFERROR(INDEX('Import 2023 Data'!$E$4:$I$113,_xlfn.XMATCH(Tech!$AE16,'Import 2023 Data'!$C$4:$C$113),_xlfn.XMATCH(Tech!AH$5,'Import 2023 Data'!$E$3:$I$3)),"-")</f>
        <v>-</v>
      </c>
      <c r="AI16" s="709" t="str">
        <f>IF(ISNUMBER(_xlfn.XMATCH(C16,'Import 2023 Data'!$E$4:$E$113)),"N","Y")</f>
        <v>N</v>
      </c>
      <c r="AJ16" s="709" t="str">
        <f t="shared" si="17"/>
        <v>Y</v>
      </c>
      <c r="AK16" s="708" t="str" cm="1">
        <f t="array" ref="AK16">IFERROR(INDEX('Import 2023 Data'!$E$4:$I$113,_xlfn.XMATCH(Tech!$AE16,'Import 2023 Data'!$C$4:$C$113),_xlfn.XMATCH(Tech!AK$5,'Import 2023 Data'!$E$3:$I$3)),"-")</f>
        <v>-</v>
      </c>
      <c r="AL16" s="897" t="str" cm="1">
        <f t="array" ref="AL16">IFERROR(INDEX('Import 2023 Data'!$E$4:$I$113,_xlfn.XMATCH(Tech!$AE16,'Import 2023 Data'!$C$4:$C$113),_xlfn.XMATCH(Tech!AL$5,'Import 2023 Data'!$E$3:$I$3)),"-")</f>
        <v>-</v>
      </c>
      <c r="AM16" s="898" t="str" cm="1">
        <f t="array" ref="AM16">IFERROR(INDEX('Import 2023 Data'!$E$4:$I$113,_xlfn.XMATCH(Tech!$AE16,'Import 2023 Data'!$C$4:$C$113),_xlfn.XMATCH(Tech!AM$5,'Import 2023 Data'!$E$3:$I$3)),"-")</f>
        <v>-</v>
      </c>
      <c r="AN16" s="1080" t="str">
        <f t="shared" si="18"/>
        <v>-</v>
      </c>
    </row>
    <row r="17" spans="1:40" ht="20.25" hidden="1" customHeight="1">
      <c r="A17" s="12" t="str">
        <f t="shared" si="0"/>
        <v>TSX:SSRM_2024_Tech</v>
      </c>
      <c r="B17" s="12" t="str">
        <f>'Raw Data'!D15</f>
        <v>TSX:SSRM</v>
      </c>
      <c r="C17" s="626" t="str">
        <f t="shared" si="1"/>
        <v>-</v>
      </c>
      <c r="D17" s="627">
        <f>_xll.ciqfunctions.udf.CIQ(B17, "IQ_MARKETCAP", $A$1,$A$2)</f>
        <v>3530.3646100000001</v>
      </c>
      <c r="E17" s="627">
        <f>_xll.ciqfunctions.udf.CIQ($B17, "IQ_TEV", $A$1,$A$2)</f>
        <v>4740.9122799999996</v>
      </c>
      <c r="F17" s="628" t="str">
        <f t="shared" si="2"/>
        <v>-</v>
      </c>
      <c r="G17" s="628" t="str">
        <f t="shared" si="2"/>
        <v>-</v>
      </c>
      <c r="H17" s="627" t="str">
        <f t="shared" si="3"/>
        <v>-</v>
      </c>
      <c r="I17" s="627" t="str">
        <f t="shared" si="3"/>
        <v>-</v>
      </c>
      <c r="J17" s="359" t="str">
        <f t="shared" si="3"/>
        <v>-</v>
      </c>
      <c r="K17" s="629" t="str">
        <f t="shared" si="4"/>
        <v>-</v>
      </c>
      <c r="L17" s="629" t="str">
        <f t="shared" si="4"/>
        <v>-</v>
      </c>
      <c r="M17" s="630" t="str">
        <f t="shared" si="5"/>
        <v>-</v>
      </c>
      <c r="N17" s="631" t="str">
        <f t="shared" si="6"/>
        <v>-</v>
      </c>
      <c r="O17" s="359" t="str">
        <f t="shared" si="7"/>
        <v>-</v>
      </c>
      <c r="P17" s="632" t="str">
        <f t="shared" si="7"/>
        <v>-</v>
      </c>
      <c r="Q17" s="359" t="str">
        <f t="shared" si="7"/>
        <v>-</v>
      </c>
      <c r="R17" s="629" t="str">
        <f t="shared" si="8"/>
        <v>-</v>
      </c>
      <c r="S17" s="629" t="str">
        <f t="shared" si="8"/>
        <v>-</v>
      </c>
      <c r="T17" s="630" t="str">
        <f t="shared" si="9"/>
        <v>-</v>
      </c>
      <c r="U17" s="631" t="str">
        <f t="shared" si="10"/>
        <v>-</v>
      </c>
      <c r="V17" s="359" t="str">
        <f t="shared" si="11"/>
        <v>-</v>
      </c>
      <c r="W17" s="360" t="str">
        <f t="shared" si="11"/>
        <v>-</v>
      </c>
      <c r="X17" s="359" t="str">
        <f t="shared" si="12"/>
        <v>-</v>
      </c>
      <c r="Y17" s="360" t="str">
        <f t="shared" si="12"/>
        <v>-</v>
      </c>
      <c r="Z17" s="359" t="str">
        <f t="shared" si="13"/>
        <v>-</v>
      </c>
      <c r="AA17" s="360" t="str">
        <f t="shared" si="13"/>
        <v>-</v>
      </c>
      <c r="AB17" s="698"/>
      <c r="AC17" s="567" t="str">
        <f t="shared" si="15"/>
        <v>-</v>
      </c>
      <c r="AD17" s="568" t="str">
        <f t="shared" si="16"/>
        <v>-</v>
      </c>
      <c r="AE17" s="699" t="str">
        <f t="shared" si="14"/>
        <v>TSX:SSRM_2023_Tech</v>
      </c>
      <c r="AF17" s="699"/>
      <c r="AG17" s="703" t="str" cm="1">
        <f t="array" ref="AG17">IFERROR(INDEX('Import 2023 Data'!$E$4:$I$113,_xlfn.XMATCH(Tech!$AE17,'Import 2023 Data'!$C$4:$C$113),_xlfn.XMATCH(Tech!AG$5,'Import 2023 Data'!$E$3:$I$3)),"-")</f>
        <v>-</v>
      </c>
      <c r="AH17" s="699" t="str" cm="1">
        <f t="array" ref="AH17">IFERROR(INDEX('Import 2023 Data'!$E$4:$I$113,_xlfn.XMATCH(Tech!$AE17,'Import 2023 Data'!$C$4:$C$113),_xlfn.XMATCH(Tech!AH$5,'Import 2023 Data'!$E$3:$I$3)),"-")</f>
        <v>-</v>
      </c>
      <c r="AI17" s="704" t="str">
        <f>IF(ISNUMBER(_xlfn.XMATCH(C17,'Import 2023 Data'!$E$4:$E$113)),"N","Y")</f>
        <v>N</v>
      </c>
      <c r="AJ17" s="704" t="str">
        <f t="shared" si="17"/>
        <v>N</v>
      </c>
      <c r="AK17" s="699" t="str" cm="1">
        <f t="array" ref="AK17">IFERROR(INDEX('Import 2023 Data'!$E$4:$I$113,_xlfn.XMATCH(Tech!$AE17,'Import 2023 Data'!$C$4:$C$113),_xlfn.XMATCH(Tech!AK$5,'Import 2023 Data'!$E$3:$I$3)),"-")</f>
        <v>-</v>
      </c>
      <c r="AL17" s="705" t="str" cm="1">
        <f t="array" ref="AL17">IFERROR(INDEX('Import 2023 Data'!$E$4:$I$113,_xlfn.XMATCH(Tech!$AE17,'Import 2023 Data'!$C$4:$C$113),_xlfn.XMATCH(Tech!AL$5,'Import 2023 Data'!$E$3:$I$3)),"-")</f>
        <v>-</v>
      </c>
      <c r="AM17" s="706" t="str" cm="1">
        <f t="array" ref="AM17">IFERROR(INDEX('Import 2023 Data'!$E$4:$I$113,_xlfn.XMATCH(Tech!$AE17,'Import 2023 Data'!$C$4:$C$113),_xlfn.XMATCH(Tech!AM$5,'Import 2023 Data'!$E$3:$I$3)),"-")</f>
        <v>-</v>
      </c>
      <c r="AN17" s="1081" t="str">
        <f t="shared" ref="AN17:AN26" si="19">IFERROR(IF(AJ17="Y","New Incumbent",W17/AM17-1),"-")</f>
        <v>-</v>
      </c>
    </row>
    <row r="18" spans="1:40" ht="20.25" hidden="1" customHeight="1">
      <c r="A18" s="12" t="str">
        <f t="shared" si="0"/>
        <v>TSX:OGC
_2024_Tech</v>
      </c>
      <c r="B18" s="12" t="str">
        <f>'Raw Data'!D16</f>
        <v xml:space="preserve">TSX:OGC
</v>
      </c>
      <c r="C18" s="626" t="str">
        <f t="shared" si="1"/>
        <v>-</v>
      </c>
      <c r="D18" s="627">
        <f>_xll.ciqfunctions.udf.CIQ(B18, "IQ_MARKETCAP", $A$1,$A$2)</f>
        <v>4453.8089300000001</v>
      </c>
      <c r="E18" s="627">
        <f>_xll.ciqfunctions.udf.CIQ($B18, "IQ_TEV", $A$1,$A$2)</f>
        <v>4363.2558799999997</v>
      </c>
      <c r="F18" s="628" t="str">
        <f t="shared" si="2"/>
        <v>-</v>
      </c>
      <c r="G18" s="628" t="str">
        <f t="shared" si="2"/>
        <v>-</v>
      </c>
      <c r="H18" s="627" t="str">
        <f t="shared" si="3"/>
        <v>-</v>
      </c>
      <c r="I18" s="627" t="str">
        <f t="shared" si="3"/>
        <v>-</v>
      </c>
      <c r="J18" s="359" t="str">
        <f t="shared" si="3"/>
        <v>-</v>
      </c>
      <c r="K18" s="629" t="str">
        <f t="shared" si="4"/>
        <v>-</v>
      </c>
      <c r="L18" s="629" t="str">
        <f t="shared" si="4"/>
        <v>-</v>
      </c>
      <c r="M18" s="630" t="str">
        <f t="shared" si="5"/>
        <v>-</v>
      </c>
      <c r="N18" s="631" t="str">
        <f t="shared" si="6"/>
        <v>-</v>
      </c>
      <c r="O18" s="359" t="str">
        <f t="shared" si="7"/>
        <v>-</v>
      </c>
      <c r="P18" s="632" t="str">
        <f t="shared" si="7"/>
        <v>-</v>
      </c>
      <c r="Q18" s="359" t="str">
        <f t="shared" si="7"/>
        <v>-</v>
      </c>
      <c r="R18" s="629" t="str">
        <f t="shared" si="8"/>
        <v>-</v>
      </c>
      <c r="S18" s="629" t="str">
        <f t="shared" si="8"/>
        <v>-</v>
      </c>
      <c r="T18" s="630" t="str">
        <f t="shared" si="9"/>
        <v>-</v>
      </c>
      <c r="U18" s="631" t="str">
        <f t="shared" si="10"/>
        <v>-</v>
      </c>
      <c r="V18" s="359" t="str">
        <f t="shared" si="11"/>
        <v>-</v>
      </c>
      <c r="W18" s="360" t="str">
        <f t="shared" si="11"/>
        <v>-</v>
      </c>
      <c r="X18" s="359" t="str">
        <f t="shared" si="12"/>
        <v>-</v>
      </c>
      <c r="Y18" s="360" t="str">
        <f t="shared" si="12"/>
        <v>-</v>
      </c>
      <c r="Z18" s="359" t="str">
        <f t="shared" si="13"/>
        <v>-</v>
      </c>
      <c r="AA18" s="360" t="str">
        <f t="shared" si="13"/>
        <v>-</v>
      </c>
      <c r="AB18" s="698"/>
      <c r="AC18" s="567" t="str">
        <f t="shared" si="15"/>
        <v>-</v>
      </c>
      <c r="AD18" s="568" t="str">
        <f t="shared" si="16"/>
        <v>-</v>
      </c>
      <c r="AE18" s="699" t="str">
        <f t="shared" si="14"/>
        <v>TSX:OGC
_2023_Tech</v>
      </c>
      <c r="AF18" s="699"/>
      <c r="AG18" s="703" t="str" cm="1">
        <f t="array" ref="AG18">IFERROR(INDEX('Import 2023 Data'!$E$4:$I$113,_xlfn.XMATCH(Tech!$AE18,'Import 2023 Data'!$C$4:$C$113),_xlfn.XMATCH(Tech!AG$5,'Import 2023 Data'!$E$3:$I$3)),"-")</f>
        <v>-</v>
      </c>
      <c r="AH18" s="699" t="str" cm="1">
        <f t="array" ref="AH18">IFERROR(INDEX('Import 2023 Data'!$E$4:$I$113,_xlfn.XMATCH(Tech!$AE18,'Import 2023 Data'!$C$4:$C$113),_xlfn.XMATCH(Tech!AH$5,'Import 2023 Data'!$E$3:$I$3)),"-")</f>
        <v>-</v>
      </c>
      <c r="AI18" s="704" t="str">
        <f>IF(ISNUMBER(_xlfn.XMATCH(C18,'Import 2023 Data'!$E$4:$E$113)),"N","Y")</f>
        <v>N</v>
      </c>
      <c r="AJ18" s="704" t="str">
        <f t="shared" si="17"/>
        <v>N</v>
      </c>
      <c r="AK18" s="699" t="str" cm="1">
        <f t="array" ref="AK18">IFERROR(INDEX('Import 2023 Data'!$E$4:$I$113,_xlfn.XMATCH(Tech!$AE18,'Import 2023 Data'!$C$4:$C$113),_xlfn.XMATCH(Tech!AK$5,'Import 2023 Data'!$E$3:$I$3)),"-")</f>
        <v>-</v>
      </c>
      <c r="AL18" s="724" t="str" cm="1">
        <f t="array" ref="AL18">IFERROR(INDEX('Import 2023 Data'!$E$4:$I$113,_xlfn.XMATCH(Tech!$AE18,'Import 2023 Data'!$C$4:$C$113),_xlfn.XMATCH(Tech!AL$5,'Import 2023 Data'!$E$3:$I$3)),"-")</f>
        <v>-</v>
      </c>
      <c r="AM18" s="725" t="str" cm="1">
        <f t="array" ref="AM18">IFERROR(INDEX('Import 2023 Data'!$E$4:$I$113,_xlfn.XMATCH(Tech!$AE18,'Import 2023 Data'!$C$4:$C$113),_xlfn.XMATCH(Tech!AM$5,'Import 2023 Data'!$E$3:$I$3)),"-")</f>
        <v>-</v>
      </c>
      <c r="AN18" s="1081" t="str">
        <f t="shared" si="19"/>
        <v>-</v>
      </c>
    </row>
    <row r="19" spans="1:40" ht="20.25" hidden="1" customHeight="1">
      <c r="A19" s="12" t="str">
        <f t="shared" si="0"/>
        <v>TSX:ERO_2024_Tech</v>
      </c>
      <c r="B19" s="12" t="str">
        <f>'Raw Data'!D17</f>
        <v>TSX:ERO</v>
      </c>
      <c r="C19" s="626" t="str">
        <f t="shared" si="1"/>
        <v>-</v>
      </c>
      <c r="D19" s="627">
        <f>_xll.ciqfunctions.udf.CIQ(B19, "IQ_MARKETCAP", $A$1,$A$2)</f>
        <v>2080.7628100000002</v>
      </c>
      <c r="E19" s="627">
        <f>_xll.ciqfunctions.udf.CIQ($B19, "IQ_TEV", $A$1,$A$2)</f>
        <v>2927.2829099999999</v>
      </c>
      <c r="F19" s="628" t="str">
        <f t="shared" si="2"/>
        <v>-</v>
      </c>
      <c r="G19" s="628" t="str">
        <f t="shared" si="2"/>
        <v>-</v>
      </c>
      <c r="H19" s="627" t="str">
        <f t="shared" si="3"/>
        <v>-</v>
      </c>
      <c r="I19" s="627" t="str">
        <f t="shared" si="3"/>
        <v>-</v>
      </c>
      <c r="J19" s="359" t="str">
        <f t="shared" si="3"/>
        <v>-</v>
      </c>
      <c r="K19" s="629" t="str">
        <f t="shared" si="4"/>
        <v>-</v>
      </c>
      <c r="L19" s="629" t="str">
        <f t="shared" si="4"/>
        <v>-</v>
      </c>
      <c r="M19" s="630" t="str">
        <f t="shared" si="5"/>
        <v>-</v>
      </c>
      <c r="N19" s="631" t="str">
        <f t="shared" si="6"/>
        <v>-</v>
      </c>
      <c r="O19" s="359" t="str">
        <f t="shared" si="7"/>
        <v>-</v>
      </c>
      <c r="P19" s="632" t="str">
        <f t="shared" si="7"/>
        <v>-</v>
      </c>
      <c r="Q19" s="359" t="str">
        <f t="shared" si="7"/>
        <v>-</v>
      </c>
      <c r="R19" s="629" t="str">
        <f t="shared" si="8"/>
        <v>-</v>
      </c>
      <c r="S19" s="629" t="str">
        <f t="shared" si="8"/>
        <v>-</v>
      </c>
      <c r="T19" s="630" t="str">
        <f t="shared" si="9"/>
        <v>-</v>
      </c>
      <c r="U19" s="631" t="str">
        <f t="shared" si="10"/>
        <v>-</v>
      </c>
      <c r="V19" s="359" t="str">
        <f t="shared" si="11"/>
        <v>-</v>
      </c>
      <c r="W19" s="360" t="str">
        <f t="shared" si="11"/>
        <v>-</v>
      </c>
      <c r="X19" s="359" t="str">
        <f t="shared" si="12"/>
        <v>-</v>
      </c>
      <c r="Y19" s="360" t="str">
        <f t="shared" si="12"/>
        <v>-</v>
      </c>
      <c r="Z19" s="359" t="str">
        <f t="shared" si="13"/>
        <v>-</v>
      </c>
      <c r="AA19" s="360" t="str">
        <f t="shared" si="13"/>
        <v>-</v>
      </c>
      <c r="AB19" s="698"/>
      <c r="AC19" s="567" t="str">
        <f t="shared" si="15"/>
        <v>-</v>
      </c>
      <c r="AD19" s="568" t="str">
        <f t="shared" si="16"/>
        <v>-</v>
      </c>
      <c r="AE19" s="699" t="str">
        <f t="shared" si="14"/>
        <v>TSX:ERO_2023_Tech</v>
      </c>
      <c r="AF19" s="699"/>
      <c r="AG19" s="703" t="str" cm="1">
        <f t="array" ref="AG19">IFERROR(INDEX('Import 2023 Data'!$E$4:$I$113,_xlfn.XMATCH(Tech!$AE19,'Import 2023 Data'!$C$4:$C$113),_xlfn.XMATCH(Tech!AG$5,'Import 2023 Data'!$E$3:$I$3)),"-")</f>
        <v>Ero Copper Corp.</v>
      </c>
      <c r="AH19" s="699" t="str" cm="1">
        <f t="array" ref="AH19">IFERROR(INDEX('Import 2023 Data'!$E$4:$I$113,_xlfn.XMATCH(Tech!$AE19,'Import 2023 Data'!$C$4:$C$113),_xlfn.XMATCH(Tech!AH$5,'Import 2023 Data'!$E$3:$I$3)),"-")</f>
        <v xml:space="preserve">Michael Richard </v>
      </c>
      <c r="AI19" s="704" t="str">
        <f>IF(ISNUMBER(_xlfn.XMATCH(C19,'Import 2023 Data'!$E$4:$E$113)),"N","Y")</f>
        <v>N</v>
      </c>
      <c r="AJ19" s="704" t="str">
        <f t="shared" si="17"/>
        <v>Y</v>
      </c>
      <c r="AK19" s="699" t="str" cm="1">
        <f t="array" ref="AK19">IFERROR(INDEX('Import 2023 Data'!$E$4:$I$113,_xlfn.XMATCH(Tech!$AE19,'Import 2023 Data'!$C$4:$C$113),_xlfn.XMATCH(Tech!AK$5,'Import 2023 Data'!$E$3:$I$3)),"-")</f>
        <v>Chief Geological Officer</v>
      </c>
      <c r="AL19" s="705" cm="1">
        <f t="array" ref="AL19">IFERROR(INDEX('Import 2023 Data'!$E$4:$I$113,_xlfn.XMATCH(Tech!$AE19,'Import 2023 Data'!$C$4:$C$113),_xlfn.XMATCH(Tech!AL$5,'Import 2023 Data'!$E$3:$I$3)),"-")</f>
        <v>1951.1001540800003</v>
      </c>
      <c r="AM19" s="706" cm="1">
        <f t="array" ref="AM19">IFERROR(INDEX('Import 2023 Data'!$E$4:$I$113,_xlfn.XMATCH(Tech!$AE19,'Import 2023 Data'!$C$4:$C$113),_xlfn.XMATCH(Tech!AM$5,'Import 2023 Data'!$E$3:$I$3)),"-")</f>
        <v>1695.0709615429266</v>
      </c>
      <c r="AN19" s="1081" t="str">
        <f t="shared" si="19"/>
        <v>New Incumbent</v>
      </c>
    </row>
    <row r="20" spans="1:40" ht="20.25" hidden="1" customHeight="1">
      <c r="A20" s="12" t="str">
        <f t="shared" si="0"/>
        <v>TSX:CG_2024_Tech</v>
      </c>
      <c r="B20" s="12" t="str">
        <f>'Raw Data'!D18</f>
        <v>TSX:CG</v>
      </c>
      <c r="C20" s="626" t="str">
        <f t="shared" si="1"/>
        <v>-</v>
      </c>
      <c r="D20" s="627">
        <f>_xll.ciqfunctions.udf.CIQ(B20, "IQ_MARKETCAP", $A$1,$A$2)</f>
        <v>2054.8528000000001</v>
      </c>
      <c r="E20" s="627">
        <f>_xll.ciqfunctions.udf.CIQ($B20, "IQ_TEV", $A$1,$A$2)</f>
        <v>1190.4233200000001</v>
      </c>
      <c r="F20" s="628" t="str">
        <f t="shared" si="2"/>
        <v>-</v>
      </c>
      <c r="G20" s="628" t="str">
        <f t="shared" si="2"/>
        <v>-</v>
      </c>
      <c r="H20" s="627" t="str">
        <f t="shared" si="3"/>
        <v>-</v>
      </c>
      <c r="I20" s="627" t="str">
        <f t="shared" si="3"/>
        <v>-</v>
      </c>
      <c r="J20" s="359" t="str">
        <f t="shared" si="3"/>
        <v>-</v>
      </c>
      <c r="K20" s="629" t="str">
        <f t="shared" si="4"/>
        <v>-</v>
      </c>
      <c r="L20" s="629" t="str">
        <f t="shared" si="4"/>
        <v>-</v>
      </c>
      <c r="M20" s="630" t="str">
        <f t="shared" si="5"/>
        <v>-</v>
      </c>
      <c r="N20" s="631" t="str">
        <f t="shared" si="6"/>
        <v>-</v>
      </c>
      <c r="O20" s="359" t="str">
        <f t="shared" si="7"/>
        <v>-</v>
      </c>
      <c r="P20" s="632" t="str">
        <f t="shared" si="7"/>
        <v>-</v>
      </c>
      <c r="Q20" s="359" t="str">
        <f t="shared" si="7"/>
        <v>-</v>
      </c>
      <c r="R20" s="629" t="str">
        <f t="shared" si="8"/>
        <v>-</v>
      </c>
      <c r="S20" s="629" t="str">
        <f t="shared" si="8"/>
        <v>-</v>
      </c>
      <c r="T20" s="630" t="str">
        <f t="shared" si="9"/>
        <v>-</v>
      </c>
      <c r="U20" s="631" t="str">
        <f t="shared" si="10"/>
        <v>-</v>
      </c>
      <c r="V20" s="359" t="str">
        <f t="shared" si="11"/>
        <v>-</v>
      </c>
      <c r="W20" s="360" t="str">
        <f t="shared" si="11"/>
        <v>-</v>
      </c>
      <c r="X20" s="359" t="str">
        <f t="shared" si="12"/>
        <v>-</v>
      </c>
      <c r="Y20" s="360" t="str">
        <f t="shared" si="12"/>
        <v>-</v>
      </c>
      <c r="Z20" s="359" t="str">
        <f t="shared" si="13"/>
        <v>-</v>
      </c>
      <c r="AA20" s="360" t="str">
        <f t="shared" si="13"/>
        <v>-</v>
      </c>
      <c r="AB20" s="698"/>
      <c r="AC20" s="567" t="str">
        <f t="shared" si="15"/>
        <v>-</v>
      </c>
      <c r="AD20" s="568" t="str">
        <f t="shared" si="16"/>
        <v>-</v>
      </c>
      <c r="AE20" s="699" t="str">
        <f t="shared" si="14"/>
        <v>TSX:CG_2023_Tech</v>
      </c>
      <c r="AF20" s="699"/>
      <c r="AG20" s="707" t="str" cm="1">
        <f t="array" ref="AG20">IFERROR(INDEX('Import 2023 Data'!$E$4:$I$113,_xlfn.XMATCH(Tech!$AE20,'Import 2023 Data'!$C$4:$C$113),_xlfn.XMATCH(Tech!AG$5,'Import 2023 Data'!$E$3:$I$3)),"-")</f>
        <v>-</v>
      </c>
      <c r="AH20" s="708" t="str" cm="1">
        <f t="array" ref="AH20">IFERROR(INDEX('Import 2023 Data'!$E$4:$I$113,_xlfn.XMATCH(Tech!$AE20,'Import 2023 Data'!$C$4:$C$113),_xlfn.XMATCH(Tech!AH$5,'Import 2023 Data'!$E$3:$I$3)),"-")</f>
        <v>-</v>
      </c>
      <c r="AI20" s="709" t="str">
        <f>IF(ISNUMBER(_xlfn.XMATCH(C20,'Import 2023 Data'!$E$4:$E$113)),"N","Y")</f>
        <v>N</v>
      </c>
      <c r="AJ20" s="709" t="str">
        <f t="shared" si="17"/>
        <v>N</v>
      </c>
      <c r="AK20" s="708" t="str" cm="1">
        <f t="array" ref="AK20">IFERROR(INDEX('Import 2023 Data'!$E$4:$I$113,_xlfn.XMATCH(Tech!$AE20,'Import 2023 Data'!$C$4:$C$113),_xlfn.XMATCH(Tech!AK$5,'Import 2023 Data'!$E$3:$I$3)),"-")</f>
        <v>-</v>
      </c>
      <c r="AL20" s="726" t="str" cm="1">
        <f t="array" ref="AL20">IFERROR(INDEX('Import 2023 Data'!$E$4:$I$113,_xlfn.XMATCH(Tech!$AE20,'Import 2023 Data'!$C$4:$C$113),_xlfn.XMATCH(Tech!AL$5,'Import 2023 Data'!$E$3:$I$3)),"-")</f>
        <v>-</v>
      </c>
      <c r="AM20" s="727" t="str" cm="1">
        <f t="array" ref="AM20">IFERROR(INDEX('Import 2023 Data'!$E$4:$I$113,_xlfn.XMATCH(Tech!$AE20,'Import 2023 Data'!$C$4:$C$113),_xlfn.XMATCH(Tech!AM$5,'Import 2023 Data'!$E$3:$I$3)),"-")</f>
        <v>-</v>
      </c>
      <c r="AN20" s="1082" t="str">
        <f t="shared" si="19"/>
        <v>-</v>
      </c>
    </row>
    <row r="21" spans="1:40" ht="20.25" hidden="1" customHeight="1" outlineLevel="1">
      <c r="A21" s="12" t="str">
        <f t="shared" si="0"/>
        <v>0_2024_Tech</v>
      </c>
      <c r="B21" s="12">
        <f>'Raw Data'!D19</f>
        <v>0</v>
      </c>
      <c r="C21" s="626" t="str">
        <f t="shared" si="1"/>
        <v>-</v>
      </c>
      <c r="D21" s="627" t="str">
        <f>_xll.ciqfunctions.udf.CIQ(B21, "IQ_MARKETCAP", $A$1,$A$2)</f>
        <v>(Invalid Identifier)</v>
      </c>
      <c r="E21" s="627" t="str">
        <f>_xll.ciqfunctions.udf.CIQ($B21, "IQ_TEV", $A$1,$A$2)</f>
        <v>(Invalid Identifier)</v>
      </c>
      <c r="F21" s="628" t="str">
        <f t="shared" si="2"/>
        <v>-</v>
      </c>
      <c r="G21" s="628" t="str">
        <f t="shared" si="2"/>
        <v>-</v>
      </c>
      <c r="H21" s="627" t="str">
        <f t="shared" si="3"/>
        <v>-</v>
      </c>
      <c r="I21" s="627" t="str">
        <f t="shared" si="3"/>
        <v>-</v>
      </c>
      <c r="J21" s="359" t="str">
        <f t="shared" si="3"/>
        <v>-</v>
      </c>
      <c r="K21" s="629" t="str">
        <f t="shared" si="4"/>
        <v>-</v>
      </c>
      <c r="L21" s="629" t="str">
        <f t="shared" si="4"/>
        <v>-</v>
      </c>
      <c r="M21" s="630" t="str">
        <f t="shared" si="5"/>
        <v>-</v>
      </c>
      <c r="N21" s="631" t="str">
        <f t="shared" si="6"/>
        <v>-</v>
      </c>
      <c r="O21" s="359" t="str">
        <f t="shared" si="7"/>
        <v>-</v>
      </c>
      <c r="P21" s="632" t="str">
        <f t="shared" si="7"/>
        <v>-</v>
      </c>
      <c r="Q21" s="359" t="str">
        <f t="shared" si="7"/>
        <v>-</v>
      </c>
      <c r="R21" s="629" t="str">
        <f t="shared" si="8"/>
        <v>-</v>
      </c>
      <c r="S21" s="629" t="str">
        <f t="shared" si="8"/>
        <v>-</v>
      </c>
      <c r="T21" s="630" t="str">
        <f t="shared" si="9"/>
        <v>-</v>
      </c>
      <c r="U21" s="631" t="str">
        <f t="shared" si="10"/>
        <v>-</v>
      </c>
      <c r="V21" s="359" t="str">
        <f t="shared" si="11"/>
        <v>-</v>
      </c>
      <c r="W21" s="360" t="str">
        <f t="shared" si="11"/>
        <v>-</v>
      </c>
      <c r="X21" s="359" t="str">
        <f t="shared" si="12"/>
        <v>-</v>
      </c>
      <c r="Y21" s="360" t="str">
        <f t="shared" si="12"/>
        <v>-</v>
      </c>
      <c r="Z21" s="359" t="str">
        <f t="shared" si="13"/>
        <v>-</v>
      </c>
      <c r="AA21" s="360" t="str">
        <f t="shared" si="13"/>
        <v>-</v>
      </c>
      <c r="AB21" s="698"/>
      <c r="AC21" s="567" t="str">
        <f t="shared" si="15"/>
        <v>-</v>
      </c>
      <c r="AD21" s="568" t="str">
        <f t="shared" si="16"/>
        <v>-</v>
      </c>
      <c r="AE21" s="699" t="str">
        <f t="shared" si="14"/>
        <v>0_2023_Tech</v>
      </c>
      <c r="AF21" s="699"/>
      <c r="AG21" s="703" t="str" cm="1">
        <f t="array" ref="AG21">IFERROR(INDEX('Import 2023 Data'!$E$4:$I$113,_xlfn.XMATCH(Tech!$AE21,'Import 2023 Data'!$C$4:$C$113),_xlfn.XMATCH(Tech!AG$5,'Import 2023 Data'!$E$3:$I$3)),"-")</f>
        <v>-</v>
      </c>
      <c r="AH21" s="699" t="str" cm="1">
        <f t="array" ref="AH21">IFERROR(INDEX('Import 2023 Data'!$E$4:$I$113,_xlfn.XMATCH(Tech!$AE21,'Import 2023 Data'!$C$4:$C$113),_xlfn.XMATCH(Tech!AH$5,'Import 2023 Data'!$E$3:$I$3)),"-")</f>
        <v>-</v>
      </c>
      <c r="AI21" s="699"/>
      <c r="AJ21" s="704" t="str">
        <f t="shared" si="17"/>
        <v>N</v>
      </c>
      <c r="AK21" s="699" t="str" cm="1">
        <f t="array" ref="AK21">IFERROR(INDEX('Import 2023 Data'!$E$4:$I$113,_xlfn.XMATCH(Tech!$AE21,'Import 2023 Data'!$C$4:$C$113),_xlfn.XMATCH(Tech!AK$5,'Import 2023 Data'!$E$3:$I$3)),"-")</f>
        <v>-</v>
      </c>
      <c r="AL21" s="698" t="str" cm="1">
        <f t="array" ref="AL21">IFERROR(INDEX('Import 2023 Data'!$E$4:$I$113,_xlfn.XMATCH(Tech!$AE21,'Import 2023 Data'!$C$4:$C$113),_xlfn.XMATCH(Tech!AL$5,'Import 2023 Data'!$E$3:$I$3)),"-")</f>
        <v>-</v>
      </c>
      <c r="AM21" s="698" t="str" cm="1">
        <f t="array" ref="AM21">IFERROR(INDEX('Import 2023 Data'!$E$4:$I$113,_xlfn.XMATCH(Tech!$AE21,'Import 2023 Data'!$C$4:$C$113),_xlfn.XMATCH(Tech!AM$5,'Import 2023 Data'!$E$3:$I$3)),"-")</f>
        <v>-</v>
      </c>
      <c r="AN21" s="1081" t="str">
        <f t="shared" si="19"/>
        <v>-</v>
      </c>
    </row>
    <row r="22" spans="1:40" ht="20.25" hidden="1" customHeight="1" outlineLevel="1">
      <c r="A22" s="12" t="str">
        <f t="shared" si="0"/>
        <v>0_2024_Tech</v>
      </c>
      <c r="B22" s="12">
        <f>'Raw Data'!D20</f>
        <v>0</v>
      </c>
      <c r="C22" s="626" t="str">
        <f t="shared" si="1"/>
        <v>-</v>
      </c>
      <c r="D22" s="627" t="str">
        <f>_xll.ciqfunctions.udf.CIQ(B22, "IQ_MARKETCAP", $A$1,$A$2)</f>
        <v>(Invalid Identifier)</v>
      </c>
      <c r="E22" s="627" t="str">
        <f>_xll.ciqfunctions.udf.CIQ($B22, "IQ_TEV", $A$1,$A$2)</f>
        <v>(Invalid Identifier)</v>
      </c>
      <c r="F22" s="628" t="str">
        <f t="shared" si="2"/>
        <v>-</v>
      </c>
      <c r="G22" s="628" t="str">
        <f t="shared" si="2"/>
        <v>-</v>
      </c>
      <c r="H22" s="627" t="str">
        <f t="shared" si="3"/>
        <v>-</v>
      </c>
      <c r="I22" s="627" t="str">
        <f t="shared" si="3"/>
        <v>-</v>
      </c>
      <c r="J22" s="359" t="str">
        <f t="shared" si="3"/>
        <v>-</v>
      </c>
      <c r="K22" s="629" t="str">
        <f t="shared" si="4"/>
        <v>-</v>
      </c>
      <c r="L22" s="629" t="str">
        <f t="shared" si="4"/>
        <v>-</v>
      </c>
      <c r="M22" s="630" t="str">
        <f t="shared" si="5"/>
        <v>-</v>
      </c>
      <c r="N22" s="631" t="str">
        <f t="shared" si="6"/>
        <v>-</v>
      </c>
      <c r="O22" s="359" t="str">
        <f t="shared" si="7"/>
        <v>-</v>
      </c>
      <c r="P22" s="632" t="str">
        <f t="shared" si="7"/>
        <v>-</v>
      </c>
      <c r="Q22" s="359" t="str">
        <f t="shared" si="7"/>
        <v>-</v>
      </c>
      <c r="R22" s="629" t="str">
        <f t="shared" si="8"/>
        <v>-</v>
      </c>
      <c r="S22" s="629" t="str">
        <f t="shared" si="8"/>
        <v>-</v>
      </c>
      <c r="T22" s="630" t="str">
        <f t="shared" si="9"/>
        <v>-</v>
      </c>
      <c r="U22" s="631" t="str">
        <f t="shared" si="10"/>
        <v>-</v>
      </c>
      <c r="V22" s="359" t="str">
        <f t="shared" si="11"/>
        <v>-</v>
      </c>
      <c r="W22" s="360" t="str">
        <f t="shared" si="11"/>
        <v>-</v>
      </c>
      <c r="X22" s="359" t="str">
        <f t="shared" si="12"/>
        <v>-</v>
      </c>
      <c r="Y22" s="360" t="str">
        <f t="shared" si="12"/>
        <v>-</v>
      </c>
      <c r="Z22" s="359" t="str">
        <f t="shared" si="13"/>
        <v>-</v>
      </c>
      <c r="AA22" s="360" t="str">
        <f t="shared" si="13"/>
        <v>-</v>
      </c>
      <c r="AB22" s="698"/>
      <c r="AC22" s="567" t="str">
        <f t="shared" si="15"/>
        <v>-</v>
      </c>
      <c r="AD22" s="568" t="str">
        <f t="shared" si="16"/>
        <v>-</v>
      </c>
      <c r="AE22" s="699" t="str">
        <f t="shared" si="14"/>
        <v>0_2023_Tech</v>
      </c>
      <c r="AF22" s="699"/>
      <c r="AG22" s="703" t="str" cm="1">
        <f t="array" ref="AG22">IFERROR(INDEX('Import 2023 Data'!$E$4:$I$113,_xlfn.XMATCH(Tech!$AE22,'Import 2023 Data'!$C$4:$C$113),_xlfn.XMATCH(Tech!AG$5,'Import 2023 Data'!$E$3:$I$3)),"-")</f>
        <v>-</v>
      </c>
      <c r="AH22" s="699" t="str" cm="1">
        <f t="array" ref="AH22">IFERROR(INDEX('Import 2023 Data'!$E$4:$I$113,_xlfn.XMATCH(Tech!$AE22,'Import 2023 Data'!$C$4:$C$113),_xlfn.XMATCH(Tech!AH$5,'Import 2023 Data'!$E$3:$I$3)),"-")</f>
        <v>-</v>
      </c>
      <c r="AI22" s="699"/>
      <c r="AJ22" s="704" t="str">
        <f t="shared" si="17"/>
        <v>N</v>
      </c>
      <c r="AK22" s="699" t="str" cm="1">
        <f t="array" ref="AK22">IFERROR(INDEX('Import 2023 Data'!$E$4:$I$113,_xlfn.XMATCH(Tech!$AE22,'Import 2023 Data'!$C$4:$C$113),_xlfn.XMATCH(Tech!AK$5,'Import 2023 Data'!$E$3:$I$3)),"-")</f>
        <v>-</v>
      </c>
      <c r="AL22" s="698" t="str" cm="1">
        <f t="array" ref="AL22">IFERROR(INDEX('Import 2023 Data'!$E$4:$I$113,_xlfn.XMATCH(Tech!$AE22,'Import 2023 Data'!$C$4:$C$113),_xlfn.XMATCH(Tech!AL$5,'Import 2023 Data'!$E$3:$I$3)),"-")</f>
        <v>-</v>
      </c>
      <c r="AM22" s="698" t="str" cm="1">
        <f t="array" ref="AM22">IFERROR(INDEX('Import 2023 Data'!$E$4:$I$113,_xlfn.XMATCH(Tech!$AE22,'Import 2023 Data'!$C$4:$C$113),_xlfn.XMATCH(Tech!AM$5,'Import 2023 Data'!$E$3:$I$3)),"-")</f>
        <v>-</v>
      </c>
      <c r="AN22" s="1081" t="str">
        <f t="shared" si="19"/>
        <v>-</v>
      </c>
    </row>
    <row r="23" spans="1:40" ht="20.25" hidden="1" customHeight="1" outlineLevel="1">
      <c r="A23" s="12" t="str">
        <f t="shared" si="0"/>
        <v>0_2024_Tech</v>
      </c>
      <c r="B23" s="12">
        <f>'Raw Data'!D21</f>
        <v>0</v>
      </c>
      <c r="C23" s="626" t="str">
        <f t="shared" si="1"/>
        <v>-</v>
      </c>
      <c r="D23" s="627" t="str">
        <f>_xll.ciqfunctions.udf.CIQ(B23, "IQ_MARKETCAP", $A$1,$A$2)</f>
        <v>(Invalid Identifier)</v>
      </c>
      <c r="E23" s="627" t="str">
        <f>_xll.ciqfunctions.udf.CIQ($B23, "IQ_TEV", $A$1,$A$2)</f>
        <v>(Invalid Identifier)</v>
      </c>
      <c r="F23" s="628" t="str">
        <f t="shared" si="2"/>
        <v>-</v>
      </c>
      <c r="G23" s="628" t="str">
        <f t="shared" si="2"/>
        <v>-</v>
      </c>
      <c r="H23" s="627" t="str">
        <f t="shared" si="3"/>
        <v>-</v>
      </c>
      <c r="I23" s="627" t="str">
        <f t="shared" si="3"/>
        <v>-</v>
      </c>
      <c r="J23" s="359" t="str">
        <f t="shared" si="3"/>
        <v>-</v>
      </c>
      <c r="K23" s="629" t="str">
        <f t="shared" si="4"/>
        <v>-</v>
      </c>
      <c r="L23" s="629" t="str">
        <f t="shared" si="4"/>
        <v>-</v>
      </c>
      <c r="M23" s="630" t="str">
        <f t="shared" si="5"/>
        <v>-</v>
      </c>
      <c r="N23" s="631" t="str">
        <f t="shared" si="6"/>
        <v>-</v>
      </c>
      <c r="O23" s="359" t="str">
        <f t="shared" si="7"/>
        <v>-</v>
      </c>
      <c r="P23" s="632" t="str">
        <f t="shared" si="7"/>
        <v>-</v>
      </c>
      <c r="Q23" s="359" t="str">
        <f t="shared" si="7"/>
        <v>-</v>
      </c>
      <c r="R23" s="629" t="str">
        <f t="shared" si="8"/>
        <v>-</v>
      </c>
      <c r="S23" s="629" t="str">
        <f t="shared" si="8"/>
        <v>-</v>
      </c>
      <c r="T23" s="630" t="str">
        <f t="shared" si="9"/>
        <v>-</v>
      </c>
      <c r="U23" s="631" t="str">
        <f t="shared" si="10"/>
        <v>-</v>
      </c>
      <c r="V23" s="359" t="str">
        <f t="shared" si="11"/>
        <v>-</v>
      </c>
      <c r="W23" s="360" t="str">
        <f t="shared" si="11"/>
        <v>-</v>
      </c>
      <c r="X23" s="359" t="str">
        <f t="shared" si="12"/>
        <v>-</v>
      </c>
      <c r="Y23" s="360" t="str">
        <f t="shared" si="12"/>
        <v>-</v>
      </c>
      <c r="Z23" s="359" t="str">
        <f t="shared" si="13"/>
        <v>-</v>
      </c>
      <c r="AA23" s="360" t="str">
        <f t="shared" si="13"/>
        <v>-</v>
      </c>
      <c r="AB23" s="698"/>
      <c r="AC23" s="567" t="str">
        <f t="shared" si="15"/>
        <v>-</v>
      </c>
      <c r="AD23" s="568" t="str">
        <f t="shared" si="16"/>
        <v>-</v>
      </c>
      <c r="AE23" s="699" t="str">
        <f t="shared" si="14"/>
        <v>0_2023_Tech</v>
      </c>
      <c r="AF23" s="699"/>
      <c r="AG23" s="703" t="str" cm="1">
        <f t="array" ref="AG23">IFERROR(INDEX('Import 2023 Data'!$E$4:$I$113,_xlfn.XMATCH(Tech!$AE23,'Import 2023 Data'!$C$4:$C$113),_xlfn.XMATCH(Tech!AG$5,'Import 2023 Data'!$E$3:$I$3)),"-")</f>
        <v>-</v>
      </c>
      <c r="AH23" s="699" t="str" cm="1">
        <f t="array" ref="AH23">IFERROR(INDEX('Import 2023 Data'!$E$4:$I$113,_xlfn.XMATCH(Tech!$AE23,'Import 2023 Data'!$C$4:$C$113),_xlfn.XMATCH(Tech!AH$5,'Import 2023 Data'!$E$3:$I$3)),"-")</f>
        <v>-</v>
      </c>
      <c r="AI23" s="699"/>
      <c r="AJ23" s="704" t="str">
        <f t="shared" si="17"/>
        <v>N</v>
      </c>
      <c r="AK23" s="699" t="str" cm="1">
        <f t="array" ref="AK23">IFERROR(INDEX('Import 2023 Data'!$E$4:$I$113,_xlfn.XMATCH(Tech!$AE23,'Import 2023 Data'!$C$4:$C$113),_xlfn.XMATCH(Tech!AK$5,'Import 2023 Data'!$E$3:$I$3)),"-")</f>
        <v>-</v>
      </c>
      <c r="AL23" s="698" t="str" cm="1">
        <f t="array" ref="AL23">IFERROR(INDEX('Import 2023 Data'!$E$4:$I$113,_xlfn.XMATCH(Tech!$AE23,'Import 2023 Data'!$C$4:$C$113),_xlfn.XMATCH(Tech!AL$5,'Import 2023 Data'!$E$3:$I$3)),"-")</f>
        <v>-</v>
      </c>
      <c r="AM23" s="698" t="str" cm="1">
        <f t="array" ref="AM23">IFERROR(INDEX('Import 2023 Data'!$E$4:$I$113,_xlfn.XMATCH(Tech!$AE23,'Import 2023 Data'!$C$4:$C$113),_xlfn.XMATCH(Tech!AM$5,'Import 2023 Data'!$E$3:$I$3)),"-")</f>
        <v>-</v>
      </c>
      <c r="AN23" s="1081" t="str">
        <f t="shared" si="19"/>
        <v>-</v>
      </c>
    </row>
    <row r="24" spans="1:40" ht="20.25" hidden="1" customHeight="1" outlineLevel="1">
      <c r="A24" s="12" t="str">
        <f t="shared" si="0"/>
        <v>0_2024_Tech</v>
      </c>
      <c r="B24" s="12">
        <f>'Raw Data'!D22</f>
        <v>0</v>
      </c>
      <c r="C24" s="626" t="str">
        <f t="shared" si="1"/>
        <v>-</v>
      </c>
      <c r="D24" s="627" t="str">
        <f>_xll.ciqfunctions.udf.CIQ(B24, "IQ_MARKETCAP", $A$1,$A$2)</f>
        <v>(Invalid Identifier)</v>
      </c>
      <c r="E24" s="627" t="str">
        <f>_xll.ciqfunctions.udf.CIQ($B24, "IQ_TEV", $A$1,$A$2)</f>
        <v>(Invalid Identifier)</v>
      </c>
      <c r="F24" s="628" t="str">
        <f t="shared" si="2"/>
        <v>-</v>
      </c>
      <c r="G24" s="628" t="str">
        <f t="shared" si="2"/>
        <v>-</v>
      </c>
      <c r="H24" s="627" t="str">
        <f t="shared" si="3"/>
        <v>-</v>
      </c>
      <c r="I24" s="627" t="str">
        <f t="shared" si="3"/>
        <v>-</v>
      </c>
      <c r="J24" s="359" t="str">
        <f t="shared" si="3"/>
        <v>-</v>
      </c>
      <c r="K24" s="629" t="str">
        <f t="shared" si="4"/>
        <v>-</v>
      </c>
      <c r="L24" s="629" t="str">
        <f t="shared" si="4"/>
        <v>-</v>
      </c>
      <c r="M24" s="630" t="str">
        <f t="shared" si="5"/>
        <v>-</v>
      </c>
      <c r="N24" s="631" t="str">
        <f t="shared" si="6"/>
        <v>-</v>
      </c>
      <c r="O24" s="359" t="str">
        <f t="shared" si="7"/>
        <v>-</v>
      </c>
      <c r="P24" s="632" t="str">
        <f t="shared" si="7"/>
        <v>-</v>
      </c>
      <c r="Q24" s="359" t="str">
        <f t="shared" si="7"/>
        <v>-</v>
      </c>
      <c r="R24" s="629" t="str">
        <f t="shared" si="8"/>
        <v>-</v>
      </c>
      <c r="S24" s="629" t="str">
        <f t="shared" si="8"/>
        <v>-</v>
      </c>
      <c r="T24" s="630" t="str">
        <f t="shared" si="9"/>
        <v>-</v>
      </c>
      <c r="U24" s="631" t="str">
        <f t="shared" si="10"/>
        <v>-</v>
      </c>
      <c r="V24" s="359" t="str">
        <f t="shared" si="11"/>
        <v>-</v>
      </c>
      <c r="W24" s="360" t="str">
        <f t="shared" si="11"/>
        <v>-</v>
      </c>
      <c r="X24" s="359" t="str">
        <f t="shared" si="12"/>
        <v>-</v>
      </c>
      <c r="Y24" s="360" t="str">
        <f t="shared" si="12"/>
        <v>-</v>
      </c>
      <c r="Z24" s="359" t="str">
        <f t="shared" si="13"/>
        <v>-</v>
      </c>
      <c r="AA24" s="360" t="str">
        <f t="shared" si="13"/>
        <v>-</v>
      </c>
      <c r="AB24" s="698"/>
      <c r="AC24" s="567" t="str">
        <f t="shared" si="15"/>
        <v>-</v>
      </c>
      <c r="AD24" s="568" t="str">
        <f t="shared" si="16"/>
        <v>-</v>
      </c>
      <c r="AE24" s="699" t="str">
        <f t="shared" si="14"/>
        <v>0_2023_Tech</v>
      </c>
      <c r="AF24" s="699"/>
      <c r="AG24" s="703" t="str" cm="1">
        <f t="array" ref="AG24">IFERROR(INDEX('Import 2023 Data'!$E$4:$I$113,_xlfn.XMATCH(Tech!$AE24,'Import 2023 Data'!$C$4:$C$113),_xlfn.XMATCH(Tech!AG$5,'Import 2023 Data'!$E$3:$I$3)),"-")</f>
        <v>-</v>
      </c>
      <c r="AH24" s="699" t="str" cm="1">
        <f t="array" ref="AH24">IFERROR(INDEX('Import 2023 Data'!$E$4:$I$113,_xlfn.XMATCH(Tech!$AE24,'Import 2023 Data'!$C$4:$C$113),_xlfn.XMATCH(Tech!AH$5,'Import 2023 Data'!$E$3:$I$3)),"-")</f>
        <v>-</v>
      </c>
      <c r="AI24" s="699"/>
      <c r="AJ24" s="704" t="str">
        <f t="shared" si="17"/>
        <v>N</v>
      </c>
      <c r="AK24" s="699" t="str" cm="1">
        <f t="array" ref="AK24">IFERROR(INDEX('Import 2023 Data'!$E$4:$I$113,_xlfn.XMATCH(Tech!$AE24,'Import 2023 Data'!$C$4:$C$113),_xlfn.XMATCH(Tech!AK$5,'Import 2023 Data'!$E$3:$I$3)),"-")</f>
        <v>-</v>
      </c>
      <c r="AL24" s="698" t="str" cm="1">
        <f t="array" ref="AL24">IFERROR(INDEX('Import 2023 Data'!$E$4:$I$113,_xlfn.XMATCH(Tech!$AE24,'Import 2023 Data'!$C$4:$C$113),_xlfn.XMATCH(Tech!AL$5,'Import 2023 Data'!$E$3:$I$3)),"-")</f>
        <v>-</v>
      </c>
      <c r="AM24" s="698" t="str" cm="1">
        <f t="array" ref="AM24">IFERROR(INDEX('Import 2023 Data'!$E$4:$I$113,_xlfn.XMATCH(Tech!$AE24,'Import 2023 Data'!$C$4:$C$113),_xlfn.XMATCH(Tech!AM$5,'Import 2023 Data'!$E$3:$I$3)),"-")</f>
        <v>-</v>
      </c>
      <c r="AN24" s="1081" t="str">
        <f t="shared" si="19"/>
        <v>-</v>
      </c>
    </row>
    <row r="25" spans="1:40" ht="20.25" hidden="1" customHeight="1" outlineLevel="1">
      <c r="A25" s="12" t="str">
        <f t="shared" si="0"/>
        <v>0_2024_Tech</v>
      </c>
      <c r="B25" s="12">
        <f>'Raw Data'!D23</f>
        <v>0</v>
      </c>
      <c r="C25" s="626" t="str">
        <f t="shared" si="1"/>
        <v>-</v>
      </c>
      <c r="D25" s="627" t="str">
        <f>_xll.ciqfunctions.udf.CIQ(B25, "IQ_MARKETCAP", $A$1,$A$2)</f>
        <v>(Invalid Identifier)</v>
      </c>
      <c r="E25" s="627" t="str">
        <f>_xll.ciqfunctions.udf.CIQ($B25, "IQ_TEV", $A$1,$A$2)</f>
        <v>(Invalid Identifier)</v>
      </c>
      <c r="F25" s="628" t="str">
        <f t="shared" si="2"/>
        <v>-</v>
      </c>
      <c r="G25" s="628" t="str">
        <f t="shared" si="2"/>
        <v>-</v>
      </c>
      <c r="H25" s="627" t="str">
        <f t="shared" si="3"/>
        <v>-</v>
      </c>
      <c r="I25" s="627" t="str">
        <f t="shared" si="3"/>
        <v>-</v>
      </c>
      <c r="J25" s="359" t="str">
        <f t="shared" si="3"/>
        <v>-</v>
      </c>
      <c r="K25" s="629" t="str">
        <f t="shared" si="4"/>
        <v>-</v>
      </c>
      <c r="L25" s="629" t="str">
        <f t="shared" si="4"/>
        <v>-</v>
      </c>
      <c r="M25" s="630" t="str">
        <f t="shared" si="5"/>
        <v>-</v>
      </c>
      <c r="N25" s="631" t="str">
        <f t="shared" si="6"/>
        <v>-</v>
      </c>
      <c r="O25" s="359" t="str">
        <f t="shared" si="7"/>
        <v>-</v>
      </c>
      <c r="P25" s="632" t="str">
        <f t="shared" si="7"/>
        <v>-</v>
      </c>
      <c r="Q25" s="359" t="str">
        <f t="shared" si="7"/>
        <v>-</v>
      </c>
      <c r="R25" s="629" t="str">
        <f t="shared" si="8"/>
        <v>-</v>
      </c>
      <c r="S25" s="629" t="str">
        <f t="shared" si="8"/>
        <v>-</v>
      </c>
      <c r="T25" s="630" t="str">
        <f t="shared" si="9"/>
        <v>-</v>
      </c>
      <c r="U25" s="631" t="str">
        <f t="shared" si="10"/>
        <v>-</v>
      </c>
      <c r="V25" s="359" t="str">
        <f t="shared" si="11"/>
        <v>-</v>
      </c>
      <c r="W25" s="360" t="str">
        <f t="shared" si="11"/>
        <v>-</v>
      </c>
      <c r="X25" s="359" t="str">
        <f t="shared" si="12"/>
        <v>-</v>
      </c>
      <c r="Y25" s="360" t="str">
        <f t="shared" si="12"/>
        <v>-</v>
      </c>
      <c r="Z25" s="359" t="str">
        <f t="shared" si="13"/>
        <v>-</v>
      </c>
      <c r="AA25" s="360" t="str">
        <f t="shared" si="13"/>
        <v>-</v>
      </c>
      <c r="AB25" s="698"/>
      <c r="AC25" s="567" t="str">
        <f t="shared" si="15"/>
        <v>-</v>
      </c>
      <c r="AD25" s="568" t="str">
        <f t="shared" si="16"/>
        <v>-</v>
      </c>
      <c r="AE25" s="699" t="str">
        <f t="shared" si="14"/>
        <v>0_2023_Tech</v>
      </c>
      <c r="AF25" s="699"/>
      <c r="AG25" s="703" t="str" cm="1">
        <f t="array" ref="AG25">IFERROR(INDEX('Import 2023 Data'!$E$4:$I$113,_xlfn.XMATCH(Tech!$AE25,'Import 2023 Data'!$C$4:$C$113),_xlfn.XMATCH(Tech!AG$5,'Import 2023 Data'!$E$3:$I$3)),"-")</f>
        <v>-</v>
      </c>
      <c r="AH25" s="699" t="str" cm="1">
        <f t="array" ref="AH25">IFERROR(INDEX('Import 2023 Data'!$E$4:$I$113,_xlfn.XMATCH(Tech!$AE25,'Import 2023 Data'!$C$4:$C$113),_xlfn.XMATCH(Tech!AH$5,'Import 2023 Data'!$E$3:$I$3)),"-")</f>
        <v>-</v>
      </c>
      <c r="AI25" s="699"/>
      <c r="AJ25" s="704" t="str">
        <f t="shared" si="17"/>
        <v>N</v>
      </c>
      <c r="AK25" s="699" t="str" cm="1">
        <f t="array" ref="AK25">IFERROR(INDEX('Import 2023 Data'!$E$4:$I$113,_xlfn.XMATCH(Tech!$AE25,'Import 2023 Data'!$C$4:$C$113),_xlfn.XMATCH(Tech!AK$5,'Import 2023 Data'!$E$3:$I$3)),"-")</f>
        <v>-</v>
      </c>
      <c r="AL25" s="698" t="str" cm="1">
        <f t="array" ref="AL25">IFERROR(INDEX('Import 2023 Data'!$E$4:$I$113,_xlfn.XMATCH(Tech!$AE25,'Import 2023 Data'!$C$4:$C$113),_xlfn.XMATCH(Tech!AL$5,'Import 2023 Data'!$E$3:$I$3)),"-")</f>
        <v>-</v>
      </c>
      <c r="AM25" s="698" t="str" cm="1">
        <f t="array" ref="AM25">IFERROR(INDEX('Import 2023 Data'!$E$4:$I$113,_xlfn.XMATCH(Tech!$AE25,'Import 2023 Data'!$C$4:$C$113),_xlfn.XMATCH(Tech!AM$5,'Import 2023 Data'!$E$3:$I$3)),"-")</f>
        <v>-</v>
      </c>
      <c r="AN25" s="1081" t="str">
        <f t="shared" si="19"/>
        <v>-</v>
      </c>
    </row>
    <row r="26" spans="1:40" ht="20.25" hidden="1" customHeight="1" outlineLevel="1">
      <c r="A26" s="12" t="str">
        <f t="shared" si="0"/>
        <v>0_2024_Tech</v>
      </c>
      <c r="B26" s="12">
        <f>'Raw Data'!D24</f>
        <v>0</v>
      </c>
      <c r="C26" s="626" t="str">
        <f t="shared" si="1"/>
        <v>-</v>
      </c>
      <c r="D26" s="627" t="str">
        <f>_xll.ciqfunctions.udf.CIQ(B26, "IQ_MARKETCAP", $A$1,$A$2)</f>
        <v>(Invalid Identifier)</v>
      </c>
      <c r="E26" s="627" t="str">
        <f>_xll.ciqfunctions.udf.CIQ($B26, "IQ_TEV", $A$1,$A$2)</f>
        <v>(Invalid Identifier)</v>
      </c>
      <c r="F26" s="628" t="str">
        <f t="shared" si="2"/>
        <v>-</v>
      </c>
      <c r="G26" s="628" t="str">
        <f t="shared" si="2"/>
        <v>-</v>
      </c>
      <c r="H26" s="627" t="str">
        <f t="shared" si="3"/>
        <v>-</v>
      </c>
      <c r="I26" s="627" t="str">
        <f t="shared" si="3"/>
        <v>-</v>
      </c>
      <c r="J26" s="359" t="str">
        <f t="shared" si="3"/>
        <v>-</v>
      </c>
      <c r="K26" s="629" t="str">
        <f t="shared" si="4"/>
        <v>-</v>
      </c>
      <c r="L26" s="629" t="str">
        <f t="shared" si="4"/>
        <v>-</v>
      </c>
      <c r="M26" s="630" t="str">
        <f t="shared" si="5"/>
        <v>-</v>
      </c>
      <c r="N26" s="631" t="str">
        <f t="shared" si="6"/>
        <v>-</v>
      </c>
      <c r="O26" s="359" t="str">
        <f t="shared" si="7"/>
        <v>-</v>
      </c>
      <c r="P26" s="632" t="str">
        <f t="shared" si="7"/>
        <v>-</v>
      </c>
      <c r="Q26" s="359" t="str">
        <f t="shared" si="7"/>
        <v>-</v>
      </c>
      <c r="R26" s="629" t="str">
        <f t="shared" si="8"/>
        <v>-</v>
      </c>
      <c r="S26" s="629" t="str">
        <f t="shared" si="8"/>
        <v>-</v>
      </c>
      <c r="T26" s="630" t="str">
        <f t="shared" si="9"/>
        <v>-</v>
      </c>
      <c r="U26" s="631" t="str">
        <f t="shared" si="10"/>
        <v>-</v>
      </c>
      <c r="V26" s="359" t="str">
        <f t="shared" si="11"/>
        <v>-</v>
      </c>
      <c r="W26" s="360" t="str">
        <f t="shared" si="11"/>
        <v>-</v>
      </c>
      <c r="X26" s="359" t="str">
        <f t="shared" si="12"/>
        <v>-</v>
      </c>
      <c r="Y26" s="360" t="str">
        <f t="shared" si="12"/>
        <v>-</v>
      </c>
      <c r="Z26" s="359" t="str">
        <f t="shared" si="13"/>
        <v>-</v>
      </c>
      <c r="AA26" s="360" t="str">
        <f t="shared" si="13"/>
        <v>-</v>
      </c>
      <c r="AB26" s="698"/>
      <c r="AC26" s="567" t="str">
        <f t="shared" si="15"/>
        <v>-</v>
      </c>
      <c r="AD26" s="568" t="str">
        <f t="shared" si="16"/>
        <v>-</v>
      </c>
      <c r="AE26" s="699" t="str">
        <f t="shared" si="14"/>
        <v>0_2023_Tech</v>
      </c>
      <c r="AF26" s="699"/>
      <c r="AG26" s="707" t="str" cm="1">
        <f t="array" ref="AG26">IFERROR(INDEX('Import 2023 Data'!$E$4:$I$113,_xlfn.XMATCH(Tech!$AE26,'Import 2023 Data'!$C$4:$C$113),_xlfn.XMATCH(Tech!AG$5,'Import 2023 Data'!$E$3:$I$3)),"-")</f>
        <v>-</v>
      </c>
      <c r="AH26" s="708" t="str" cm="1">
        <f t="array" ref="AH26">IFERROR(INDEX('Import 2023 Data'!$E$4:$I$113,_xlfn.XMATCH(Tech!$AE26,'Import 2023 Data'!$C$4:$C$113),_xlfn.XMATCH(Tech!AH$5,'Import 2023 Data'!$E$3:$I$3)),"-")</f>
        <v>-</v>
      </c>
      <c r="AI26" s="708"/>
      <c r="AJ26" s="709" t="str">
        <f t="shared" si="17"/>
        <v>N</v>
      </c>
      <c r="AK26" s="708" t="str" cm="1">
        <f t="array" ref="AK26">IFERROR(INDEX('Import 2023 Data'!$E$4:$I$113,_xlfn.XMATCH(Tech!$AE26,'Import 2023 Data'!$C$4:$C$113),_xlfn.XMATCH(Tech!AK$5,'Import 2023 Data'!$E$3:$I$3)),"-")</f>
        <v>-</v>
      </c>
      <c r="AL26" s="710" t="str" cm="1">
        <f t="array" ref="AL26">IFERROR(INDEX('Import 2023 Data'!$E$4:$I$113,_xlfn.XMATCH(Tech!$AE26,'Import 2023 Data'!$C$4:$C$113),_xlfn.XMATCH(Tech!AL$5,'Import 2023 Data'!$E$3:$I$3)),"-")</f>
        <v>-</v>
      </c>
      <c r="AM26" s="710" t="str" cm="1">
        <f t="array" ref="AM26">IFERROR(INDEX('Import 2023 Data'!$E$4:$I$113,_xlfn.XMATCH(Tech!$AE26,'Import 2023 Data'!$C$4:$C$113),_xlfn.XMATCH(Tech!AM$5,'Import 2023 Data'!$E$3:$I$3)),"-")</f>
        <v>-</v>
      </c>
      <c r="AN26" s="1082" t="str">
        <f t="shared" si="19"/>
        <v>-</v>
      </c>
    </row>
    <row r="27" spans="1:40" ht="20.25" hidden="1" customHeight="1" collapsed="1">
      <c r="C27" s="613" t="str">
        <f>$C$3&amp;" Summary Statistics"</f>
        <v>2024 Summary Statistics</v>
      </c>
      <c r="D27" s="614"/>
      <c r="E27" s="614"/>
      <c r="F27" s="614"/>
      <c r="G27" s="614"/>
      <c r="H27" s="614"/>
      <c r="I27" s="614"/>
      <c r="J27" s="614"/>
      <c r="K27" s="615"/>
      <c r="L27" s="615"/>
      <c r="M27" s="614"/>
      <c r="N27" s="615"/>
      <c r="O27" s="614"/>
      <c r="P27" s="614"/>
      <c r="Q27" s="614"/>
      <c r="R27" s="615"/>
      <c r="S27" s="615"/>
      <c r="T27" s="614"/>
      <c r="U27" s="615"/>
      <c r="V27" s="614"/>
      <c r="W27" s="616"/>
      <c r="X27" s="614"/>
      <c r="Y27" s="616"/>
      <c r="Z27" s="614"/>
      <c r="AA27" s="616"/>
      <c r="AB27" s="698"/>
      <c r="AC27" s="711"/>
      <c r="AD27" s="712"/>
      <c r="AE27" s="699"/>
      <c r="AF27" s="699"/>
      <c r="AG27" s="699"/>
      <c r="AH27" s="699"/>
      <c r="AI27" s="699"/>
      <c r="AJ27" s="699"/>
      <c r="AK27" s="699"/>
      <c r="AL27" s="713"/>
      <c r="AM27" s="714"/>
      <c r="AN27" s="698"/>
    </row>
    <row r="28" spans="1:40" s="17" customFormat="1" ht="20.25" hidden="1" customHeight="1">
      <c r="B28" s="17">
        <v>0.75</v>
      </c>
      <c r="C28" s="633" t="s">
        <v>9</v>
      </c>
      <c r="D28" s="634">
        <f t="shared" ref="D28:E30" si="20">PERCENTILE(D$8:D$26,$B28)</f>
        <v>11855.56763</v>
      </c>
      <c r="E28" s="634">
        <f t="shared" si="20"/>
        <v>14643.113660000001</v>
      </c>
      <c r="F28" s="635"/>
      <c r="G28" s="635"/>
      <c r="H28" s="635"/>
      <c r="I28" s="634">
        <f t="shared" ref="I28:R30" si="21">PERCENTILE(I$8:I$26,$B28)</f>
        <v>514.24256737500002</v>
      </c>
      <c r="J28" s="636">
        <f t="shared" si="21"/>
        <v>398.34541359000002</v>
      </c>
      <c r="K28" s="637">
        <f t="shared" si="21"/>
        <v>0.87331663452242447</v>
      </c>
      <c r="L28" s="637">
        <f t="shared" si="21"/>
        <v>0.8352051815082272</v>
      </c>
      <c r="M28" s="638">
        <f t="shared" si="21"/>
        <v>385.68192553124999</v>
      </c>
      <c r="N28" s="568">
        <f t="shared" si="21"/>
        <v>0.75</v>
      </c>
      <c r="O28" s="636">
        <f t="shared" si="21"/>
        <v>910.26657170249996</v>
      </c>
      <c r="P28" s="639">
        <f t="shared" si="21"/>
        <v>899.92449290625007</v>
      </c>
      <c r="Q28" s="636">
        <f t="shared" si="21"/>
        <v>1134.6942428350001</v>
      </c>
      <c r="R28" s="637">
        <f t="shared" si="21"/>
        <v>2.1941666666666668</v>
      </c>
      <c r="S28" s="637">
        <f t="shared" ref="S28:Z30" si="22">PERCENTILE(S$8:S$26,$B28)</f>
        <v>2.3056148867313917</v>
      </c>
      <c r="T28" s="638">
        <f t="shared" si="22"/>
        <v>1201.5631748738349</v>
      </c>
      <c r="U28" s="568">
        <f t="shared" si="22"/>
        <v>2.3056148867313917</v>
      </c>
      <c r="V28" s="636">
        <f t="shared" si="22"/>
        <v>2071.4939579424999</v>
      </c>
      <c r="W28" s="639">
        <f t="shared" si="22"/>
        <v>2101.4876677800848</v>
      </c>
      <c r="X28" s="636">
        <f t="shared" si="22"/>
        <v>120.2608485275</v>
      </c>
      <c r="Y28" s="639">
        <f t="shared" si="22"/>
        <v>75.46964868500001</v>
      </c>
      <c r="Z28" s="636">
        <f t="shared" si="22"/>
        <v>2258.7091911475004</v>
      </c>
      <c r="AA28" s="639">
        <f>AA67</f>
        <v>2452.6777332049996</v>
      </c>
      <c r="AB28" s="715"/>
      <c r="AC28" s="567">
        <f t="shared" ref="AC28:AD30" si="23">PERCENTILE(AC$8:AC$26,$B28)</f>
        <v>0.53454907161803722</v>
      </c>
      <c r="AD28" s="568">
        <f t="shared" si="23"/>
        <v>0.56600093278888919</v>
      </c>
      <c r="AE28" s="699"/>
      <c r="AF28" s="699"/>
      <c r="AG28" s="699"/>
      <c r="AH28" s="699"/>
      <c r="AI28" s="699"/>
      <c r="AJ28" s="699"/>
      <c r="AK28" s="699"/>
      <c r="AL28" s="716">
        <f t="shared" ref="AL28:AM31" si="24">PERCENTILE(AL$8:AL$26,$B28)</f>
        <v>2073.3251155600001</v>
      </c>
      <c r="AM28" s="717">
        <f t="shared" si="24"/>
        <v>1997.3374521760138</v>
      </c>
      <c r="AN28" s="715"/>
    </row>
    <row r="29" spans="1:40" s="17" customFormat="1" ht="20.25" hidden="1" customHeight="1">
      <c r="B29" s="17">
        <v>0.5</v>
      </c>
      <c r="C29" s="640" t="s">
        <v>8</v>
      </c>
      <c r="D29" s="641">
        <f t="shared" si="20"/>
        <v>5554.9869099999996</v>
      </c>
      <c r="E29" s="641">
        <f t="shared" si="20"/>
        <v>6472.2609199999997</v>
      </c>
      <c r="F29" s="642"/>
      <c r="G29" s="642"/>
      <c r="H29" s="642"/>
      <c r="I29" s="641">
        <f t="shared" si="21"/>
        <v>465.32837825000001</v>
      </c>
      <c r="J29" s="643">
        <f t="shared" si="21"/>
        <v>364.05202067499999</v>
      </c>
      <c r="K29" s="644">
        <f t="shared" si="21"/>
        <v>0.82258600151685402</v>
      </c>
      <c r="L29" s="644">
        <f t="shared" si="21"/>
        <v>0.76337360610480509</v>
      </c>
      <c r="M29" s="645">
        <f t="shared" si="21"/>
        <v>337.87128368749995</v>
      </c>
      <c r="N29" s="646">
        <f t="shared" si="21"/>
        <v>0.72499999999999998</v>
      </c>
      <c r="O29" s="643">
        <f t="shared" si="21"/>
        <v>859.16202067500001</v>
      </c>
      <c r="P29" s="647">
        <f t="shared" si="21"/>
        <v>803.19966193749997</v>
      </c>
      <c r="Q29" s="643">
        <f t="shared" si="21"/>
        <v>837.20606899500012</v>
      </c>
      <c r="R29" s="644">
        <f t="shared" si="21"/>
        <v>1.7845166451797754</v>
      </c>
      <c r="S29" s="644">
        <f t="shared" si="22"/>
        <v>1.7096113727761297</v>
      </c>
      <c r="T29" s="645">
        <f t="shared" si="22"/>
        <v>859.67116189000001</v>
      </c>
      <c r="U29" s="646">
        <f t="shared" si="22"/>
        <v>1.835</v>
      </c>
      <c r="V29" s="643">
        <f t="shared" si="22"/>
        <v>1722.9012330750002</v>
      </c>
      <c r="W29" s="647">
        <f t="shared" si="22"/>
        <v>1662.8708238274999</v>
      </c>
      <c r="X29" s="643">
        <f t="shared" si="22"/>
        <v>113.03559957500001</v>
      </c>
      <c r="Y29" s="647">
        <f t="shared" si="22"/>
        <v>28.80508391</v>
      </c>
      <c r="Z29" s="643">
        <f t="shared" si="22"/>
        <v>1911.4064813350001</v>
      </c>
      <c r="AA29" s="647">
        <f>AA68</f>
        <v>1968.5489982599997</v>
      </c>
      <c r="AB29" s="715"/>
      <c r="AC29" s="718">
        <f t="shared" si="23"/>
        <v>0.48763665275293189</v>
      </c>
      <c r="AD29" s="646">
        <f t="shared" si="23"/>
        <v>0.51236334724706822</v>
      </c>
      <c r="AE29" s="699"/>
      <c r="AF29" s="699"/>
      <c r="AG29" s="699"/>
      <c r="AH29" s="699"/>
      <c r="AI29" s="699"/>
      <c r="AJ29" s="699"/>
      <c r="AK29" s="699"/>
      <c r="AL29" s="643">
        <f t="shared" si="24"/>
        <v>1688.4695485300001</v>
      </c>
      <c r="AM29" s="647">
        <f t="shared" si="24"/>
        <v>1488.7724482364633</v>
      </c>
      <c r="AN29" s="715"/>
    </row>
    <row r="30" spans="1:40" s="17" customFormat="1" ht="20.25" hidden="1" customHeight="1">
      <c r="B30" s="17">
        <v>0.25</v>
      </c>
      <c r="C30" s="633" t="s">
        <v>7</v>
      </c>
      <c r="D30" s="634">
        <f t="shared" si="20"/>
        <v>4453.8089300000001</v>
      </c>
      <c r="E30" s="634">
        <f t="shared" si="20"/>
        <v>4740.9122799999996</v>
      </c>
      <c r="F30" s="635"/>
      <c r="G30" s="635"/>
      <c r="H30" s="635"/>
      <c r="I30" s="634">
        <f t="shared" si="21"/>
        <v>443.75</v>
      </c>
      <c r="J30" s="636">
        <f t="shared" si="21"/>
        <v>338.08499999999998</v>
      </c>
      <c r="K30" s="637">
        <f t="shared" si="21"/>
        <v>0.72337499999999999</v>
      </c>
      <c r="L30" s="637">
        <f t="shared" si="21"/>
        <v>0.72200442947541199</v>
      </c>
      <c r="M30" s="638">
        <f t="shared" si="21"/>
        <v>305.125</v>
      </c>
      <c r="N30" s="568">
        <f t="shared" si="21"/>
        <v>0.6875</v>
      </c>
      <c r="O30" s="636">
        <f t="shared" si="21"/>
        <v>813.93803101250001</v>
      </c>
      <c r="P30" s="639">
        <f t="shared" si="21"/>
        <v>748.875</v>
      </c>
      <c r="Q30" s="636">
        <f t="shared" si="21"/>
        <v>621.11461065750007</v>
      </c>
      <c r="R30" s="637">
        <f t="shared" si="21"/>
        <v>1.3992743995878449</v>
      </c>
      <c r="S30" s="637">
        <f t="shared" si="22"/>
        <v>1.2441514283510422</v>
      </c>
      <c r="T30" s="638">
        <f t="shared" si="22"/>
        <v>654.8125</v>
      </c>
      <c r="U30" s="568">
        <f t="shared" si="22"/>
        <v>1.4750000000000001</v>
      </c>
      <c r="V30" s="636">
        <f t="shared" si="22"/>
        <v>1435.05264167</v>
      </c>
      <c r="W30" s="639">
        <f t="shared" si="22"/>
        <v>1403.6875</v>
      </c>
      <c r="X30" s="636">
        <f t="shared" si="22"/>
        <v>105.81035062250001</v>
      </c>
      <c r="Y30" s="639">
        <f t="shared" si="22"/>
        <v>22.292541955000001</v>
      </c>
      <c r="Z30" s="636">
        <f t="shared" si="22"/>
        <v>1534.540280855</v>
      </c>
      <c r="AA30" s="639">
        <f>AA69</f>
        <v>1545.2857641850001</v>
      </c>
      <c r="AB30" s="715"/>
      <c r="AC30" s="567">
        <f t="shared" si="23"/>
        <v>0.43399906721111081</v>
      </c>
      <c r="AD30" s="568">
        <f t="shared" si="23"/>
        <v>0.46545092838196289</v>
      </c>
      <c r="AE30" s="699"/>
      <c r="AF30" s="699"/>
      <c r="AG30" s="699"/>
      <c r="AH30" s="699"/>
      <c r="AI30" s="699"/>
      <c r="AJ30" s="699"/>
      <c r="AK30" s="699"/>
      <c r="AL30" s="636">
        <f t="shared" si="24"/>
        <v>1386.7704347499998</v>
      </c>
      <c r="AM30" s="639">
        <f t="shared" si="24"/>
        <v>1258.1587106083718</v>
      </c>
      <c r="AN30" s="715"/>
    </row>
    <row r="31" spans="1:40" s="17" customFormat="1" ht="20.25" hidden="1" customHeight="1">
      <c r="A31" s="12"/>
      <c r="B31" s="12"/>
      <c r="C31" s="648" t="s">
        <v>6</v>
      </c>
      <c r="D31" s="649">
        <f>AVERAGE(D8:D26)</f>
        <v>8326.2522092307699</v>
      </c>
      <c r="E31" s="649">
        <f>AVERAGE(E8:E26)</f>
        <v>9190.0749661538448</v>
      </c>
      <c r="F31" s="648"/>
      <c r="G31" s="648"/>
      <c r="H31" s="648"/>
      <c r="I31" s="649">
        <f t="shared" ref="I31:Z31" si="25">AVERAGE(I8:I26)</f>
        <v>492.66418912500001</v>
      </c>
      <c r="J31" s="650">
        <f t="shared" si="25"/>
        <v>372.37839291500001</v>
      </c>
      <c r="K31" s="651">
        <f t="shared" si="25"/>
        <v>0.77410563300557056</v>
      </c>
      <c r="L31" s="651">
        <f t="shared" si="25"/>
        <v>0.7938360048788341</v>
      </c>
      <c r="M31" s="652">
        <f t="shared" si="25"/>
        <v>352.93564184374998</v>
      </c>
      <c r="N31" s="653">
        <f t="shared" si="25"/>
        <v>0.71250000000000002</v>
      </c>
      <c r="O31" s="650">
        <f t="shared" si="25"/>
        <v>865.04258204000007</v>
      </c>
      <c r="P31" s="654">
        <f t="shared" si="25"/>
        <v>845.59983096874998</v>
      </c>
      <c r="Q31" s="650">
        <f t="shared" si="25"/>
        <v>918.60278449750012</v>
      </c>
      <c r="R31" s="651">
        <f t="shared" si="25"/>
        <v>1.8089244210747359</v>
      </c>
      <c r="S31" s="651">
        <f t="shared" si="25"/>
        <v>1.8401549423063039</v>
      </c>
      <c r="T31" s="652">
        <f t="shared" si="25"/>
        <v>996.70451298383489</v>
      </c>
      <c r="U31" s="653">
        <f t="shared" si="25"/>
        <v>1.9456148867313914</v>
      </c>
      <c r="V31" s="650">
        <f t="shared" si="25"/>
        <v>1783.6453665375002</v>
      </c>
      <c r="W31" s="654">
        <f t="shared" si="25"/>
        <v>1842.304343952585</v>
      </c>
      <c r="X31" s="650">
        <f t="shared" si="25"/>
        <v>113.03559957500001</v>
      </c>
      <c r="Y31" s="654">
        <f t="shared" si="25"/>
        <v>55.573099123333343</v>
      </c>
      <c r="Z31" s="650">
        <f t="shared" si="25"/>
        <v>1881.8429906675001</v>
      </c>
      <c r="AA31" s="654">
        <f>AA70</f>
        <v>2029.41449913</v>
      </c>
      <c r="AB31" s="715"/>
      <c r="AC31" s="719">
        <f>AVERAGE(AC8:AC26)</f>
        <v>0.48091148607621614</v>
      </c>
      <c r="AD31" s="653">
        <f>AVERAGE(AD8:AD26)</f>
        <v>0.51908851392378386</v>
      </c>
      <c r="AE31" s="699"/>
      <c r="AF31" s="699"/>
      <c r="AG31" s="699"/>
      <c r="AH31" s="699"/>
      <c r="AI31" s="699"/>
      <c r="AJ31" s="699"/>
      <c r="AK31" s="699"/>
      <c r="AL31" s="650">
        <f t="shared" si="24"/>
        <v>1269.5649100599999</v>
      </c>
      <c r="AM31" s="654">
        <f t="shared" si="24"/>
        <v>1185.213037643487</v>
      </c>
      <c r="AN31" s="715"/>
    </row>
    <row r="32" spans="1:40" s="17" customFormat="1" ht="20.25" hidden="1" customHeight="1">
      <c r="A32" s="12"/>
      <c r="B32" s="12"/>
      <c r="C32" s="613" t="str">
        <f>$C$3+1&amp;" Estimated Summary Statistics "</f>
        <v xml:space="preserve">2025 Estimated Summary Statistics </v>
      </c>
      <c r="D32" s="614"/>
      <c r="E32" s="614"/>
      <c r="F32" s="614"/>
      <c r="G32" s="614"/>
      <c r="H32" s="614"/>
      <c r="I32" s="614"/>
      <c r="J32" s="614"/>
      <c r="K32" s="615"/>
      <c r="L32" s="615"/>
      <c r="M32" s="614"/>
      <c r="N32" s="615"/>
      <c r="O32" s="614"/>
      <c r="P32" s="614"/>
      <c r="Q32" s="614"/>
      <c r="R32" s="615"/>
      <c r="S32" s="615"/>
      <c r="T32" s="614"/>
      <c r="U32" s="615"/>
      <c r="V32" s="614"/>
      <c r="W32" s="616"/>
      <c r="X32" s="720"/>
      <c r="Y32" s="720"/>
      <c r="Z32" s="720"/>
      <c r="AA32" s="720"/>
      <c r="AB32" s="715"/>
      <c r="AC32" s="721"/>
      <c r="AD32" s="721"/>
      <c r="AE32" s="699"/>
      <c r="AF32" s="699"/>
      <c r="AG32" s="699"/>
      <c r="AH32" s="699"/>
      <c r="AI32" s="699"/>
      <c r="AJ32" s="699"/>
      <c r="AK32" s="699"/>
      <c r="AL32" s="720"/>
      <c r="AM32" s="720"/>
      <c r="AN32" s="715"/>
    </row>
    <row r="33" spans="1:40" s="17" customFormat="1" ht="20.25" hidden="1" customHeight="1">
      <c r="A33" s="12"/>
      <c r="B33" s="17">
        <v>0.75</v>
      </c>
      <c r="C33" s="633" t="s">
        <v>9</v>
      </c>
      <c r="D33" s="634">
        <f t="shared" ref="D33:E35" si="26">PERCENTILE(D$8:D$26,$B33)</f>
        <v>11855.56763</v>
      </c>
      <c r="E33" s="634">
        <f t="shared" si="26"/>
        <v>14643.113660000001</v>
      </c>
      <c r="F33" s="635"/>
      <c r="G33" s="635"/>
      <c r="H33" s="635"/>
      <c r="I33" s="634">
        <f>I67</f>
        <v>555.75</v>
      </c>
      <c r="J33" s="636">
        <f>J67</f>
        <v>0</v>
      </c>
      <c r="K33" s="637">
        <f>K67</f>
        <v>0</v>
      </c>
      <c r="L33" s="637">
        <f>L67</f>
        <v>0</v>
      </c>
      <c r="M33" s="638">
        <f>M67</f>
        <v>416.8125</v>
      </c>
      <c r="N33" s="568">
        <f t="shared" ref="N33:O35" si="27">PERCENTILE(N$8:N$26,$B33)</f>
        <v>0.75</v>
      </c>
      <c r="O33" s="636">
        <f t="shared" si="27"/>
        <v>910.26657170249996</v>
      </c>
      <c r="P33" s="634">
        <f>P67</f>
        <v>972.5625</v>
      </c>
      <c r="Q33" s="636">
        <f>Q67</f>
        <v>0</v>
      </c>
      <c r="R33" s="637">
        <f>R67</f>
        <v>0</v>
      </c>
      <c r="S33" s="637">
        <f>S67</f>
        <v>0</v>
      </c>
      <c r="T33" s="638">
        <f>T67</f>
        <v>1292.9000000000001</v>
      </c>
      <c r="U33" s="568">
        <f t="shared" ref="U33:V35" si="28">PERCENTILE(U$8:U$26,$B33)</f>
        <v>2.3056148867313917</v>
      </c>
      <c r="V33" s="636">
        <f t="shared" si="28"/>
        <v>2071.4939579424999</v>
      </c>
      <c r="W33" s="639">
        <f>W67</f>
        <v>2265.4624999999996</v>
      </c>
      <c r="X33" s="720"/>
      <c r="Y33" s="720"/>
      <c r="Z33" s="720"/>
      <c r="AA33" s="720"/>
      <c r="AB33" s="715"/>
      <c r="AC33" s="721"/>
      <c r="AD33" s="721"/>
      <c r="AE33" s="699"/>
      <c r="AF33" s="699"/>
      <c r="AG33" s="699"/>
      <c r="AH33" s="699"/>
      <c r="AI33" s="699"/>
      <c r="AJ33" s="699"/>
      <c r="AK33" s="699"/>
      <c r="AL33" s="722"/>
      <c r="AM33" s="722"/>
      <c r="AN33" s="715"/>
    </row>
    <row r="34" spans="1:40" s="17" customFormat="1" ht="20.25" hidden="1" customHeight="1">
      <c r="A34" s="12"/>
      <c r="B34" s="17">
        <v>0.5</v>
      </c>
      <c r="C34" s="640" t="s">
        <v>8</v>
      </c>
      <c r="D34" s="641">
        <f t="shared" si="26"/>
        <v>5554.9869099999996</v>
      </c>
      <c r="E34" s="641">
        <f t="shared" si="26"/>
        <v>6472.2609199999997</v>
      </c>
      <c r="F34" s="642"/>
      <c r="G34" s="642"/>
      <c r="H34" s="642"/>
      <c r="I34" s="641">
        <f t="shared" ref="I34:M36" si="29">I68</f>
        <v>496.67500000000001</v>
      </c>
      <c r="J34" s="643">
        <f t="shared" si="29"/>
        <v>0</v>
      </c>
      <c r="K34" s="644">
        <f t="shared" si="29"/>
        <v>0</v>
      </c>
      <c r="L34" s="644">
        <f t="shared" si="29"/>
        <v>0</v>
      </c>
      <c r="M34" s="645">
        <f t="shared" si="29"/>
        <v>361.04750000000001</v>
      </c>
      <c r="N34" s="646">
        <f t="shared" si="27"/>
        <v>0.72499999999999998</v>
      </c>
      <c r="O34" s="643">
        <f t="shared" si="27"/>
        <v>859.16202067500001</v>
      </c>
      <c r="P34" s="641">
        <f t="shared" ref="P34:T36" si="30">P68</f>
        <v>857.72249999999997</v>
      </c>
      <c r="Q34" s="643">
        <f t="shared" si="30"/>
        <v>0</v>
      </c>
      <c r="R34" s="644">
        <f t="shared" si="30"/>
        <v>0</v>
      </c>
      <c r="S34" s="644">
        <f t="shared" si="30"/>
        <v>0</v>
      </c>
      <c r="T34" s="645">
        <f t="shared" si="30"/>
        <v>922.32125000000008</v>
      </c>
      <c r="U34" s="646">
        <f t="shared" si="28"/>
        <v>1.835</v>
      </c>
      <c r="V34" s="643">
        <f t="shared" si="28"/>
        <v>1722.9012330750002</v>
      </c>
      <c r="W34" s="647">
        <f>W68</f>
        <v>1780.0437499999998</v>
      </c>
      <c r="X34" s="720"/>
      <c r="Y34" s="720"/>
      <c r="Z34" s="720"/>
      <c r="AA34" s="720"/>
      <c r="AB34" s="715"/>
      <c r="AC34" s="721"/>
      <c r="AD34" s="721"/>
      <c r="AE34" s="699"/>
      <c r="AF34" s="699"/>
      <c r="AG34" s="699"/>
      <c r="AH34" s="699"/>
      <c r="AI34" s="699"/>
      <c r="AJ34" s="699"/>
      <c r="AK34" s="699"/>
      <c r="AL34" s="722"/>
      <c r="AM34" s="722"/>
      <c r="AN34" s="715"/>
    </row>
    <row r="35" spans="1:40" s="17" customFormat="1" ht="20.25" hidden="1" customHeight="1">
      <c r="A35" s="12"/>
      <c r="B35" s="17">
        <v>0.25</v>
      </c>
      <c r="C35" s="633" t="s">
        <v>7</v>
      </c>
      <c r="D35" s="634">
        <f t="shared" si="26"/>
        <v>4453.8089300000001</v>
      </c>
      <c r="E35" s="634">
        <f t="shared" si="26"/>
        <v>4740.9122799999996</v>
      </c>
      <c r="F35" s="635"/>
      <c r="G35" s="635"/>
      <c r="H35" s="635"/>
      <c r="I35" s="634">
        <f t="shared" si="29"/>
        <v>457.0625</v>
      </c>
      <c r="J35" s="636">
        <f t="shared" si="29"/>
        <v>0</v>
      </c>
      <c r="K35" s="637">
        <f t="shared" si="29"/>
        <v>0</v>
      </c>
      <c r="L35" s="637">
        <f t="shared" si="29"/>
        <v>0</v>
      </c>
      <c r="M35" s="638">
        <f t="shared" si="29"/>
        <v>314.27874999999995</v>
      </c>
      <c r="N35" s="568">
        <f t="shared" si="27"/>
        <v>0.6875</v>
      </c>
      <c r="O35" s="636">
        <f t="shared" si="27"/>
        <v>813.93803101250001</v>
      </c>
      <c r="P35" s="634">
        <f t="shared" si="30"/>
        <v>771.34124999999995</v>
      </c>
      <c r="Q35" s="636">
        <f t="shared" si="30"/>
        <v>0</v>
      </c>
      <c r="R35" s="637">
        <f t="shared" si="30"/>
        <v>0</v>
      </c>
      <c r="S35" s="637">
        <f t="shared" si="30"/>
        <v>0</v>
      </c>
      <c r="T35" s="638">
        <f t="shared" si="30"/>
        <v>674.45687500000008</v>
      </c>
      <c r="U35" s="568">
        <f t="shared" si="28"/>
        <v>1.4750000000000001</v>
      </c>
      <c r="V35" s="636">
        <f t="shared" si="28"/>
        <v>1435.05264167</v>
      </c>
      <c r="W35" s="639">
        <f>W69</f>
        <v>1445.798125</v>
      </c>
      <c r="X35" s="720"/>
      <c r="Y35" s="720"/>
      <c r="Z35" s="720"/>
      <c r="AA35" s="720"/>
      <c r="AB35" s="715"/>
      <c r="AC35" s="721"/>
      <c r="AD35" s="721"/>
      <c r="AE35" s="699"/>
      <c r="AF35" s="699"/>
      <c r="AG35" s="699"/>
      <c r="AH35" s="699"/>
      <c r="AI35" s="699"/>
      <c r="AJ35" s="699"/>
      <c r="AK35" s="699"/>
      <c r="AL35" s="722"/>
      <c r="AM35" s="722"/>
      <c r="AN35" s="715"/>
    </row>
    <row r="36" spans="1:40" s="17" customFormat="1" ht="20.25" hidden="1" customHeight="1">
      <c r="A36" s="12"/>
      <c r="B36" s="12"/>
      <c r="C36" s="648" t="s">
        <v>6</v>
      </c>
      <c r="D36" s="649">
        <f>AVERAGE(D13:D31)</f>
        <v>5365.7218299358965</v>
      </c>
      <c r="E36" s="649">
        <f>AVERAGE(E13:E31)</f>
        <v>6081.9811780128211</v>
      </c>
      <c r="F36" s="648"/>
      <c r="G36" s="648"/>
      <c r="H36" s="648"/>
      <c r="I36" s="649">
        <f t="shared" si="29"/>
        <v>516.13749999999993</v>
      </c>
      <c r="J36" s="650">
        <f t="shared" si="29"/>
        <v>0</v>
      </c>
      <c r="K36" s="651">
        <f t="shared" si="29"/>
        <v>0</v>
      </c>
      <c r="L36" s="651">
        <f t="shared" si="29"/>
        <v>0</v>
      </c>
      <c r="M36" s="652">
        <f t="shared" si="29"/>
        <v>370.04374999999999</v>
      </c>
      <c r="N36" s="653">
        <f>AVERAGE(N13:N31)</f>
        <v>0.71250000000000002</v>
      </c>
      <c r="O36" s="650">
        <f>AVERAGE(O13:O31)</f>
        <v>856.19820090500014</v>
      </c>
      <c r="P36" s="649">
        <f t="shared" si="30"/>
        <v>886.18124999999986</v>
      </c>
      <c r="Q36" s="650">
        <f t="shared" si="30"/>
        <v>0</v>
      </c>
      <c r="R36" s="651">
        <f t="shared" si="30"/>
        <v>0</v>
      </c>
      <c r="S36" s="651">
        <f t="shared" si="30"/>
        <v>0</v>
      </c>
      <c r="T36" s="652">
        <f t="shared" si="30"/>
        <v>1045.035625</v>
      </c>
      <c r="U36" s="653">
        <f>AVERAGE(U13:U31)</f>
        <v>1.9456148867313914</v>
      </c>
      <c r="V36" s="650">
        <f>AVERAGE(V13:V31)</f>
        <v>1783.6453665375</v>
      </c>
      <c r="W36" s="654">
        <f>W70</f>
        <v>1931.2168749999998</v>
      </c>
      <c r="X36" s="720"/>
      <c r="Y36" s="720"/>
      <c r="Z36" s="720"/>
      <c r="AA36" s="720"/>
      <c r="AB36" s="715"/>
      <c r="AC36" s="721"/>
      <c r="AD36" s="721"/>
      <c r="AE36" s="699"/>
      <c r="AF36" s="699"/>
      <c r="AG36" s="699"/>
      <c r="AH36" s="699"/>
      <c r="AI36" s="699"/>
      <c r="AJ36" s="699"/>
      <c r="AK36" s="699"/>
      <c r="AL36" s="722"/>
      <c r="AM36" s="722"/>
      <c r="AN36" s="715"/>
    </row>
    <row r="37" spans="1:40" ht="7.5" customHeight="1" thickBot="1">
      <c r="C37" s="655"/>
      <c r="D37" s="655"/>
      <c r="E37" s="655"/>
      <c r="F37" s="655"/>
      <c r="G37" s="655"/>
      <c r="H37" s="655"/>
      <c r="I37" s="656"/>
      <c r="J37" s="657"/>
      <c r="K37" s="658"/>
      <c r="L37" s="658"/>
      <c r="M37" s="656"/>
      <c r="N37" s="659"/>
      <c r="O37" s="657"/>
      <c r="P37" s="656"/>
      <c r="Q37" s="656"/>
      <c r="R37" s="659"/>
      <c r="S37" s="659"/>
      <c r="T37" s="657"/>
      <c r="U37" s="658"/>
      <c r="V37" s="657"/>
      <c r="W37" s="656"/>
      <c r="X37" s="658"/>
      <c r="Y37" s="657"/>
      <c r="Z37" s="656"/>
      <c r="AA37" s="656"/>
      <c r="AB37" s="698"/>
      <c r="AC37" s="655"/>
      <c r="AD37" s="655"/>
      <c r="AE37" s="699"/>
      <c r="AF37" s="699"/>
      <c r="AG37" s="699"/>
      <c r="AH37" s="699"/>
      <c r="AI37" s="699"/>
      <c r="AJ37" s="699"/>
      <c r="AK37" s="699"/>
      <c r="AL37" s="698"/>
      <c r="AM37" s="698"/>
      <c r="AN37" s="698"/>
    </row>
    <row r="38" spans="1:40" s="35" customFormat="1" ht="26.25" customHeight="1" thickBot="1">
      <c r="A38" s="35" t="str">
        <f>$B38&amp;"_"&amp;$C$3&amp;"_"&amp;$C$2</f>
        <v>TSX:HBM_2024_Tech</v>
      </c>
      <c r="B38" s="35" t="str">
        <f>'Raw Data'!G6</f>
        <v>TSX:HBM</v>
      </c>
      <c r="C38" s="867" t="str">
        <f>IFERROR(INDEX(Raw_Data,MATCH($A38,Look_Up2,0),MATCH(C$4,Component,0)),"-")</f>
        <v>Hudbay Minerals Inc.</v>
      </c>
      <c r="D38" s="868">
        <f>_xll.ciqfunctions.udf.CIQ(B38, "IQ_MARKETCAP", $A$1,$A$2)</f>
        <v>5664.3295799999996</v>
      </c>
      <c r="E38" s="868">
        <f>_xll.ciqfunctions.udf.CIQ($B38, "IQ_TEV", $A$1,$A$2)</f>
        <v>6773.8200500000003</v>
      </c>
      <c r="F38" s="869" t="str">
        <f>IFERROR(INDEX(Raw_Data,MATCH($A38,Look_Up2,0),MATCH(F$4,Component,0)),"-")</f>
        <v>Olivier Tavchandjian</v>
      </c>
      <c r="G38" s="869" t="str">
        <f>IFERROR(INDEX(Raw_Data,MATCH($A38,Look_Up2,0),MATCH(G$4,Component,0)),"-")</f>
        <v>SVP, Exploration and Technical Services</v>
      </c>
      <c r="H38" s="869" t="str">
        <f>IFERROR(INDEX(Raw_Data,MATCH($A38,Look_Up2,0),MATCH(H$4,Component,0))/1000,"-")</f>
        <v>-</v>
      </c>
      <c r="I38" s="868">
        <f>IFERROR(INDEX(Raw_Data,MATCH($A38,Look_Up2,0),MATCH(I$4,Component,0))/1000,"-")</f>
        <v>465.85</v>
      </c>
      <c r="J38" s="868">
        <f>IFERROR(INDEX(Raw_Data,MATCH($A38,Look_Up2,0),MATCH(J$4,Component,0))/1000,"-")</f>
        <v>0</v>
      </c>
      <c r="K38" s="870">
        <f>IFERROR(INDEX(Raw_Data,MATCH($A38,Look_Up2,0),MATCH(K$4,Component,0)),"-")</f>
        <v>0</v>
      </c>
      <c r="L38" s="870">
        <f>IFERROR(INDEX(Raw_Data,MATCH($A38,Look_Up2,0),MATCH(L$4,Component,0)),"-")</f>
        <v>0</v>
      </c>
      <c r="M38" s="868">
        <f>IFERROR(INDEX(Raw_Data,MATCH($A38,Look_Up2,0),MATCH(M$4,Component,0))/1000,"-")</f>
        <v>279.51</v>
      </c>
      <c r="N38" s="870">
        <f>IFERROR(IF(INDEX(Raw_Data,MATCH($A38,Look_Up2,0),MATCH(N$4,Component,0))="-",L38,INDEX(Raw_Data,MATCH($A38,Look_Up2,0),MATCH(N$4,Component,0))),"-")</f>
        <v>0.6</v>
      </c>
      <c r="O38" s="868" t="s">
        <v>78</v>
      </c>
      <c r="P38" s="868">
        <f>IFERROR(INDEX(Raw_Data,MATCH($A38,Look_Up2,0),MATCH(P$4,Component,0))/1000,"-")</f>
        <v>745.36</v>
      </c>
      <c r="Q38" s="868" t="str">
        <f>IFERROR(INDEX(Raw_Data,MATCH($A38,Look_Up2,0),MATCH(Q$4,Component,0))/1000,"-")</f>
        <v>-</v>
      </c>
      <c r="R38" s="870" t="str">
        <f>IFERROR(INDEX(Raw_Data,MATCH($A38,Look_Up2,0),MATCH(R$4,Component,0)),"-")</f>
        <v>-</v>
      </c>
      <c r="S38" s="870" t="str">
        <f>IFERROR(INDEX(Raw_Data,MATCH($A38,Look_Up2,0),MATCH(S$4,Component,0)),"-")</f>
        <v>N/A</v>
      </c>
      <c r="T38" s="868">
        <f>IFERROR(INDEX(Raw_Data,MATCH($A38,Look_Up2,0),MATCH(T$4,Component,0))/1000,"-")</f>
        <v>559.02</v>
      </c>
      <c r="U38" s="870">
        <f>IFERROR(IF(INDEX(Raw_Data,MATCH($A38,Look_Up2,0),MATCH(U$4,Component,0))="-",S38,INDEX(Raw_Data,MATCH($A38,Look_Up2,0),MATCH(U$4,Component,0))),"-")</f>
        <v>1.2</v>
      </c>
      <c r="V38" s="868" t="s">
        <v>78</v>
      </c>
      <c r="W38" s="871">
        <f>IFERROR(INDEX(Raw_Data,MATCH($A38,Look_Up2,0),MATCH(W$4,Component,0))/1000,"-")</f>
        <v>1304.3800000000001</v>
      </c>
      <c r="X38" s="882">
        <f>IFERROR((INDEX(Raw_Data,MATCH($A38,Look_Up2,0),MATCH(X$4,Component,0))/1000),"-")</f>
        <v>0</v>
      </c>
      <c r="Y38" s="618">
        <f>IFERROR((INDEX(Raw_Data,MATCH($A38,Look_Up2,0),MATCH(Y$4,Component,0))/1000),"-")</f>
        <v>0</v>
      </c>
      <c r="Z38" s="618">
        <f>IFERROR(INDEX(Raw_Data,MATCH($A38,Look_Up2,0),MATCH(Z$4,Component,0))/1000,"-")</f>
        <v>465.85</v>
      </c>
      <c r="AA38" s="621">
        <f>IFERROR(INDEX(Raw_Data,MATCH($A38,Look_Up2,0),MATCH(AA$4,Component,0))/1000,"-")</f>
        <v>1304.3800000000001</v>
      </c>
      <c r="AB38" s="723"/>
      <c r="AC38" s="696">
        <f>IFERROR(P38/W38,0)</f>
        <v>0.5714285714285714</v>
      </c>
      <c r="AD38" s="697">
        <f>IFERROR(T38/W38,0)</f>
        <v>0.42857142857142855</v>
      </c>
      <c r="AE38" s="699" t="str">
        <f>B38&amp;"_"&amp;$AE$6&amp;"_"&amp;"NEO4"</f>
        <v>TSX:HBM_2023_NEO4</v>
      </c>
      <c r="AF38" s="699"/>
      <c r="AG38" s="699"/>
      <c r="AH38" s="699"/>
      <c r="AI38" s="699"/>
      <c r="AJ38" s="699"/>
      <c r="AK38" s="699"/>
      <c r="AL38" s="722"/>
      <c r="AM38" s="722"/>
      <c r="AN38" s="723"/>
    </row>
    <row r="39" spans="1:40" ht="20.25" customHeight="1">
      <c r="B39" s="33"/>
      <c r="C39" s="622" t="s">
        <v>5</v>
      </c>
      <c r="D39" s="623">
        <f>IF(D$38&gt;=MAX(D$8:D$26),"max",IF(D$38&lt;=MIN(D$8:D$26),"min",PERCENTRANK(D$8:D$26,D$38)))</f>
        <v>0.52200000000000002</v>
      </c>
      <c r="E39" s="623">
        <f>IF(E$38&gt;=MAX(E$8:E$26),"max",IF(E$38&lt;=MIN(E$8:E$26),"min",PERCENTRANK(E$8:E$26,E$38)))</f>
        <v>0.56899999999999995</v>
      </c>
      <c r="F39" s="624"/>
      <c r="G39" s="624"/>
      <c r="H39" s="624"/>
      <c r="I39" s="623">
        <f>IF(I$38&gt;=MAX(I$46:I$65),"max",IF(I$38&lt;=MIN(I$46:I$65),"min",PERCENTRANK(I$46:I$65,I$38)))</f>
        <v>0.36499999999999999</v>
      </c>
      <c r="J39" s="623" t="str">
        <f>IF(J$38&gt;=MAX(J$8:J$26),"max",IF(J$38&lt;=MIN(J$8:J$26),"min",PERCENTRANK(J$8:J$26,J$38)))</f>
        <v>min</v>
      </c>
      <c r="K39" s="623" t="str">
        <f>IF(K$38&gt;=MAX(K$8:K$26),"max",IF(K$38&lt;=MIN(K$8:K$26),"min",PERCENTRANK(K$8:K$26,K$38)))</f>
        <v>min</v>
      </c>
      <c r="L39" s="623" t="str">
        <f>IF(L$38&gt;=MAX(L$8:L$26),"max",IF(L$38&lt;=MIN(L$8:L$26),"min",PERCENTRANK(L$8:L$26,L$38)))</f>
        <v>min</v>
      </c>
      <c r="M39" s="623" t="str">
        <f>IF(M$38&gt;=MAX(M$46:M$65),"max",IF(M$38&lt;=MIN(M$46:M$65),"min",PERCENTRANK(M$46:M$65,M$38)))</f>
        <v>min</v>
      </c>
      <c r="N39" s="623" t="str">
        <f>IF(N$38&gt;=MAX(N$8:N$26),"max",IF(N$38&lt;=MIN(N$8:N$26),"min",PERCENTRANK(N$8:N$26,N$38)))</f>
        <v>min</v>
      </c>
      <c r="O39" s="623" t="s">
        <v>78</v>
      </c>
      <c r="P39" s="623" t="str">
        <f>IF(P$38&gt;=MAX(P$46:P$65),"max",IF(P$38&lt;=MIN(P$46:P$65),"min",PERCENTRANK(P$46:P$65,P$38)))</f>
        <v>min</v>
      </c>
      <c r="Q39" s="623" t="str">
        <f>IF(Q$38&gt;=MAX(Q$8:Q$26),"max",IF(Q$38&lt;=MIN(Q$8:Q$26),"min",PERCENTRANK(Q$8:Q$26,Q$38)))</f>
        <v>max</v>
      </c>
      <c r="R39" s="623" t="str">
        <f>IF(R$38&gt;=MAX(R$8:R$26),"max",IF(R$38&lt;=MIN(R$8:R$26),"min",PERCENTRANK(R$8:R$26,R$38)))</f>
        <v>max</v>
      </c>
      <c r="S39" s="623" t="str">
        <f>IF(S$38&gt;=MAX(S$8:S$26),"max",IF(S$38&lt;=MIN(S$8:S$26),"min",PERCENTRANK(S$8:S$26,S$38)))</f>
        <v>max</v>
      </c>
      <c r="T39" s="623" t="str">
        <f>IF(T$38&gt;=MAX(T$46:T$65),"max",IF(T$38&lt;=MIN(T$46:T$65),"min",PERCENTRANK(T$46:T$65,T$38)))</f>
        <v>min</v>
      </c>
      <c r="U39" s="623" t="str">
        <f>IF(U$38&gt;=MAX(U$8:U$26),"max",IF(U$38&lt;=MIN(U$8:U$26),"min",PERCENTRANK(U$8:U$26,U$38)))</f>
        <v>min</v>
      </c>
      <c r="V39" s="623" t="s">
        <v>78</v>
      </c>
      <c r="W39" s="625" t="str">
        <f>IF(W$38&gt;=MAX(W$46:W$65),"max",IF(W$38&lt;=MIN(W$46:W$65),"min",PERCENTRANK(W$46:W$65,W$38)))</f>
        <v>min</v>
      </c>
      <c r="X39" s="280" t="str">
        <f>IF(X$38&gt;=MAX(X$8:X$26),"max",IF(X$38&lt;=MIN(X$8:X$26),"min",PERCENTRANK(X$8:X$26,X$38)))</f>
        <v>min</v>
      </c>
      <c r="Y39" s="280" t="str">
        <f>IF(Y$38&gt;=MAX(Y$8:Y$26),"max",IF(Y$38&lt;=MIN(Y$8:Y$26),"min",PERCENTRANK(Y$8:Y$26,Y$38)))</f>
        <v>min</v>
      </c>
      <c r="Z39" s="280" t="str">
        <f>IF(Z$38&gt;=MAX(Z$8:Z$26),"max",IF(Z$38&lt;=MIN(Z$8:Z$26),"min",PERCENTRANK(Z$8:Z$26,Z$38)))</f>
        <v>min</v>
      </c>
      <c r="AA39" s="281" t="str">
        <f>IF(AA$38&gt;=MAX(AA$46:AA$65),"max",IF(AA$38&lt;=MIN(AA$46:AA$65),"min",PERCENTRANK(AA$46:AA$65,AA$38)))</f>
        <v>min</v>
      </c>
      <c r="AC39" s="282" t="str">
        <f>IF(AC$38&gt;=MAX(AC$8:AC26),"max",IF(AC$38&lt;=MIN(AC$8:AC26),"min",PERCENTRANK(AC$8:AC26,AC$38)))</f>
        <v>max</v>
      </c>
      <c r="AD39" s="283" t="str">
        <f>IF(AD$38&gt;=MAX(AD$8:AD26),"max",IF(AD$38&lt;=MIN(AD$8:AD26),"min",PERCENTRANK(AD$8:AD26,AD$38)))</f>
        <v>min</v>
      </c>
      <c r="AE39" s="316"/>
      <c r="AF39" s="316"/>
      <c r="AG39" s="316"/>
      <c r="AH39" s="316"/>
      <c r="AI39" s="316"/>
      <c r="AJ39" s="316"/>
      <c r="AK39" s="316"/>
      <c r="AL39" s="880"/>
      <c r="AM39" s="881"/>
    </row>
    <row r="40" spans="1:40" ht="7.5" customHeight="1">
      <c r="B40" s="33"/>
      <c r="C40" s="286"/>
      <c r="D40" s="286"/>
      <c r="E40" s="259"/>
      <c r="F40" s="259"/>
      <c r="G40" s="259"/>
      <c r="H40" s="259"/>
      <c r="I40" s="275"/>
      <c r="J40" s="275"/>
      <c r="K40" s="275"/>
      <c r="L40" s="275"/>
      <c r="M40" s="275"/>
      <c r="N40" s="275"/>
      <c r="O40" s="275"/>
      <c r="P40" s="275"/>
      <c r="Q40" s="275"/>
      <c r="R40" s="275"/>
      <c r="S40" s="275"/>
      <c r="T40" s="275"/>
      <c r="U40" s="275"/>
      <c r="V40" s="275"/>
      <c r="W40" s="275"/>
      <c r="X40" s="275"/>
      <c r="Y40" s="275"/>
      <c r="Z40" s="275"/>
      <c r="AA40" s="275"/>
      <c r="AC40" s="259"/>
      <c r="AD40" s="259"/>
      <c r="AE40" s="316"/>
      <c r="AF40" s="316"/>
      <c r="AG40" s="316"/>
      <c r="AH40" s="316"/>
      <c r="AI40" s="316"/>
      <c r="AJ40" s="316"/>
      <c r="AK40" s="316"/>
    </row>
    <row r="41" spans="1:40" ht="15" customHeight="1" thickBot="1">
      <c r="B41" s="33"/>
      <c r="C41" s="286" t="s">
        <v>243</v>
      </c>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40">
      <c r="B42" s="15"/>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C42" s="258"/>
      <c r="AD42" s="258"/>
      <c r="AL42" s="1129" t="s">
        <v>787</v>
      </c>
      <c r="AM42" s="1130"/>
    </row>
    <row r="43" spans="1:40">
      <c r="B43" s="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C43" s="27"/>
      <c r="AD43" s="27"/>
      <c r="AL43" s="1131"/>
      <c r="AM43" s="1132"/>
    </row>
    <row r="44" spans="1:40">
      <c r="B44" s="15"/>
      <c r="C44" s="305" t="s">
        <v>110</v>
      </c>
      <c r="D44" s="313"/>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C44" s="307"/>
      <c r="AD44" s="307"/>
      <c r="AE44" s="308"/>
      <c r="AF44" s="308"/>
      <c r="AG44" s="308"/>
      <c r="AH44" s="308"/>
      <c r="AI44" s="308"/>
      <c r="AJ44" s="308"/>
      <c r="AK44" s="308"/>
      <c r="AL44" s="1131"/>
      <c r="AM44" s="1132"/>
    </row>
    <row r="45" spans="1:40" ht="50">
      <c r="B45" s="15"/>
      <c r="C45" s="297" t="s">
        <v>111</v>
      </c>
      <c r="E45" s="14"/>
      <c r="F45" s="14"/>
      <c r="G45" s="315" t="s">
        <v>119</v>
      </c>
      <c r="H45" s="314" t="s">
        <v>115</v>
      </c>
      <c r="I45" s="314" t="s">
        <v>116</v>
      </c>
      <c r="J45" s="314"/>
      <c r="K45" s="314"/>
      <c r="L45" s="314"/>
      <c r="M45" s="314" t="s">
        <v>16</v>
      </c>
      <c r="O45" s="314"/>
      <c r="P45" s="314" t="s">
        <v>117</v>
      </c>
      <c r="Q45" s="314"/>
      <c r="R45" s="314"/>
      <c r="S45" s="314"/>
      <c r="T45" s="314" t="s">
        <v>14</v>
      </c>
      <c r="V45" s="314"/>
      <c r="W45" s="314" t="s">
        <v>118</v>
      </c>
      <c r="Y45" s="314"/>
      <c r="Z45" s="314"/>
      <c r="AA45" s="314" t="s">
        <v>246</v>
      </c>
      <c r="AC45" s="27"/>
      <c r="AD45" s="27"/>
      <c r="AL45" s="1131"/>
      <c r="AM45" s="1132"/>
    </row>
    <row r="46" spans="1:40" ht="14.5">
      <c r="A46" s="295" t="str">
        <f t="shared" ref="A46:B54" si="31">A8</f>
        <v>TSX:K_2024_Tech</v>
      </c>
      <c r="B46" s="295" t="str">
        <f t="shared" si="31"/>
        <v>TSX:K</v>
      </c>
      <c r="C46" s="660" t="str">
        <f>_xll.ciqfunctions.udf.CIQ(B46,"IQ_COMPANY_NAME")</f>
        <v>Kinross Gold Corporation</v>
      </c>
      <c r="E46" s="14"/>
      <c r="F46" s="14"/>
      <c r="G46" s="294" t="s">
        <v>661</v>
      </c>
      <c r="H46" s="303">
        <f t="shared" ref="H46:H65" si="32">IFERROR(INDEX(Raw_Data,MATCH($A46,Look_Up2,0),MATCH(H$4,Component,0))/1000,"-")</f>
        <v>535</v>
      </c>
      <c r="I46" s="303">
        <f>IFERROR(IF(G46="y",IF(H46&lt;&gt;"-",H46,INDEX(Raw_Data,MATCH($A46,Look_Up2,0),MATCH(I$4,Component,0))/1000*(1+'Raw Data'!$G$13)),(INDEX(Raw_Data,MATCH($A46,Look_Up2,0),MATCH(I$4,Component,0))/1000)),"-")</f>
        <v>535</v>
      </c>
      <c r="J46" s="361"/>
      <c r="K46" s="361"/>
      <c r="L46" s="361"/>
      <c r="M46" s="303">
        <f t="shared" ref="M46:M54" si="33">IFERROR(I46*N8,"-")</f>
        <v>401.25</v>
      </c>
      <c r="N46" s="362"/>
      <c r="O46" s="361"/>
      <c r="P46" s="303">
        <f>IFERROR(IF(SUM(M46,I46)=0,"-",SUM(M46,I46)),"-")</f>
        <v>936.25</v>
      </c>
      <c r="Q46" s="361"/>
      <c r="R46" s="361"/>
      <c r="S46" s="361"/>
      <c r="T46" s="303">
        <f t="shared" ref="T46:T54" si="34">IFERROR(I46*U8,"-")</f>
        <v>1134.2</v>
      </c>
      <c r="U46" s="362"/>
      <c r="V46" s="361"/>
      <c r="W46" s="303">
        <f>IFERROR(IF(SUM(T46,P46)=0,"-",SUM(T46,P46)),"-")</f>
        <v>2070.4499999999998</v>
      </c>
      <c r="X46" s="362"/>
      <c r="Y46" s="361"/>
      <c r="Z46" s="361"/>
      <c r="AA46" s="303">
        <f t="shared" ref="AA46:AA54" si="35">IFERROR(IF(SUM(W46,X8,Y8)=0,"-",SUM(W46,X8,Y8)),"-")</f>
        <v>2320.0703109399997</v>
      </c>
      <c r="AB46" s="362"/>
      <c r="AL46" s="1131"/>
      <c r="AM46" s="1132"/>
    </row>
    <row r="47" spans="1:40" ht="14.5">
      <c r="A47" s="295" t="str">
        <f t="shared" si="31"/>
        <v>TSX:LUN_2024_Tech</v>
      </c>
      <c r="B47" s="295" t="str">
        <f t="shared" si="31"/>
        <v>TSX:LUN</v>
      </c>
      <c r="C47" s="296" t="str">
        <f>_xll.ciqfunctions.udf.CIQ(B47,"IQ_COMPANY_NAME")</f>
        <v>Lundin Mining Corporation</v>
      </c>
      <c r="E47" s="14"/>
      <c r="F47" s="14"/>
      <c r="G47" s="294" t="s">
        <v>661</v>
      </c>
      <c r="H47" s="262" t="str">
        <f t="shared" si="32"/>
        <v>-</v>
      </c>
      <c r="I47" s="262" t="str">
        <f>IFERROR(IF(G47="y",IF(H47&lt;&gt;"-",H47,INDEX(Raw_Data,MATCH($A47,Look_Up2,0),MATCH(I$4,Component,0))/1000*(1+'Raw Data'!$G$13)),(INDEX(Raw_Data,MATCH($A47,Look_Up2,0),MATCH(I$4,Component,0))/1000)),"-")</f>
        <v>-</v>
      </c>
      <c r="J47" s="361"/>
      <c r="K47" s="361"/>
      <c r="L47" s="361"/>
      <c r="M47" s="262" t="str">
        <f t="shared" si="33"/>
        <v>-</v>
      </c>
      <c r="N47" s="362"/>
      <c r="O47" s="361"/>
      <c r="P47" s="262" t="str">
        <f t="shared" ref="P47:P65" si="36">IFERROR(IF(SUM(M47,I47)=0,"-",SUM(M47,I47)),"-")</f>
        <v>-</v>
      </c>
      <c r="Q47" s="361"/>
      <c r="R47" s="361"/>
      <c r="S47" s="361"/>
      <c r="T47" s="262" t="str">
        <f t="shared" si="34"/>
        <v>-</v>
      </c>
      <c r="U47" s="362"/>
      <c r="V47" s="361"/>
      <c r="W47" s="262" t="str">
        <f t="shared" ref="W47:W65" si="37">IFERROR(IF(SUM(T47,P47)=0,"-",SUM(T47,P47)),"-")</f>
        <v>-</v>
      </c>
      <c r="X47" s="362"/>
      <c r="Y47" s="361"/>
      <c r="Z47" s="361"/>
      <c r="AA47" s="262" t="str">
        <f t="shared" si="35"/>
        <v>-</v>
      </c>
      <c r="AB47" s="362"/>
      <c r="AL47" s="1131"/>
      <c r="AM47" s="1132"/>
    </row>
    <row r="48" spans="1:40" ht="15" thickBot="1">
      <c r="A48" s="295" t="str">
        <f t="shared" si="31"/>
        <v>TSX:AGI_2024_Tech</v>
      </c>
      <c r="B48" s="295" t="str">
        <f t="shared" si="31"/>
        <v>TSX:AGI</v>
      </c>
      <c r="C48" s="660" t="str">
        <f>_xll.ciqfunctions.udf.CIQ(B48,"IQ_COMPANY_NAME")</f>
        <v>Alamos Gold Inc.</v>
      </c>
      <c r="E48" s="14"/>
      <c r="F48" s="14"/>
      <c r="G48" s="294" t="s">
        <v>661</v>
      </c>
      <c r="H48" s="262" t="str">
        <f t="shared" si="32"/>
        <v>-</v>
      </c>
      <c r="I48" s="262">
        <f>IFERROR(IF(G48="y",IF(H48&lt;&gt;"-",H48,INDEX(Raw_Data,MATCH($A48,Look_Up2,0),MATCH(I$4,Component,0))/1000*(1+'Raw Data'!$G$13)),(INDEX(Raw_Data,MATCH($A48,Look_Up2,0),MATCH(I$4,Component,0))/1000)),"-")</f>
        <v>458.35</v>
      </c>
      <c r="J48" s="361"/>
      <c r="K48" s="361"/>
      <c r="L48" s="361"/>
      <c r="M48" s="262">
        <f t="shared" si="33"/>
        <v>320.84499999999997</v>
      </c>
      <c r="N48" s="362"/>
      <c r="O48" s="361"/>
      <c r="P48" s="262">
        <f t="shared" si="36"/>
        <v>779.19499999999994</v>
      </c>
      <c r="Q48" s="361"/>
      <c r="R48" s="361"/>
      <c r="S48" s="361"/>
      <c r="T48" s="262">
        <f t="shared" si="34"/>
        <v>710.44250000000011</v>
      </c>
      <c r="U48" s="362"/>
      <c r="V48" s="361"/>
      <c r="W48" s="262">
        <f t="shared" si="37"/>
        <v>1489.6375</v>
      </c>
      <c r="X48" s="362"/>
      <c r="Y48" s="361"/>
      <c r="Z48" s="361"/>
      <c r="AA48" s="262">
        <f t="shared" si="35"/>
        <v>1617.02768558</v>
      </c>
      <c r="AB48" s="362"/>
      <c r="AL48" s="1133"/>
      <c r="AM48" s="1134"/>
    </row>
    <row r="49" spans="1:30" ht="14.5">
      <c r="A49" s="295" t="str">
        <f t="shared" si="31"/>
        <v>TSX:PAAS_2024_Tech</v>
      </c>
      <c r="B49" s="295" t="str">
        <f t="shared" si="31"/>
        <v>TSX:PAAS</v>
      </c>
      <c r="C49" s="296" t="str">
        <f>_xll.ciqfunctions.udf.CIQ(B49,"IQ_COMPANY_NAME")</f>
        <v>Pan American Silver Corp.</v>
      </c>
      <c r="G49" s="294" t="s">
        <v>661</v>
      </c>
      <c r="H49" s="262" t="str">
        <f t="shared" si="32"/>
        <v>-</v>
      </c>
      <c r="I49" s="262" t="str">
        <f>IFERROR(IF(G49="y",IF(H49&lt;&gt;"-",H49,INDEX(Raw_Data,MATCH($A49,Look_Up2,0),MATCH(I$4,Component,0))/1000*(1+'Raw Data'!$G$13)),(INDEX(Raw_Data,MATCH($A49,Look_Up2,0),MATCH(I$4,Component,0))/1000)),"-")</f>
        <v>-</v>
      </c>
      <c r="J49" s="362"/>
      <c r="K49" s="362"/>
      <c r="L49" s="362"/>
      <c r="M49" s="262" t="str">
        <f t="shared" si="33"/>
        <v>-</v>
      </c>
      <c r="N49" s="362"/>
      <c r="O49" s="362"/>
      <c r="P49" s="262" t="str">
        <f t="shared" si="36"/>
        <v>-</v>
      </c>
      <c r="Q49" s="362"/>
      <c r="R49" s="362"/>
      <c r="S49" s="362"/>
      <c r="T49" s="262" t="str">
        <f t="shared" si="34"/>
        <v>-</v>
      </c>
      <c r="U49" s="362"/>
      <c r="V49" s="362"/>
      <c r="W49" s="262" t="str">
        <f t="shared" si="37"/>
        <v>-</v>
      </c>
      <c r="X49" s="362"/>
      <c r="Y49" s="362"/>
      <c r="Z49" s="362"/>
      <c r="AA49" s="262" t="str">
        <f t="shared" si="35"/>
        <v>-</v>
      </c>
      <c r="AB49" s="362"/>
    </row>
    <row r="50" spans="1:30" ht="14.5">
      <c r="A50" s="295" t="str">
        <f t="shared" si="31"/>
        <v>TSX:CS_2024_Tech</v>
      </c>
      <c r="B50" s="295" t="str">
        <f t="shared" si="31"/>
        <v>TSX:CS</v>
      </c>
      <c r="C50" s="296" t="str">
        <f>_xll.ciqfunctions.udf.CIQ(B50,"IQ_COMPANY_NAME")</f>
        <v>Capstone Copper Corp.</v>
      </c>
      <c r="G50" s="294" t="s">
        <v>661</v>
      </c>
      <c r="H50" s="262" t="str">
        <f t="shared" si="32"/>
        <v>-</v>
      </c>
      <c r="I50" s="262" t="str">
        <f>IFERROR(IF(G50="y",IF(H50&lt;&gt;"-",H50,INDEX(Raw_Data,MATCH($A50,Look_Up2,0),MATCH(I$4,Component,0))/1000*(1+'Raw Data'!$G$13)),(INDEX(Raw_Data,MATCH($A50,Look_Up2,0),MATCH(I$4,Component,0))/1000)),"-")</f>
        <v>-</v>
      </c>
      <c r="J50" s="362"/>
      <c r="K50" s="362"/>
      <c r="L50" s="362"/>
      <c r="M50" s="262" t="str">
        <f t="shared" si="33"/>
        <v>-</v>
      </c>
      <c r="N50" s="362"/>
      <c r="O50" s="362"/>
      <c r="P50" s="262" t="str">
        <f t="shared" si="36"/>
        <v>-</v>
      </c>
      <c r="Q50" s="362"/>
      <c r="R50" s="362"/>
      <c r="S50" s="362"/>
      <c r="T50" s="262" t="str">
        <f t="shared" si="34"/>
        <v>-</v>
      </c>
      <c r="U50" s="362"/>
      <c r="V50" s="362"/>
      <c r="W50" s="262" t="str">
        <f t="shared" si="37"/>
        <v>-</v>
      </c>
      <c r="X50" s="362"/>
      <c r="Y50" s="362"/>
      <c r="Z50" s="362"/>
      <c r="AA50" s="262" t="str">
        <f t="shared" si="35"/>
        <v>-</v>
      </c>
      <c r="AB50" s="362"/>
    </row>
    <row r="51" spans="1:30" ht="14.5">
      <c r="A51" s="295" t="str">
        <f t="shared" si="31"/>
        <v>TSX:IMG_2024_Tech</v>
      </c>
      <c r="B51" s="295" t="str">
        <f t="shared" si="31"/>
        <v>TSX:IMG</v>
      </c>
      <c r="C51" s="296" t="str">
        <f>_xll.ciqfunctions.udf.CIQ(B51,"IQ_COMPANY_NAME")</f>
        <v>IAMGOLD Corporation</v>
      </c>
      <c r="G51" s="294" t="s">
        <v>661</v>
      </c>
      <c r="H51" s="262" t="str">
        <f t="shared" si="32"/>
        <v>-</v>
      </c>
      <c r="I51" s="262" t="str">
        <f>IFERROR(IF(G51="y",IF(H51&lt;&gt;"-",H51,INDEX(Raw_Data,MATCH($A51,Look_Up2,0),MATCH(I$4,Component,0))/1000*(1+'Raw Data'!$G$13)),(INDEX(Raw_Data,MATCH($A51,Look_Up2,0),MATCH(I$4,Component,0))/1000)),"-")</f>
        <v>-</v>
      </c>
      <c r="J51" s="362"/>
      <c r="K51" s="362"/>
      <c r="L51" s="362"/>
      <c r="M51" s="262" t="str">
        <f t="shared" si="33"/>
        <v>-</v>
      </c>
      <c r="N51" s="362"/>
      <c r="O51" s="362"/>
      <c r="P51" s="262" t="str">
        <f t="shared" si="36"/>
        <v>-</v>
      </c>
      <c r="Q51" s="362"/>
      <c r="R51" s="362"/>
      <c r="S51" s="362"/>
      <c r="T51" s="262" t="str">
        <f t="shared" si="34"/>
        <v>-</v>
      </c>
      <c r="U51" s="362"/>
      <c r="V51" s="362"/>
      <c r="W51" s="262" t="str">
        <f t="shared" si="37"/>
        <v>-</v>
      </c>
      <c r="X51" s="362"/>
      <c r="Y51" s="362"/>
      <c r="Z51" s="362"/>
      <c r="AA51" s="262" t="str">
        <f t="shared" si="35"/>
        <v>-</v>
      </c>
      <c r="AB51" s="362"/>
    </row>
    <row r="52" spans="1:30" ht="14.5">
      <c r="A52" s="295" t="str">
        <f t="shared" si="31"/>
        <v>TSX:BTO_2024_Tech</v>
      </c>
      <c r="B52" s="295" t="str">
        <f t="shared" si="31"/>
        <v>TSX:BTO</v>
      </c>
      <c r="C52" s="660" t="str">
        <f>_xll.ciqfunctions.udf.CIQ(B52,"IQ_COMPANY_NAME")</f>
        <v>B2Gold Corp.</v>
      </c>
      <c r="G52" s="294" t="s">
        <v>661</v>
      </c>
      <c r="H52" s="262" t="str">
        <f t="shared" si="32"/>
        <v>-</v>
      </c>
      <c r="I52" s="262">
        <f>IFERROR(IF(G52="y",IF(H52&lt;&gt;"-",H52,INDEX(Raw_Data,MATCH($A52,Look_Up2,0),MATCH(I$4,Component,0))/1000*(1+'Raw Data'!$G$13)),(INDEX(Raw_Data,MATCH($A52,Look_Up2,0),MATCH(I$4,Component,0))/1000)),"-")</f>
        <v>618</v>
      </c>
      <c r="J52" s="362"/>
      <c r="K52" s="362"/>
      <c r="L52" s="362"/>
      <c r="M52" s="262">
        <f t="shared" si="33"/>
        <v>463.5</v>
      </c>
      <c r="N52" s="362"/>
      <c r="O52" s="362"/>
      <c r="P52" s="262">
        <f t="shared" si="36"/>
        <v>1081.5</v>
      </c>
      <c r="Q52" s="362"/>
      <c r="R52" s="362"/>
      <c r="S52" s="362"/>
      <c r="T52" s="262">
        <f t="shared" si="34"/>
        <v>1768.9999999999998</v>
      </c>
      <c r="U52" s="362"/>
      <c r="V52" s="362"/>
      <c r="W52" s="262">
        <f t="shared" si="37"/>
        <v>2850.5</v>
      </c>
      <c r="X52" s="362"/>
      <c r="Y52" s="362"/>
      <c r="Z52" s="362"/>
      <c r="AA52" s="262">
        <f t="shared" si="35"/>
        <v>2850.5</v>
      </c>
      <c r="AB52" s="362"/>
    </row>
    <row r="53" spans="1:30" s="17" customFormat="1" ht="14.5">
      <c r="A53" s="295" t="str">
        <f t="shared" si="31"/>
        <v>NYSE:HL_2024_Tech</v>
      </c>
      <c r="B53" s="295" t="str">
        <f t="shared" si="31"/>
        <v>NYSE:HL</v>
      </c>
      <c r="C53" s="296" t="str">
        <f>_xll.ciqfunctions.udf.CIQ(B53,"IQ_COMPANY_NAME")</f>
        <v>Hecla Mining Company</v>
      </c>
      <c r="E53" s="22"/>
      <c r="F53" s="20"/>
      <c r="G53" s="294" t="s">
        <v>661</v>
      </c>
      <c r="H53" s="262" t="str">
        <f t="shared" si="32"/>
        <v>-</v>
      </c>
      <c r="I53" s="262" t="str">
        <f>IFERROR(IF(G53="y",IF(H53&lt;&gt;"-",H53,INDEX(Raw_Data,MATCH($A53,Look_Up2,0),MATCH(I$4,Component,0))/1000*(1+'Raw Data'!$G$13)),(INDEX(Raw_Data,MATCH($A53,Look_Up2,0),MATCH(I$4,Component,0))/1000)),"-")</f>
        <v>-</v>
      </c>
      <c r="J53" s="22"/>
      <c r="K53" s="363"/>
      <c r="L53" s="363"/>
      <c r="M53" s="262" t="str">
        <f t="shared" si="33"/>
        <v>-</v>
      </c>
      <c r="N53" s="364"/>
      <c r="O53" s="22"/>
      <c r="P53" s="262" t="str">
        <f t="shared" si="36"/>
        <v>-</v>
      </c>
      <c r="Q53" s="21"/>
      <c r="R53" s="365"/>
      <c r="S53" s="365"/>
      <c r="T53" s="262" t="str">
        <f t="shared" si="34"/>
        <v>-</v>
      </c>
      <c r="U53" s="364"/>
      <c r="V53" s="22"/>
      <c r="W53" s="262" t="str">
        <f t="shared" si="37"/>
        <v>-</v>
      </c>
      <c r="X53" s="364"/>
      <c r="Y53" s="22"/>
      <c r="Z53" s="22"/>
      <c r="AA53" s="262" t="str">
        <f t="shared" si="35"/>
        <v>-</v>
      </c>
      <c r="AB53" s="364"/>
      <c r="AC53" s="19"/>
      <c r="AD53" s="19"/>
    </row>
    <row r="54" spans="1:30" ht="14.5">
      <c r="A54" s="295" t="str">
        <f t="shared" si="31"/>
        <v>TSX:NGD_2024_Tech</v>
      </c>
      <c r="B54" s="295" t="str">
        <f t="shared" si="31"/>
        <v>TSX:NGD</v>
      </c>
      <c r="C54" s="660" t="str">
        <f>_xll.ciqfunctions.udf.CIQ(B54,"IQ_COMPANY_NAME")</f>
        <v>New Gold Inc.</v>
      </c>
      <c r="G54" s="294" t="s">
        <v>661</v>
      </c>
      <c r="H54" s="262" t="str">
        <f t="shared" si="32"/>
        <v>-</v>
      </c>
      <c r="I54" s="262">
        <f>IFERROR(IF(G54="y",IF(H54&lt;&gt;"-",H54,INDEX(Raw_Data,MATCH($A54,Look_Up2,0),MATCH(I$4,Component,0))/1000*(1+'Raw Data'!$G$13)),(INDEX(Raw_Data,MATCH($A54,Look_Up2,0),MATCH(I$4,Component,0))/1000)),"-")</f>
        <v>453.2</v>
      </c>
      <c r="J54" s="366"/>
      <c r="K54" s="366"/>
      <c r="L54" s="366"/>
      <c r="M54" s="262">
        <f t="shared" si="33"/>
        <v>294.58</v>
      </c>
      <c r="N54" s="362"/>
      <c r="O54" s="366"/>
      <c r="P54" s="262">
        <f t="shared" si="36"/>
        <v>747.78</v>
      </c>
      <c r="Q54" s="366"/>
      <c r="R54" s="366"/>
      <c r="S54" s="366"/>
      <c r="T54" s="262">
        <f t="shared" si="34"/>
        <v>566.5</v>
      </c>
      <c r="U54" s="362"/>
      <c r="V54" s="366"/>
      <c r="W54" s="262">
        <f t="shared" si="37"/>
        <v>1314.28</v>
      </c>
      <c r="X54" s="362"/>
      <c r="Y54" s="366"/>
      <c r="Z54" s="366"/>
      <c r="AA54" s="262">
        <f t="shared" si="35"/>
        <v>1330.06</v>
      </c>
      <c r="AB54" s="362"/>
    </row>
    <row r="55" spans="1:30" ht="14.5">
      <c r="A55" s="295" t="e">
        <f>#REF!</f>
        <v>#REF!</v>
      </c>
      <c r="B55" s="295" t="e">
        <f>#REF!</f>
        <v>#REF!</v>
      </c>
      <c r="C55" s="660" t="str">
        <f>_xll.ciqfunctions.udf.CIQ(B55,"IQ_COMPANY_NAME")</f>
        <v>#NA</v>
      </c>
      <c r="G55" s="294" t="s">
        <v>661</v>
      </c>
      <c r="H55" s="262" t="str">
        <f t="shared" si="32"/>
        <v>-</v>
      </c>
      <c r="I55" s="262" t="str">
        <f>IFERROR(IF(G55="y",IF(H55&lt;&gt;"-",H55,INDEX(Raw_Data,MATCH($A55,Look_Up2,0),MATCH(I$4,Component,0))/1000*(1+'Raw Data'!$G$13)),(INDEX(Raw_Data,MATCH($A55,Look_Up2,0),MATCH(I$4,Component,0))/1000)),"-")</f>
        <v>-</v>
      </c>
      <c r="J55" s="362"/>
      <c r="K55" s="362"/>
      <c r="L55" s="362"/>
      <c r="M55" s="262" t="str">
        <f>IFERROR(I55*#REF!,"-")</f>
        <v>-</v>
      </c>
      <c r="N55" s="362"/>
      <c r="O55" s="362"/>
      <c r="P55" s="262" t="str">
        <f t="shared" si="36"/>
        <v>-</v>
      </c>
      <c r="Q55" s="362"/>
      <c r="R55" s="362"/>
      <c r="S55" s="362"/>
      <c r="T55" s="262" t="str">
        <f>IFERROR(I55*#REF!,"-")</f>
        <v>-</v>
      </c>
      <c r="U55" s="362"/>
      <c r="V55" s="362"/>
      <c r="W55" s="262" t="str">
        <f t="shared" si="37"/>
        <v>-</v>
      </c>
      <c r="X55" s="362"/>
      <c r="Y55" s="362"/>
      <c r="Z55" s="362"/>
      <c r="AA55" s="262" t="str">
        <f>IFERROR(IF(SUM(W55,#REF!,#REF!)=0,"-",SUM(W55,#REF!,#REF!)),"-")</f>
        <v>-</v>
      </c>
      <c r="AB55" s="362"/>
    </row>
    <row r="56" spans="1:30" ht="14.5">
      <c r="A56" s="295" t="str">
        <f t="shared" ref="A56:B65" si="38">A17</f>
        <v>TSX:SSRM_2024_Tech</v>
      </c>
      <c r="B56" s="295" t="str">
        <f t="shared" si="38"/>
        <v>TSX:SSRM</v>
      </c>
      <c r="C56" s="296" t="str">
        <f>_xll.ciqfunctions.udf.CIQ(B56,"IQ_COMPANY_NAME")</f>
        <v>SSR Mining Inc.</v>
      </c>
      <c r="G56" s="294" t="s">
        <v>661</v>
      </c>
      <c r="H56" s="262" t="str">
        <f t="shared" si="32"/>
        <v>-</v>
      </c>
      <c r="I56" s="262" t="str">
        <f>IFERROR(IF(G56="y",IF(H56&lt;&gt;"-",H56,INDEX(Raw_Data,MATCH($A56,Look_Up2,0),MATCH(I$4,Component,0))/1000*(1+'Raw Data'!$G$13)),(INDEX(Raw_Data,MATCH($A56,Look_Up2,0),MATCH(I$4,Component,0))/1000)),"-")</f>
        <v>-</v>
      </c>
      <c r="J56" s="362"/>
      <c r="K56" s="362"/>
      <c r="L56" s="362"/>
      <c r="M56" s="262" t="str">
        <f t="shared" ref="M56:M65" si="39">IFERROR(I56*N17,"-")</f>
        <v>-</v>
      </c>
      <c r="N56" s="362"/>
      <c r="O56" s="362"/>
      <c r="P56" s="262" t="str">
        <f t="shared" si="36"/>
        <v>-</v>
      </c>
      <c r="Q56" s="362"/>
      <c r="R56" s="362"/>
      <c r="S56" s="362"/>
      <c r="T56" s="262" t="str">
        <f t="shared" ref="T56:T65" si="40">IFERROR(I56*U17,"-")</f>
        <v>-</v>
      </c>
      <c r="U56" s="362"/>
      <c r="V56" s="362"/>
      <c r="W56" s="262" t="str">
        <f t="shared" si="37"/>
        <v>-</v>
      </c>
      <c r="X56" s="362"/>
      <c r="Y56" s="362"/>
      <c r="Z56" s="362"/>
      <c r="AA56" s="262" t="str">
        <f t="shared" ref="AA56:AA65" si="41">IFERROR(IF(SUM(W56,X17,Y17)=0,"-",SUM(W56,X17,Y17)),"-")</f>
        <v>-</v>
      </c>
      <c r="AB56" s="362"/>
    </row>
    <row r="57" spans="1:30" ht="14.5">
      <c r="A57" s="295" t="str">
        <f t="shared" si="38"/>
        <v>TSX:OGC
_2024_Tech</v>
      </c>
      <c r="B57" s="295" t="str">
        <f t="shared" si="38"/>
        <v xml:space="preserve">TSX:OGC
</v>
      </c>
      <c r="C57" s="296" t="str">
        <f>_xll.ciqfunctions.udf.CIQ(B57,"IQ_COMPANY_NAME")</f>
        <v>OceanaGold Corporation</v>
      </c>
      <c r="G57" s="294" t="s">
        <v>661</v>
      </c>
      <c r="H57" s="262" t="str">
        <f t="shared" si="32"/>
        <v>-</v>
      </c>
      <c r="I57" s="262" t="str">
        <f>IFERROR(IF(G57="y",IF(H57&lt;&gt;"-",H57,INDEX(Raw_Data,MATCH($A57,Look_Up2,0),MATCH(I$4,Component,0))/1000*(1+'Raw Data'!$G$13)),(INDEX(Raw_Data,MATCH($A57,Look_Up2,0),MATCH(I$4,Component,0))/1000)),"-")</f>
        <v>-</v>
      </c>
      <c r="J57" s="362"/>
      <c r="K57" s="362"/>
      <c r="L57" s="362"/>
      <c r="M57" s="262" t="str">
        <f t="shared" si="39"/>
        <v>-</v>
      </c>
      <c r="N57" s="362"/>
      <c r="O57" s="362"/>
      <c r="P57" s="262" t="str">
        <f t="shared" si="36"/>
        <v>-</v>
      </c>
      <c r="Q57" s="362"/>
      <c r="R57" s="362"/>
      <c r="S57" s="362"/>
      <c r="T57" s="262" t="str">
        <f t="shared" si="40"/>
        <v>-</v>
      </c>
      <c r="U57" s="362"/>
      <c r="V57" s="362"/>
      <c r="W57" s="262" t="str">
        <f t="shared" si="37"/>
        <v>-</v>
      </c>
      <c r="X57" s="362"/>
      <c r="Y57" s="362"/>
      <c r="Z57" s="362"/>
      <c r="AA57" s="262" t="str">
        <f t="shared" si="41"/>
        <v>-</v>
      </c>
      <c r="AB57" s="362"/>
    </row>
    <row r="58" spans="1:30" ht="14.5">
      <c r="A58" s="295" t="str">
        <f t="shared" si="38"/>
        <v>TSX:ERO_2024_Tech</v>
      </c>
      <c r="B58" s="295" t="str">
        <f t="shared" si="38"/>
        <v>TSX:ERO</v>
      </c>
      <c r="C58" s="296" t="str">
        <f>_xll.ciqfunctions.udf.CIQ(B58,"IQ_COMPANY_NAME")</f>
        <v>Ero Copper Corp.</v>
      </c>
      <c r="G58" s="294" t="s">
        <v>661</v>
      </c>
      <c r="H58" s="262" t="str">
        <f t="shared" si="32"/>
        <v>-</v>
      </c>
      <c r="I58" s="262" t="str">
        <f>IFERROR(IF(G58="y",IF(H58&lt;&gt;"-",H58,INDEX(Raw_Data,MATCH($A58,Look_Up2,0),MATCH(I$4,Component,0))/1000*(1+'Raw Data'!$G$13)),(INDEX(Raw_Data,MATCH($A58,Look_Up2,0),MATCH(I$4,Component,0))/1000)),"-")</f>
        <v>-</v>
      </c>
      <c r="J58" s="362"/>
      <c r="K58" s="362"/>
      <c r="L58" s="362"/>
      <c r="M58" s="262" t="str">
        <f t="shared" si="39"/>
        <v>-</v>
      </c>
      <c r="N58" s="362"/>
      <c r="O58" s="362"/>
      <c r="P58" s="262" t="str">
        <f t="shared" si="36"/>
        <v>-</v>
      </c>
      <c r="Q58" s="362"/>
      <c r="R58" s="362"/>
      <c r="S58" s="362"/>
      <c r="T58" s="262" t="str">
        <f t="shared" si="40"/>
        <v>-</v>
      </c>
      <c r="U58" s="362"/>
      <c r="V58" s="362"/>
      <c r="W58" s="262" t="str">
        <f t="shared" si="37"/>
        <v>-</v>
      </c>
      <c r="X58" s="362"/>
      <c r="Y58" s="362"/>
      <c r="Z58" s="362"/>
      <c r="AA58" s="262" t="str">
        <f t="shared" si="41"/>
        <v>-</v>
      </c>
      <c r="AB58" s="362"/>
    </row>
    <row r="59" spans="1:30" ht="14.5">
      <c r="A59" s="295" t="str">
        <f t="shared" si="38"/>
        <v>TSX:CG_2024_Tech</v>
      </c>
      <c r="B59" s="295" t="str">
        <f t="shared" si="38"/>
        <v>TSX:CG</v>
      </c>
      <c r="C59" s="296" t="str">
        <f>_xll.ciqfunctions.udf.CIQ(B59,"IQ_COMPANY_NAME")</f>
        <v>Centerra Gold Inc.</v>
      </c>
      <c r="G59" s="294" t="s">
        <v>661</v>
      </c>
      <c r="H59" s="262" t="str">
        <f t="shared" si="32"/>
        <v>-</v>
      </c>
      <c r="I59" s="262" t="str">
        <f>IFERROR(IF(G59="y",IF(H59&lt;&gt;"-",H59,INDEX(Raw_Data,MATCH($A59,Look_Up2,0),MATCH(I$4,Component,0))/1000*(1+'Raw Data'!$G$13)),(INDEX(Raw_Data,MATCH($A59,Look_Up2,0),MATCH(I$4,Component,0))/1000)),"-")</f>
        <v>-</v>
      </c>
      <c r="J59" s="362"/>
      <c r="K59" s="362"/>
      <c r="L59" s="362"/>
      <c r="M59" s="262" t="str">
        <f t="shared" si="39"/>
        <v>-</v>
      </c>
      <c r="N59" s="362"/>
      <c r="O59" s="362"/>
      <c r="P59" s="262" t="str">
        <f t="shared" si="36"/>
        <v>-</v>
      </c>
      <c r="Q59" s="362"/>
      <c r="R59" s="362"/>
      <c r="S59" s="362"/>
      <c r="T59" s="262" t="str">
        <f t="shared" si="40"/>
        <v>-</v>
      </c>
      <c r="U59" s="362"/>
      <c r="V59" s="362"/>
      <c r="W59" s="262" t="str">
        <f t="shared" si="37"/>
        <v>-</v>
      </c>
      <c r="X59" s="362"/>
      <c r="Y59" s="362"/>
      <c r="Z59" s="362"/>
      <c r="AA59" s="262" t="str">
        <f t="shared" si="41"/>
        <v>-</v>
      </c>
      <c r="AB59" s="362"/>
    </row>
    <row r="60" spans="1:30" ht="14.5">
      <c r="A60" s="295" t="str">
        <f t="shared" si="38"/>
        <v>0_2024_Tech</v>
      </c>
      <c r="B60" s="295">
        <f t="shared" si="38"/>
        <v>0</v>
      </c>
      <c r="C60" s="296" t="str">
        <f>_xll.ciqfunctions.udf.CIQ(B60,"IQ_COMPANY_NAME")</f>
        <v>(Invalid Identifier)</v>
      </c>
      <c r="G60" s="294" t="s">
        <v>661</v>
      </c>
      <c r="H60" s="262" t="str">
        <f t="shared" si="32"/>
        <v>-</v>
      </c>
      <c r="I60" s="262" t="str">
        <f>IFERROR(IF(G60="y",IF(H60&lt;&gt;"-",H60,INDEX(Raw_Data,MATCH($A60,Look_Up2,0),MATCH(I$4,Component,0))/1000*(1+'Raw Data'!$G$13)),(INDEX(Raw_Data,MATCH($A60,Look_Up2,0),MATCH(I$4,Component,0))/1000)),"-")</f>
        <v>-</v>
      </c>
      <c r="J60" s="362"/>
      <c r="K60" s="362"/>
      <c r="L60" s="362"/>
      <c r="M60" s="262" t="str">
        <f t="shared" si="39"/>
        <v>-</v>
      </c>
      <c r="N60" s="362"/>
      <c r="O60" s="362"/>
      <c r="P60" s="262" t="str">
        <f t="shared" si="36"/>
        <v>-</v>
      </c>
      <c r="Q60" s="362"/>
      <c r="R60" s="362"/>
      <c r="S60" s="362"/>
      <c r="T60" s="262" t="str">
        <f t="shared" si="40"/>
        <v>-</v>
      </c>
      <c r="U60" s="362"/>
      <c r="V60" s="362"/>
      <c r="W60" s="262" t="str">
        <f t="shared" si="37"/>
        <v>-</v>
      </c>
      <c r="X60" s="362"/>
      <c r="Y60" s="362"/>
      <c r="Z60" s="362"/>
      <c r="AA60" s="262" t="str">
        <f t="shared" si="41"/>
        <v>-</v>
      </c>
      <c r="AB60" s="362"/>
    </row>
    <row r="61" spans="1:30" ht="14.5">
      <c r="A61" s="295" t="str">
        <f t="shared" si="38"/>
        <v>0_2024_Tech</v>
      </c>
      <c r="B61" s="295">
        <f t="shared" si="38"/>
        <v>0</v>
      </c>
      <c r="C61" s="296" t="str">
        <f>_xll.ciqfunctions.udf.CIQ(B61,"IQ_COMPANY_NAME")</f>
        <v>(Invalid Identifier)</v>
      </c>
      <c r="G61" s="294" t="s">
        <v>661</v>
      </c>
      <c r="H61" s="262" t="str">
        <f t="shared" si="32"/>
        <v>-</v>
      </c>
      <c r="I61" s="262" t="str">
        <f>IFERROR(IF(G61="y",IF(H61&lt;&gt;"-",H61,INDEX(Raw_Data,MATCH($A61,Look_Up2,0),MATCH(I$4,Component,0))/1000*(1+'Raw Data'!$G$13)),(INDEX(Raw_Data,MATCH($A61,Look_Up2,0),MATCH(I$4,Component,0))/1000)),"-")</f>
        <v>-</v>
      </c>
      <c r="J61" s="362"/>
      <c r="K61" s="362"/>
      <c r="L61" s="362"/>
      <c r="M61" s="262" t="str">
        <f t="shared" si="39"/>
        <v>-</v>
      </c>
      <c r="N61" s="362"/>
      <c r="O61" s="362"/>
      <c r="P61" s="262" t="str">
        <f t="shared" si="36"/>
        <v>-</v>
      </c>
      <c r="Q61" s="362"/>
      <c r="R61" s="362"/>
      <c r="S61" s="362"/>
      <c r="T61" s="262" t="str">
        <f t="shared" si="40"/>
        <v>-</v>
      </c>
      <c r="U61" s="362"/>
      <c r="V61" s="362"/>
      <c r="W61" s="262" t="str">
        <f t="shared" si="37"/>
        <v>-</v>
      </c>
      <c r="X61" s="362"/>
      <c r="Y61" s="362"/>
      <c r="Z61" s="362"/>
      <c r="AA61" s="262" t="str">
        <f t="shared" si="41"/>
        <v>-</v>
      </c>
      <c r="AB61" s="362"/>
    </row>
    <row r="62" spans="1:30" ht="14.5">
      <c r="A62" s="295" t="str">
        <f t="shared" si="38"/>
        <v>0_2024_Tech</v>
      </c>
      <c r="B62" s="295">
        <f t="shared" si="38"/>
        <v>0</v>
      </c>
      <c r="C62" s="296" t="str">
        <f>_xll.ciqfunctions.udf.CIQ(B62,"IQ_COMPANY_NAME")</f>
        <v>(Invalid Identifier)</v>
      </c>
      <c r="G62" s="294" t="s">
        <v>661</v>
      </c>
      <c r="H62" s="262" t="str">
        <f t="shared" si="32"/>
        <v>-</v>
      </c>
      <c r="I62" s="262" t="str">
        <f>IFERROR(IF(G62="y",IF(H62&lt;&gt;"-",H62,INDEX(Raw_Data,MATCH($A62,Look_Up2,0),MATCH(I$4,Component,0))/1000*(1+'Raw Data'!$G$13)),(INDEX(Raw_Data,MATCH($A62,Look_Up2,0),MATCH(I$4,Component,0))/1000)),"-")</f>
        <v>-</v>
      </c>
      <c r="J62" s="362"/>
      <c r="K62" s="362"/>
      <c r="L62" s="362"/>
      <c r="M62" s="262" t="str">
        <f t="shared" si="39"/>
        <v>-</v>
      </c>
      <c r="N62" s="362"/>
      <c r="O62" s="362"/>
      <c r="P62" s="262" t="str">
        <f t="shared" si="36"/>
        <v>-</v>
      </c>
      <c r="Q62" s="362"/>
      <c r="R62" s="362"/>
      <c r="S62" s="362"/>
      <c r="T62" s="262" t="str">
        <f t="shared" si="40"/>
        <v>-</v>
      </c>
      <c r="U62" s="362"/>
      <c r="V62" s="362"/>
      <c r="W62" s="262" t="str">
        <f t="shared" si="37"/>
        <v>-</v>
      </c>
      <c r="X62" s="362"/>
      <c r="Y62" s="362"/>
      <c r="Z62" s="362"/>
      <c r="AA62" s="262" t="str">
        <f t="shared" si="41"/>
        <v>-</v>
      </c>
      <c r="AB62" s="362"/>
    </row>
    <row r="63" spans="1:30" ht="14.5">
      <c r="A63" s="295" t="str">
        <f t="shared" si="38"/>
        <v>0_2024_Tech</v>
      </c>
      <c r="B63" s="295">
        <f t="shared" si="38"/>
        <v>0</v>
      </c>
      <c r="C63" s="296" t="str">
        <f>_xll.ciqfunctions.udf.CIQ(B63,"IQ_COMPANY_NAME")</f>
        <v>(Invalid Identifier)</v>
      </c>
      <c r="G63" s="294" t="s">
        <v>661</v>
      </c>
      <c r="H63" s="262" t="str">
        <f t="shared" si="32"/>
        <v>-</v>
      </c>
      <c r="I63" s="262" t="str">
        <f>IFERROR(IF(G63="y",IF(H63&lt;&gt;"-",H63,INDEX(Raw_Data,MATCH($A63,Look_Up2,0),MATCH(I$4,Component,0))/1000*(1+'Raw Data'!$G$13)),(INDEX(Raw_Data,MATCH($A63,Look_Up2,0),MATCH(I$4,Component,0))/1000)),"-")</f>
        <v>-</v>
      </c>
      <c r="J63" s="362"/>
      <c r="K63" s="362"/>
      <c r="L63" s="362"/>
      <c r="M63" s="262" t="str">
        <f t="shared" si="39"/>
        <v>-</v>
      </c>
      <c r="N63" s="362"/>
      <c r="O63" s="362"/>
      <c r="P63" s="262" t="str">
        <f t="shared" si="36"/>
        <v>-</v>
      </c>
      <c r="Q63" s="362"/>
      <c r="R63" s="362"/>
      <c r="S63" s="362"/>
      <c r="T63" s="262" t="str">
        <f t="shared" si="40"/>
        <v>-</v>
      </c>
      <c r="U63" s="362"/>
      <c r="V63" s="362"/>
      <c r="W63" s="262" t="str">
        <f t="shared" si="37"/>
        <v>-</v>
      </c>
      <c r="X63" s="362"/>
      <c r="Y63" s="362"/>
      <c r="Z63" s="362"/>
      <c r="AA63" s="262" t="str">
        <f t="shared" si="41"/>
        <v>-</v>
      </c>
      <c r="AB63" s="362"/>
    </row>
    <row r="64" spans="1:30" ht="14.5">
      <c r="A64" s="295" t="str">
        <f t="shared" si="38"/>
        <v>0_2024_Tech</v>
      </c>
      <c r="B64" s="295">
        <f t="shared" si="38"/>
        <v>0</v>
      </c>
      <c r="C64" s="296" t="str">
        <f>_xll.ciqfunctions.udf.CIQ(B64,"IQ_COMPANY_NAME")</f>
        <v>(Invalid Identifier)</v>
      </c>
      <c r="G64" s="294" t="s">
        <v>661</v>
      </c>
      <c r="H64" s="262" t="str">
        <f t="shared" si="32"/>
        <v>-</v>
      </c>
      <c r="I64" s="262" t="str">
        <f>IFERROR(IF(G64="y",IF(H64&lt;&gt;"-",H64,INDEX(Raw_Data,MATCH($A64,Look_Up2,0),MATCH(I$4,Component,0))/1000*(1+'Raw Data'!$G$13)),(INDEX(Raw_Data,MATCH($A64,Look_Up2,0),MATCH(I$4,Component,0))/1000)),"-")</f>
        <v>-</v>
      </c>
      <c r="J64" s="362"/>
      <c r="K64" s="362"/>
      <c r="L64" s="362"/>
      <c r="M64" s="262" t="str">
        <f t="shared" si="39"/>
        <v>-</v>
      </c>
      <c r="N64" s="362"/>
      <c r="O64" s="362"/>
      <c r="P64" s="262" t="str">
        <f t="shared" si="36"/>
        <v>-</v>
      </c>
      <c r="Q64" s="362"/>
      <c r="R64" s="362"/>
      <c r="S64" s="362"/>
      <c r="T64" s="262" t="str">
        <f t="shared" si="40"/>
        <v>-</v>
      </c>
      <c r="U64" s="362"/>
      <c r="V64" s="362"/>
      <c r="W64" s="262" t="str">
        <f t="shared" si="37"/>
        <v>-</v>
      </c>
      <c r="X64" s="362"/>
      <c r="Y64" s="362"/>
      <c r="Z64" s="362"/>
      <c r="AA64" s="262" t="str">
        <f t="shared" si="41"/>
        <v>-</v>
      </c>
      <c r="AB64" s="362"/>
    </row>
    <row r="65" spans="1:28" ht="14.5">
      <c r="A65" s="295" t="str">
        <f t="shared" si="38"/>
        <v>0_2024_Tech</v>
      </c>
      <c r="B65" s="295">
        <f t="shared" si="38"/>
        <v>0</v>
      </c>
      <c r="C65" s="296" t="str">
        <f>_xll.ciqfunctions.udf.CIQ(B65,"IQ_COMPANY_NAME")</f>
        <v>(Invalid Identifier)</v>
      </c>
      <c r="G65" s="294" t="s">
        <v>661</v>
      </c>
      <c r="H65" s="304" t="str">
        <f t="shared" si="32"/>
        <v>-</v>
      </c>
      <c r="I65" s="262" t="str">
        <f>IFERROR(IF(G65="y",IF(H65&lt;&gt;"-",H65,INDEX(Raw_Data,MATCH($A65,Look_Up2,0),MATCH(I$4,Component,0))/1000*(1+'Raw Data'!$G$13)),(INDEX(Raw_Data,MATCH($A65,Look_Up2,0),MATCH(I$4,Component,0))/1000)),"-")</f>
        <v>-</v>
      </c>
      <c r="J65" s="362"/>
      <c r="K65" s="362"/>
      <c r="L65" s="362"/>
      <c r="M65" s="262" t="str">
        <f t="shared" si="39"/>
        <v>-</v>
      </c>
      <c r="N65" s="362"/>
      <c r="O65" s="362"/>
      <c r="P65" s="304" t="str">
        <f t="shared" si="36"/>
        <v>-</v>
      </c>
      <c r="Q65" s="362"/>
      <c r="R65" s="362"/>
      <c r="S65" s="362"/>
      <c r="T65" s="262" t="str">
        <f t="shared" si="40"/>
        <v>-</v>
      </c>
      <c r="U65" s="362"/>
      <c r="V65" s="362"/>
      <c r="W65" s="304" t="str">
        <f t="shared" si="37"/>
        <v>-</v>
      </c>
      <c r="X65" s="362"/>
      <c r="Y65" s="362"/>
      <c r="Z65" s="362"/>
      <c r="AA65" s="304" t="str">
        <f t="shared" si="41"/>
        <v>-</v>
      </c>
      <c r="AB65" s="362"/>
    </row>
    <row r="66" spans="1:28" ht="14.5">
      <c r="A66" s="15"/>
      <c r="B66" s="15"/>
      <c r="I66" s="288"/>
      <c r="M66" s="288"/>
      <c r="P66" s="288"/>
      <c r="T66" s="288"/>
      <c r="W66" s="288"/>
      <c r="AA66" s="288"/>
    </row>
    <row r="67" spans="1:28" ht="14.5">
      <c r="A67" s="15"/>
      <c r="B67" s="15"/>
      <c r="I67" s="262">
        <f>PERCENTILE(I$46:I$65,$B28)</f>
        <v>555.75</v>
      </c>
      <c r="M67" s="262">
        <f>PERCENTILE(M$46:M$65,$B28)</f>
        <v>416.8125</v>
      </c>
      <c r="P67" s="262">
        <f>PERCENTILE(P$46:P$65,$B28)</f>
        <v>972.5625</v>
      </c>
      <c r="T67" s="262">
        <f>PERCENTILE(T$46:T$65,$B28)</f>
        <v>1292.9000000000001</v>
      </c>
      <c r="W67" s="262">
        <f>PERCENTILE(W$46:W$65,$B28)</f>
        <v>2265.4624999999996</v>
      </c>
      <c r="AA67" s="262">
        <f>PERCENTILE(AA$46:AA$65,$B28)</f>
        <v>2452.6777332049996</v>
      </c>
    </row>
    <row r="68" spans="1:28" ht="14.5">
      <c r="A68" s="15"/>
      <c r="B68" s="15"/>
      <c r="I68" s="266">
        <f>PERCENTILE(I$46:I$65,$B29)</f>
        <v>496.67500000000001</v>
      </c>
      <c r="M68" s="266">
        <f>PERCENTILE(M$46:M$65,$B29)</f>
        <v>361.04750000000001</v>
      </c>
      <c r="P68" s="266">
        <f>PERCENTILE(P$46:P$65,$B29)</f>
        <v>857.72249999999997</v>
      </c>
      <c r="T68" s="266">
        <f>PERCENTILE(T$46:T$65,$B29)</f>
        <v>922.32125000000008</v>
      </c>
      <c r="W68" s="266">
        <f>PERCENTILE(W$46:W$65,$B29)</f>
        <v>1780.0437499999998</v>
      </c>
      <c r="AA68" s="266">
        <f>PERCENTILE(AA$46:AA$65,$B29)</f>
        <v>1968.5489982599997</v>
      </c>
    </row>
    <row r="69" spans="1:28" ht="14.5">
      <c r="A69" s="15"/>
      <c r="B69" s="15"/>
      <c r="I69" s="262">
        <f>PERCENTILE(I$46:I$65,$B30)</f>
        <v>457.0625</v>
      </c>
      <c r="M69" s="262">
        <f>PERCENTILE(M$46:M$65,$B30)</f>
        <v>314.27874999999995</v>
      </c>
      <c r="P69" s="262">
        <f>PERCENTILE(P$46:P$65,$B30)</f>
        <v>771.34124999999995</v>
      </c>
      <c r="T69" s="262">
        <f>PERCENTILE(T$46:T$65,$B30)</f>
        <v>674.45687500000008</v>
      </c>
      <c r="W69" s="262">
        <f>PERCENTILE(W$46:W$65,$B30)</f>
        <v>1445.798125</v>
      </c>
      <c r="AA69" s="262">
        <f>PERCENTILE(AA$46:AA$65,$B30)</f>
        <v>1545.2857641850001</v>
      </c>
    </row>
    <row r="70" spans="1:28" ht="14.5">
      <c r="A70" s="15"/>
      <c r="B70" s="15"/>
      <c r="I70" s="270">
        <f>AVERAGE(I46:I65)</f>
        <v>516.13749999999993</v>
      </c>
      <c r="M70" s="270">
        <f>AVERAGE(M46:M65)</f>
        <v>370.04374999999999</v>
      </c>
      <c r="P70" s="270">
        <f>AVERAGE(P46:P65)</f>
        <v>886.18124999999986</v>
      </c>
      <c r="T70" s="270">
        <f>AVERAGE(T46:T65)</f>
        <v>1045.035625</v>
      </c>
      <c r="W70" s="270">
        <f>AVERAGE(W46:W65)</f>
        <v>1931.2168749999998</v>
      </c>
      <c r="AA70" s="270">
        <f>AVERAGE(AA46:AA65)</f>
        <v>2029.41449913</v>
      </c>
    </row>
    <row r="71" spans="1:28">
      <c r="A71" s="15"/>
      <c r="B71" s="15"/>
    </row>
  </sheetData>
  <mergeCells count="11">
    <mergeCell ref="AL42:AM48"/>
    <mergeCell ref="I6:I7"/>
    <mergeCell ref="X6:X7"/>
    <mergeCell ref="Y6:Y7"/>
    <mergeCell ref="Z6:AA6"/>
    <mergeCell ref="H6:H7"/>
    <mergeCell ref="C6:C7"/>
    <mergeCell ref="D6:D7"/>
    <mergeCell ref="E6:E7"/>
    <mergeCell ref="F6:F7"/>
    <mergeCell ref="G6:G7"/>
  </mergeCells>
  <conditionalFormatting sqref="C9:AA13">
    <cfRule type="expression" dxfId="45" priority="5">
      <formula>MOD(ROW(),2)=0</formula>
    </cfRule>
  </conditionalFormatting>
  <conditionalFormatting sqref="C15:AA26 AC15:AD26 AG15:AK26 C28:W31 C33:W36">
    <cfRule type="expression" dxfId="44" priority="6">
      <formula>MOD(ROW(),2)=0</formula>
    </cfRule>
  </conditionalFormatting>
  <conditionalFormatting sqref="H46:I65">
    <cfRule type="expression" dxfId="43" priority="79">
      <formula>MOD(ROW(),2)=0</formula>
    </cfRule>
  </conditionalFormatting>
  <conditionalFormatting sqref="I67:I70">
    <cfRule type="expression" dxfId="42" priority="84">
      <formula>MOD(ROW(),2)=0</formula>
    </cfRule>
  </conditionalFormatting>
  <conditionalFormatting sqref="M46:M65">
    <cfRule type="expression" dxfId="41" priority="87">
      <formula>MOD(ROW(),2)=0</formula>
    </cfRule>
  </conditionalFormatting>
  <conditionalFormatting sqref="M67:M70">
    <cfRule type="expression" dxfId="40" priority="83">
      <formula>MOD(ROW(),2)=0</formula>
    </cfRule>
  </conditionalFormatting>
  <conditionalFormatting sqref="P46:P65">
    <cfRule type="expression" dxfId="39" priority="86">
      <formula>MOD(ROW(),2)=0</formula>
    </cfRule>
  </conditionalFormatting>
  <conditionalFormatting sqref="P67:P70">
    <cfRule type="expression" dxfId="38" priority="82">
      <formula>MOD(ROW(),2)=0</formula>
    </cfRule>
  </conditionalFormatting>
  <conditionalFormatting sqref="T46:T65">
    <cfRule type="expression" dxfId="37" priority="85">
      <formula>MOD(ROW(),2)=0</formula>
    </cfRule>
  </conditionalFormatting>
  <conditionalFormatting sqref="T67:T70">
    <cfRule type="expression" dxfId="36" priority="81">
      <formula>MOD(ROW(),2)=0</formula>
    </cfRule>
  </conditionalFormatting>
  <conditionalFormatting sqref="W46:W65">
    <cfRule type="expression" dxfId="35" priority="77">
      <formula>MOD(ROW(),2)=0</formula>
    </cfRule>
  </conditionalFormatting>
  <conditionalFormatting sqref="W67:W70">
    <cfRule type="expression" dxfId="34" priority="80">
      <formula>MOD(ROW(),2)=0</formula>
    </cfRule>
  </conditionalFormatting>
  <conditionalFormatting sqref="X28:AA36">
    <cfRule type="expression" dxfId="33" priority="7">
      <formula>MOD(ROW(),2)=0</formula>
    </cfRule>
  </conditionalFormatting>
  <conditionalFormatting sqref="AA46:AA65">
    <cfRule type="expression" dxfId="32" priority="74">
      <formula>MOD(ROW(),2)=0</formula>
    </cfRule>
  </conditionalFormatting>
  <conditionalFormatting sqref="AA67:AA70">
    <cfRule type="expression" dxfId="31" priority="75">
      <formula>MOD(ROW(),2)=0</formula>
    </cfRule>
  </conditionalFormatting>
  <conditionalFormatting sqref="AC9:AD13">
    <cfRule type="expression" dxfId="30" priority="9">
      <formula>MOD(ROW(),2)=0</formula>
    </cfRule>
  </conditionalFormatting>
  <conditionalFormatting sqref="AC28:AD36">
    <cfRule type="expression" dxfId="29" priority="8">
      <formula>MOD(ROW(),2)=0</formula>
    </cfRule>
  </conditionalFormatting>
  <conditionalFormatting sqref="AG9:AM13 AL15:AM16">
    <cfRule type="expression" dxfId="28" priority="2">
      <formula>MOD(ROW(),2)=0</formula>
    </cfRule>
  </conditionalFormatting>
  <conditionalFormatting sqref="AL9:AM13 AL15:AM16">
    <cfRule type="expression" dxfId="27" priority="1">
      <formula>$AJ9="Y"</formula>
    </cfRule>
  </conditionalFormatting>
  <conditionalFormatting sqref="AL18:AM18 AL20:AM26">
    <cfRule type="expression" dxfId="26" priority="3">
      <formula>MOD(ROW(),2)=0</formula>
    </cfRule>
  </conditionalFormatting>
  <conditionalFormatting sqref="AL28:AM32">
    <cfRule type="expression" dxfId="25" priority="4">
      <formula>MOD(ROW(),2)=0</formula>
    </cfRule>
  </conditionalFormatting>
  <conditionalFormatting sqref="AN17:AN26">
    <cfRule type="expression" dxfId="24" priority="19">
      <formula>MOD(ROW(),2)=0</formula>
    </cfRule>
  </conditionalFormatting>
  <dataValidations count="1">
    <dataValidation type="list" allowBlank="1" showInputMessage="1" showErrorMessage="1" sqref="G46:G65" xr:uid="{47D57F15-0303-42BB-AEE5-06CC4E445BF9}">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24C6-E8BE-4365-9003-CACA138AB347}">
  <sheetPr>
    <tabColor theme="2" tint="0.749992370372631"/>
  </sheetPr>
  <dimension ref="A1:AS1"/>
  <sheetViews>
    <sheetView workbookViewId="0"/>
  </sheetViews>
  <sheetFormatPr defaultRowHeight="14.5"/>
  <sheetData>
    <row r="1" spans="1:45">
      <c r="A1">
        <v>45</v>
      </c>
      <c r="B1" t="s">
        <v>902</v>
      </c>
      <c r="C1" t="s">
        <v>903</v>
      </c>
      <c r="D1" t="s">
        <v>904</v>
      </c>
      <c r="E1" t="s">
        <v>905</v>
      </c>
      <c r="F1" t="s">
        <v>906</v>
      </c>
      <c r="G1" t="s">
        <v>907</v>
      </c>
      <c r="H1" t="s">
        <v>908</v>
      </c>
      <c r="I1" t="s">
        <v>909</v>
      </c>
      <c r="J1" t="s">
        <v>910</v>
      </c>
      <c r="K1" t="s">
        <v>911</v>
      </c>
      <c r="L1" t="s">
        <v>912</v>
      </c>
      <c r="M1" t="s">
        <v>913</v>
      </c>
      <c r="N1" t="s">
        <v>914</v>
      </c>
      <c r="O1" t="s">
        <v>915</v>
      </c>
      <c r="P1" t="s">
        <v>916</v>
      </c>
      <c r="Q1" t="s">
        <v>917</v>
      </c>
      <c r="R1" t="s">
        <v>918</v>
      </c>
      <c r="S1" t="s">
        <v>919</v>
      </c>
      <c r="T1" t="s">
        <v>920</v>
      </c>
      <c r="U1" t="s">
        <v>921</v>
      </c>
      <c r="V1" t="s">
        <v>922</v>
      </c>
      <c r="W1" t="s">
        <v>923</v>
      </c>
      <c r="X1" t="s">
        <v>924</v>
      </c>
      <c r="Y1" t="s">
        <v>925</v>
      </c>
      <c r="Z1" t="s">
        <v>926</v>
      </c>
      <c r="AA1" t="s">
        <v>927</v>
      </c>
      <c r="AB1" t="s">
        <v>928</v>
      </c>
      <c r="AC1" t="s">
        <v>929</v>
      </c>
      <c r="AD1" t="s">
        <v>930</v>
      </c>
      <c r="AE1" t="s">
        <v>931</v>
      </c>
      <c r="AF1" t="s">
        <v>932</v>
      </c>
      <c r="AG1" t="s">
        <v>933</v>
      </c>
      <c r="AH1" t="s">
        <v>934</v>
      </c>
      <c r="AI1" t="s">
        <v>935</v>
      </c>
      <c r="AJ1" t="s">
        <v>936</v>
      </c>
      <c r="AK1" t="s">
        <v>937</v>
      </c>
      <c r="AL1" t="s">
        <v>938</v>
      </c>
      <c r="AM1" t="s">
        <v>939</v>
      </c>
      <c r="AN1" t="s">
        <v>940</v>
      </c>
      <c r="AO1" t="s">
        <v>941</v>
      </c>
      <c r="AP1" t="s">
        <v>942</v>
      </c>
      <c r="AQ1" t="s">
        <v>943</v>
      </c>
      <c r="AR1" t="s">
        <v>944</v>
      </c>
      <c r="AS1" t="s">
        <v>945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5143-2A64-407B-AA56-13DBA2D69D0A}">
  <sheetPr>
    <tabColor theme="2" tint="0.749992370372631"/>
    <pageSetUpPr fitToPage="1"/>
  </sheetPr>
  <dimension ref="A1:AW60"/>
  <sheetViews>
    <sheetView showGridLines="0" tabSelected="1" zoomScale="85" zoomScaleNormal="85" workbookViewId="0">
      <pane xSplit="8" ySplit="7" topLeftCell="I11" activePane="bottomRight" state="frozen"/>
      <selection pane="topRight" activeCell="I1" sqref="I1"/>
      <selection pane="bottomLeft" activeCell="A8" sqref="A8"/>
      <selection pane="bottomRight" activeCell="C6" sqref="C6:AU25"/>
    </sheetView>
  </sheetViews>
  <sheetFormatPr defaultColWidth="9.1796875" defaultRowHeight="14.5" outlineLevelRow="1" outlineLevelCol="3"/>
  <cols>
    <col min="1" max="1" width="12" style="12" customWidth="1"/>
    <col min="2" max="2" width="8.1796875" style="12" customWidth="1"/>
    <col min="3" max="3" width="15.90625" style="12" customWidth="1"/>
    <col min="4" max="5" width="14.453125" style="12" hidden="1" customWidth="1" outlineLevel="1"/>
    <col min="6" max="6" width="12.1796875" style="736" customWidth="1" outlineLevel="1"/>
    <col min="7" max="7" width="15.90625" style="736" customWidth="1"/>
    <col min="8" max="8" width="5.7265625" style="12" hidden="1" customWidth="1" outlineLevel="1"/>
    <col min="9" max="9" width="10.81640625" style="12" hidden="1" customWidth="1" outlineLevel="1" collapsed="1"/>
    <col min="10" max="10" width="8" style="12" hidden="1" customWidth="1" outlineLevel="2"/>
    <col min="11" max="11" width="8.54296875" style="12" hidden="1" customWidth="1" outlineLevel="2"/>
    <col min="12" max="12" width="12.453125" style="12" hidden="1" customWidth="1" outlineLevel="2"/>
    <col min="13" max="13" width="10.26953125" style="12" hidden="1" customWidth="1" outlineLevel="1" collapsed="1"/>
    <col min="14" max="15" width="11.26953125" style="12" hidden="1" customWidth="1" outlineLevel="1"/>
    <col min="16" max="16" width="10.54296875" style="12" hidden="1" customWidth="1" outlineLevel="1"/>
    <col min="17" max="18" width="10.54296875" style="12" hidden="1" customWidth="1" outlineLevel="2"/>
    <col min="19" max="19" width="27" style="12" hidden="1" customWidth="1" outlineLevel="2"/>
    <col min="20" max="20" width="10.26953125" style="12" hidden="1" customWidth="1" outlineLevel="1" collapsed="1"/>
    <col min="21" max="21" width="11.26953125" style="12" hidden="1" customWidth="1" outlineLevel="1"/>
    <col min="22" max="22" width="10.54296875" style="12" bestFit="1" customWidth="1" collapsed="1"/>
    <col min="23" max="23" width="10.54296875" style="12" bestFit="1" customWidth="1"/>
    <col min="24" max="27" width="13.26953125" style="12" hidden="1" customWidth="1" outlineLevel="3"/>
    <col min="28" max="28" width="9.1796875" style="12" hidden="1" customWidth="1" outlineLevel="2"/>
    <col min="29" max="30" width="13.26953125" style="12" hidden="1" customWidth="1" outlineLevel="2"/>
    <col min="31" max="31" width="8.7265625" style="12" hidden="1" customWidth="1" outlineLevel="1"/>
    <col min="32" max="32" width="2.7265625" style="12" customWidth="1" collapsed="1"/>
    <col min="33" max="34" width="15.7265625" style="12" hidden="1" customWidth="1"/>
    <col min="35" max="35" width="15.7265625" style="12" hidden="1" customWidth="1" outlineLevel="1"/>
    <col min="36" max="36" width="15.7265625" style="12" hidden="1" customWidth="1" outlineLevel="2"/>
    <col min="37" max="37" width="28.54296875" style="12" hidden="1" customWidth="1" collapsed="1"/>
    <col min="38" max="39" width="15.7265625" style="12" hidden="1" customWidth="1"/>
    <col min="40" max="40" width="16" style="12" hidden="1" customWidth="1"/>
    <col min="41" max="41" width="3.81640625" style="12" customWidth="1"/>
    <col min="42" max="42" width="22.1796875" style="12" customWidth="1"/>
    <col min="43" max="43" width="28" style="12" customWidth="1"/>
    <col min="44" max="44" width="23.36328125" style="12" customWidth="1"/>
    <col min="45" max="45" width="19" style="12" customWidth="1"/>
    <col min="46" max="46" width="41.1796875" style="12" customWidth="1"/>
    <col min="47" max="47" width="66.81640625" style="12" customWidth="1"/>
    <col min="49" max="49" width="27.453125" style="12" customWidth="1"/>
    <col min="50" max="16384" width="9.1796875" style="12"/>
  </cols>
  <sheetData>
    <row r="1" spans="1:49" s="48" customFormat="1" ht="17.25" customHeight="1">
      <c r="A1" s="111">
        <v>45852</v>
      </c>
      <c r="F1" s="1161"/>
      <c r="G1" s="1161"/>
    </row>
    <row r="2" spans="1:49">
      <c r="A2" s="12" t="s">
        <v>2</v>
      </c>
      <c r="B2" s="49" t="s">
        <v>24</v>
      </c>
      <c r="C2" s="53" t="s">
        <v>475</v>
      </c>
    </row>
    <row r="3" spans="1:49">
      <c r="B3" s="49" t="s">
        <v>23</v>
      </c>
      <c r="C3" s="53">
        <f>'Raw Data'!$F$9</f>
        <v>2024</v>
      </c>
    </row>
    <row r="4" spans="1:49" s="157" customFormat="1" ht="35.15" customHeight="1" outlineLevel="1">
      <c r="C4" s="157" t="s">
        <v>22</v>
      </c>
      <c r="D4" s="157" t="s">
        <v>21</v>
      </c>
      <c r="E4" s="157" t="s">
        <v>20</v>
      </c>
      <c r="F4" s="1162" t="s">
        <v>19</v>
      </c>
      <c r="G4" s="1162"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Data'!AP31</f>
        <v>Pension Converted</v>
      </c>
      <c r="Y4" s="157" t="str">
        <f>'Raw Data'!AS31</f>
        <v>Other Converted</v>
      </c>
      <c r="Z4" s="157" t="s">
        <v>247</v>
      </c>
      <c r="AA4" s="157" t="s">
        <v>248</v>
      </c>
      <c r="AC4" s="157" t="s">
        <v>11</v>
      </c>
      <c r="AD4" s="157" t="s">
        <v>10</v>
      </c>
    </row>
    <row r="5" spans="1:49" ht="21">
      <c r="B5" s="26"/>
      <c r="C5" s="256" t="str">
        <f>+C2&amp; " Benchmarking - "&amp;'Raw Data'!G5&amp;" $000s"</f>
        <v>Region Benchmarking - CAD $000s</v>
      </c>
      <c r="D5" s="257"/>
      <c r="E5" s="258"/>
      <c r="F5" s="1163"/>
      <c r="G5" s="1163"/>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479</v>
      </c>
      <c r="AM5" t="s">
        <v>68</v>
      </c>
      <c r="AN5"/>
    </row>
    <row r="6" spans="1:49" ht="40" customHeight="1">
      <c r="B6" s="45"/>
      <c r="C6" s="1111" t="s">
        <v>22</v>
      </c>
      <c r="D6" s="1113" t="s">
        <v>21</v>
      </c>
      <c r="E6" s="1113" t="s">
        <v>20</v>
      </c>
      <c r="F6" s="1115" t="s">
        <v>19</v>
      </c>
      <c r="G6" s="1115" t="s">
        <v>18</v>
      </c>
      <c r="H6" s="1115" t="s">
        <v>114</v>
      </c>
      <c r="I6" s="1115" t="s">
        <v>17</v>
      </c>
      <c r="J6" s="919" t="s">
        <v>16</v>
      </c>
      <c r="K6" s="919"/>
      <c r="L6" s="919"/>
      <c r="M6" s="919" t="s">
        <v>16</v>
      </c>
      <c r="N6" s="919"/>
      <c r="O6" s="919" t="s">
        <v>15</v>
      </c>
      <c r="P6" s="919"/>
      <c r="Q6" s="919" t="s">
        <v>14</v>
      </c>
      <c r="R6" s="919"/>
      <c r="S6" s="919"/>
      <c r="T6" s="919" t="s">
        <v>14</v>
      </c>
      <c r="U6" s="919"/>
      <c r="V6" s="919" t="s">
        <v>656</v>
      </c>
      <c r="W6" s="920"/>
      <c r="X6" s="1102" t="s">
        <v>31</v>
      </c>
      <c r="Y6" s="1104" t="s">
        <v>245</v>
      </c>
      <c r="Z6" s="1104" t="s">
        <v>244</v>
      </c>
      <c r="AA6" s="1106"/>
      <c r="AB6" s="698"/>
      <c r="AC6" s="685" t="s">
        <v>12</v>
      </c>
      <c r="AD6" s="610"/>
      <c r="AE6" s="698">
        <v>2023</v>
      </c>
      <c r="AF6" s="699"/>
      <c r="AG6" s="688" t="s">
        <v>657</v>
      </c>
      <c r="AH6" s="689"/>
      <c r="AI6" s="689"/>
      <c r="AJ6" s="689"/>
      <c r="AK6" s="689"/>
      <c r="AL6" s="688" t="s">
        <v>657</v>
      </c>
      <c r="AM6" s="690"/>
      <c r="AN6" s="497"/>
      <c r="AP6" s="1115" t="s">
        <v>870</v>
      </c>
      <c r="AQ6" s="1115" t="s">
        <v>896</v>
      </c>
      <c r="AR6" s="1115" t="s">
        <v>892</v>
      </c>
      <c r="AS6" s="1115" t="s">
        <v>893</v>
      </c>
      <c r="AT6" s="1115" t="s">
        <v>895</v>
      </c>
      <c r="AU6" s="1115" t="s">
        <v>894</v>
      </c>
      <c r="AW6" s="1135" t="s">
        <v>867</v>
      </c>
    </row>
    <row r="7" spans="1:49" ht="38" customHeight="1">
      <c r="A7" s="52" t="s">
        <v>54</v>
      </c>
      <c r="B7" s="52" t="s">
        <v>25</v>
      </c>
      <c r="C7" s="1112"/>
      <c r="D7" s="1114" t="s">
        <v>21</v>
      </c>
      <c r="E7" s="1114" t="s">
        <v>20</v>
      </c>
      <c r="F7" s="1116" t="s">
        <v>19</v>
      </c>
      <c r="G7" s="1116" t="s">
        <v>18</v>
      </c>
      <c r="H7" s="1116" t="s">
        <v>17</v>
      </c>
      <c r="I7" s="1116" t="s">
        <v>17</v>
      </c>
      <c r="J7" s="925" t="s">
        <v>40</v>
      </c>
      <c r="K7" s="926" t="s">
        <v>51</v>
      </c>
      <c r="L7" s="926" t="s">
        <v>104</v>
      </c>
      <c r="M7" s="926" t="s">
        <v>42</v>
      </c>
      <c r="N7" s="925" t="s">
        <v>41</v>
      </c>
      <c r="O7" s="925" t="s">
        <v>53</v>
      </c>
      <c r="P7" s="925" t="s">
        <v>42</v>
      </c>
      <c r="Q7" s="926" t="s">
        <v>40</v>
      </c>
      <c r="R7" s="927" t="s">
        <v>52</v>
      </c>
      <c r="S7" s="927" t="s">
        <v>105</v>
      </c>
      <c r="T7" s="926" t="s">
        <v>42</v>
      </c>
      <c r="U7" s="928" t="s">
        <v>41</v>
      </c>
      <c r="V7" s="925" t="s">
        <v>40</v>
      </c>
      <c r="W7" s="929" t="s">
        <v>42</v>
      </c>
      <c r="X7" s="1103"/>
      <c r="Y7" s="1105"/>
      <c r="Z7" s="611" t="s">
        <v>40</v>
      </c>
      <c r="AA7" s="612" t="s">
        <v>42</v>
      </c>
      <c r="AB7" s="698"/>
      <c r="AC7" s="686" t="s">
        <v>11</v>
      </c>
      <c r="AD7" s="687" t="s">
        <v>10</v>
      </c>
      <c r="AE7" s="699" t="str">
        <f>AE6&amp;" Lookup"</f>
        <v>2023 Lookup</v>
      </c>
      <c r="AF7" s="699"/>
      <c r="AG7" s="691" t="s">
        <v>22</v>
      </c>
      <c r="AH7" s="692" t="s">
        <v>19</v>
      </c>
      <c r="AI7" s="692" t="s">
        <v>660</v>
      </c>
      <c r="AJ7" s="693" t="s">
        <v>658</v>
      </c>
      <c r="AK7" s="692" t="s">
        <v>18</v>
      </c>
      <c r="AL7" s="694" t="s">
        <v>40</v>
      </c>
      <c r="AM7" s="695" t="s">
        <v>42</v>
      </c>
      <c r="AN7" s="502" t="s">
        <v>659</v>
      </c>
      <c r="AP7" s="1116"/>
      <c r="AQ7" s="1116"/>
      <c r="AR7" s="1116"/>
      <c r="AS7" s="1116"/>
      <c r="AT7" s="1116"/>
      <c r="AU7" s="1116"/>
      <c r="AW7" s="1135"/>
    </row>
    <row r="8" spans="1:49" ht="72.5">
      <c r="A8" s="12" t="str">
        <f>$B8&amp;"_"&amp;$C$3&amp;"_"&amp;$C$2</f>
        <v>TSX:LUN_2024_Region</v>
      </c>
      <c r="B8" s="12" t="str">
        <f>'Raw Data'!D6</f>
        <v>TSX:LUN</v>
      </c>
      <c r="C8" s="1152" t="str">
        <f t="shared" ref="C8:C13" si="0">IFERROR(INDEX(Raw_Data,MATCH($A8,Look_Up2,0),MATCH(C$4,Component,0)),"-")</f>
        <v>Lundin Mining Corporation</v>
      </c>
      <c r="D8" s="675">
        <f>_xll.ciqfunctions.udf.CIQ(B8, "IQ_MARKETCAP", $A$1,$A$2)</f>
        <v>11855.56763</v>
      </c>
      <c r="E8" s="675">
        <f>_xll.ciqfunctions.udf.CIQ($B8, "IQ_TEV", $A$1,$A$2)</f>
        <v>16005.2402</v>
      </c>
      <c r="F8" s="1164" t="str">
        <f t="shared" ref="F8:G13" si="1">IFERROR(INDEX(Raw_Data,MATCH($A8,Look_Up2,0),MATCH(F$4,Component,0)),"-")</f>
        <v>David Dicaire</v>
      </c>
      <c r="G8" s="1164" t="str">
        <f t="shared" si="1"/>
        <v>EVP, Josemaría Project</v>
      </c>
      <c r="H8" s="675" t="str">
        <f t="shared" ref="H8:J13" si="2">IFERROR(INDEX(Raw_Data,MATCH($A8,Look_Up2,0),MATCH(H$4,Component,0))/1000,"-")</f>
        <v>-</v>
      </c>
      <c r="I8" s="675">
        <f t="shared" si="2"/>
        <v>750</v>
      </c>
      <c r="J8" s="676">
        <f t="shared" si="2"/>
        <v>1109.46227342</v>
      </c>
      <c r="K8" s="677">
        <f t="shared" ref="K8:L13" si="3">IFERROR(INDEX(Raw_Data,MATCH($A8,Look_Up2,0),MATCH(K$4,Component,0)),"-")</f>
        <v>1.4792830312266667</v>
      </c>
      <c r="L8" s="677">
        <f t="shared" si="3"/>
        <v>0.9255384886356478</v>
      </c>
      <c r="M8" s="678">
        <f t="shared" ref="M8:M13" si="4">IFERROR(INDEX(Raw_Data,MATCH($A8,Look_Up2,0),MATCH(M$4,Component,0))/1000,"-")</f>
        <v>562.5</v>
      </c>
      <c r="N8" s="679">
        <f t="shared" ref="N8:N13" si="5">IFERROR(IF(INDEX(Raw_Data,MATCH($A8,Look_Up2,0),MATCH(N$4,Component,0))="-",L8,INDEX(Raw_Data,MATCH($A8,Look_Up2,0),MATCH(N$4,Component,0))),"-")</f>
        <v>0.75</v>
      </c>
      <c r="O8" s="676">
        <f t="shared" ref="O8:Q13" si="6">IFERROR(INDEX(Raw_Data,MATCH($A8,Look_Up2,0),MATCH(O$4,Component,0))/1000,"-")</f>
        <v>1859.46227342</v>
      </c>
      <c r="P8" s="680">
        <f t="shared" si="6"/>
        <v>1312.5</v>
      </c>
      <c r="Q8" s="676" t="str">
        <f t="shared" si="6"/>
        <v>-</v>
      </c>
      <c r="R8" s="677" t="str">
        <f t="shared" ref="R8:S13" si="7">IFERROR(INDEX(Raw_Data,MATCH($A8,Look_Up2,0),MATCH(R$4,Component,0)),"-")</f>
        <v>-</v>
      </c>
      <c r="S8" s="677">
        <f t="shared" si="7"/>
        <v>1.4728276053409559</v>
      </c>
      <c r="T8" s="678">
        <f t="shared" ref="T8:T13" si="8">IFERROR(INDEX(Raw_Data,MATCH($A8,Look_Up2,0),MATCH(T$4,Component,0))/1000,"-")</f>
        <v>1104.6207040057168</v>
      </c>
      <c r="U8" s="679">
        <f t="shared" ref="U8:U13" si="9">IFERROR(IF(INDEX(Raw_Data,MATCH($A8,Look_Up2,0),MATCH(U$4,Component,0))="-",S8,INDEX(Raw_Data,MATCH($A8,Look_Up2,0),MATCH(U$4,Component,0))),"-")</f>
        <v>1.4728276053409559</v>
      </c>
      <c r="V8" s="676">
        <f t="shared" ref="V8:W13" si="10">IFERROR(INDEX(Raw_Data,MATCH($A8,Look_Up2,0),MATCH(V$4,Component,0))/1000,"-")</f>
        <v>1859.46227342</v>
      </c>
      <c r="W8" s="681">
        <f t="shared" si="10"/>
        <v>2417.120704005717</v>
      </c>
      <c r="X8" s="359" t="str">
        <f t="shared" ref="X8:Y13" si="11">IFERROR((INDEX(Raw_Data,MATCH($A8,Look_Up2,0),MATCH(X$4,Component,0))/1000),"-")</f>
        <v>-</v>
      </c>
      <c r="Y8" s="360">
        <f t="shared" si="11"/>
        <v>139.88339564</v>
      </c>
      <c r="Z8" s="285">
        <f t="shared" ref="Z8:AA13" si="12">IFERROR(INDEX(Raw_Data,MATCH($A8,Look_Up2,0),MATCH(Z$4,Component,0))/1000,"-")</f>
        <v>1999.3456690600001</v>
      </c>
      <c r="AA8" s="287">
        <f t="shared" si="12"/>
        <v>2557.0040996457169</v>
      </c>
      <c r="AC8" s="567">
        <f t="shared" ref="AC8:AC13" si="13">IFERROR(P8/W8,"-")</f>
        <v>0.543001430513954</v>
      </c>
      <c r="AD8" s="568">
        <f t="shared" ref="AD8:AD13" si="14">IFERROR(T8/W8,"-")</f>
        <v>0.45699856948604589</v>
      </c>
      <c r="AE8" s="316" t="str">
        <f t="shared" ref="AE8:AE13" si="15">B8&amp;"_"&amp;$AE$6&amp;"_"&amp;$C$2</f>
        <v>TSX:LUN_2023_Region</v>
      </c>
      <c r="AF8" s="316"/>
      <c r="AG8" s="670" t="str" cm="1">
        <f t="array" ref="AG8">IFERROR(INDEX('Import 2023 Data'!$E$4:$I$113,_xlfn.XMATCH(Region!$AE8,'Import 2023 Data'!$C$4:$C$113),_xlfn.XMATCH(Region!AG$5,'Import 2023 Data'!$E$3:$I$3)),"-")</f>
        <v>-</v>
      </c>
      <c r="AH8" s="671" t="str" cm="1">
        <f t="array" ref="AH8">IFERROR(INDEX('Import 2023 Data'!$E$4:$I$113,_xlfn.XMATCH(Region!$AE8,'Import 2023 Data'!$C$4:$C$113),_xlfn.XMATCH(Region!AH$5,'Import 2023 Data'!$E$3:$I$3)),"-")</f>
        <v>-</v>
      </c>
      <c r="AI8" s="672" t="str">
        <f>IF(ISNUMBER(_xlfn.XMATCH(C8,'Import 2023 Data'!$E$4:$E$113)),"N","Y")</f>
        <v>N</v>
      </c>
      <c r="AJ8" s="672" t="str">
        <f t="shared" ref="AJ8:AJ13" si="16">IFERROR(IF(TRIM(LOWER(AH8))=TRIM(LOWER(F8)),"N","Y"),"-")</f>
        <v>Y</v>
      </c>
      <c r="AK8" s="671" t="str" cm="1">
        <f t="array" ref="AK8">IFERROR(INDEX('Import 2023 Data'!$E$4:$I$113,_xlfn.XMATCH(Region!$AE8,'Import 2023 Data'!$C$4:$C$113),_xlfn.XMATCH(Region!AK$5,'Import 2023 Data'!$E$3:$I$3)),"-")</f>
        <v>-</v>
      </c>
      <c r="AL8" s="673" t="str" cm="1">
        <f t="array" ref="AL8">IFERROR(INDEX('Import 2023 Data'!$E$4:$I$113,_xlfn.XMATCH(Region!$AE8,'Import 2023 Data'!$C$4:$C$113),_xlfn.XMATCH(Region!AL$5,'Import 2023 Data'!$E$3:$I$3)),"-")</f>
        <v>-</v>
      </c>
      <c r="AM8" s="673" t="str" cm="1">
        <f t="array" ref="AM8">IFERROR(INDEX('Import 2023 Data'!$E$4:$I$113,_xlfn.XMATCH(Region!$AE8,'Import 2023 Data'!$C$4:$C$113),_xlfn.XMATCH(Region!AM$5,'Import 2023 Data'!$E$3:$I$3)),"-")</f>
        <v>-</v>
      </c>
      <c r="AN8" s="674" t="str">
        <f t="shared" ref="AN8:AN13" si="17">IFERROR(IF(AJ8="Y","New Incumbent",W8/AM8-1),"-")</f>
        <v>New Incumbent</v>
      </c>
      <c r="AP8" s="1152">
        <v>2.67</v>
      </c>
      <c r="AQ8" s="1152" t="s">
        <v>875</v>
      </c>
      <c r="AR8" s="1152" t="s">
        <v>869</v>
      </c>
      <c r="AS8" s="1152" t="s">
        <v>2</v>
      </c>
      <c r="AT8" s="1152" t="s">
        <v>890</v>
      </c>
      <c r="AU8" s="1155" t="s">
        <v>868</v>
      </c>
    </row>
    <row r="9" spans="1:49" ht="58">
      <c r="A9" s="12" t="str">
        <f>$B9&amp;"_"&amp;$C$3&amp;"_"&amp;$C$2</f>
        <v>TSX:AGI_2024_Region</v>
      </c>
      <c r="B9" s="12" t="str">
        <f>'Raw Data'!D7</f>
        <v>TSX:AGI</v>
      </c>
      <c r="C9" s="1153" t="str">
        <f t="shared" si="0"/>
        <v>Alamos Gold Inc.</v>
      </c>
      <c r="D9" s="627">
        <f>_xll.ciqfunctions.udf.CIQ(B9, "IQ_MARKETCAP", $A$1,$A$2)</f>
        <v>15291.758599999999</v>
      </c>
      <c r="E9" s="627">
        <f>_xll.ciqfunctions.udf.CIQ($B9, "IQ_TEV", $A$1,$A$2)</f>
        <v>15239.87026</v>
      </c>
      <c r="F9" s="1165" t="str">
        <f t="shared" si="1"/>
        <v>Luis Chavez</v>
      </c>
      <c r="G9" s="1165" t="str">
        <f t="shared" si="1"/>
        <v>SVP, Mexico</v>
      </c>
      <c r="H9" s="627" t="str">
        <f t="shared" si="2"/>
        <v>-</v>
      </c>
      <c r="I9" s="627">
        <f t="shared" si="2"/>
        <v>470.00393442000006</v>
      </c>
      <c r="J9" s="359">
        <f t="shared" si="2"/>
        <v>323.80131474000001</v>
      </c>
      <c r="K9" s="629">
        <f t="shared" si="3"/>
        <v>0.68893320039880346</v>
      </c>
      <c r="L9" s="629">
        <f t="shared" si="3"/>
        <v>0.67945409933489886</v>
      </c>
      <c r="M9" s="630">
        <f t="shared" si="4"/>
        <v>282.00236065199999</v>
      </c>
      <c r="N9" s="631">
        <f t="shared" si="5"/>
        <v>0.6</v>
      </c>
      <c r="O9" s="359">
        <f t="shared" si="6"/>
        <v>793.80524916000013</v>
      </c>
      <c r="P9" s="632">
        <f t="shared" si="6"/>
        <v>752.00629507200006</v>
      </c>
      <c r="Q9" s="359">
        <f t="shared" si="6"/>
        <v>510.25541851000003</v>
      </c>
      <c r="R9" s="629">
        <f t="shared" si="7"/>
        <v>1.0856407386029048</v>
      </c>
      <c r="S9" s="629">
        <f t="shared" si="7"/>
        <v>1.0908179182311339</v>
      </c>
      <c r="T9" s="630">
        <f t="shared" si="8"/>
        <v>512.68871330446689</v>
      </c>
      <c r="U9" s="631">
        <f t="shared" si="9"/>
        <v>1.0908179182311339</v>
      </c>
      <c r="V9" s="359">
        <f t="shared" si="10"/>
        <v>1304.0606676700002</v>
      </c>
      <c r="W9" s="360">
        <f t="shared" si="10"/>
        <v>1264.6950083764668</v>
      </c>
      <c r="X9" s="359" t="str">
        <f t="shared" si="11"/>
        <v>-</v>
      </c>
      <c r="Y9" s="360">
        <f t="shared" si="11"/>
        <v>37.612536670000004</v>
      </c>
      <c r="Z9" s="285">
        <f t="shared" si="12"/>
        <v>1341.6732043400002</v>
      </c>
      <c r="AA9" s="287">
        <f t="shared" si="12"/>
        <v>1302.3075450464669</v>
      </c>
      <c r="AC9" s="567">
        <f t="shared" si="13"/>
        <v>0.59461474117572177</v>
      </c>
      <c r="AD9" s="568">
        <f t="shared" si="14"/>
        <v>0.40538525882427834</v>
      </c>
      <c r="AE9" s="316" t="str">
        <f t="shared" si="15"/>
        <v>TSX:AGI_2023_Region</v>
      </c>
      <c r="AF9" s="316"/>
      <c r="AG9" s="503" t="str" cm="1">
        <f t="array" ref="AG9">IFERROR(INDEX('Import 2023 Data'!$E$4:$I$113,_xlfn.XMATCH(Region!$AE9,'Import 2023 Data'!$C$4:$C$113),_xlfn.XMATCH(Region!AG$5,'Import 2023 Data'!$E$3:$I$3)),"-")</f>
        <v>-</v>
      </c>
      <c r="AH9" s="316" t="str" cm="1">
        <f t="array" ref="AH9">IFERROR(INDEX('Import 2023 Data'!$E$4:$I$113,_xlfn.XMATCH(Region!$AE9,'Import 2023 Data'!$C$4:$C$113),_xlfn.XMATCH(Region!AH$5,'Import 2023 Data'!$E$3:$I$3)),"-")</f>
        <v>-</v>
      </c>
      <c r="AI9" s="504" t="str">
        <f>IF(ISNUMBER(_xlfn.XMATCH(C9,'Import 2023 Data'!$E$4:$E$113)),"N","Y")</f>
        <v>N</v>
      </c>
      <c r="AJ9" s="504" t="str">
        <f>IFERROR(IF(TRIM(LOWER(AH9))=TRIM(LOWER(F9)),"N","Y"),"-")</f>
        <v>Y</v>
      </c>
      <c r="AK9" s="316" t="str" cm="1">
        <f t="array" ref="AK9">IFERROR(INDEX('Import 2023 Data'!$E$4:$I$113,_xlfn.XMATCH(Region!$AE9,'Import 2023 Data'!$C$4:$C$113),_xlfn.XMATCH(Region!AK$5,'Import 2023 Data'!$E$3:$I$3)),"-")</f>
        <v>-</v>
      </c>
      <c r="AL9" s="12" t="str" cm="1">
        <f t="array" ref="AL9">IFERROR(INDEX('Import 2023 Data'!$E$4:$I$113,_xlfn.XMATCH(Region!$AE9,'Import 2023 Data'!$C$4:$C$113),_xlfn.XMATCH(Region!AL$5,'Import 2023 Data'!$E$3:$I$3)),"-")</f>
        <v>-</v>
      </c>
      <c r="AM9" s="12" t="str" cm="1">
        <f t="array" ref="AM9">IFERROR(INDEX('Import 2023 Data'!$E$4:$I$113,_xlfn.XMATCH(Region!$AE9,'Import 2023 Data'!$C$4:$C$113),_xlfn.XMATCH(Region!AM$5,'Import 2023 Data'!$E$3:$I$3)),"-")</f>
        <v>-</v>
      </c>
      <c r="AN9" s="505" t="str">
        <f t="shared" si="17"/>
        <v>New Incumbent</v>
      </c>
      <c r="AP9" s="1153">
        <v>10</v>
      </c>
      <c r="AQ9" s="1153" t="s">
        <v>871</v>
      </c>
      <c r="AR9" s="1153" t="s">
        <v>873</v>
      </c>
      <c r="AS9" s="1153" t="s">
        <v>876</v>
      </c>
      <c r="AT9" s="1153" t="s">
        <v>889</v>
      </c>
      <c r="AU9" s="1156" t="s">
        <v>872</v>
      </c>
    </row>
    <row r="10" spans="1:49" ht="72.5">
      <c r="A10" s="12" t="str">
        <f>$B10&amp;"_"&amp;$C$3&amp;"_"&amp;$C$2</f>
        <v>TSX:CS_2024_Region</v>
      </c>
      <c r="B10" s="12" t="str">
        <f>'Raw Data'!D9</f>
        <v>TSX:CS</v>
      </c>
      <c r="C10" s="1153" t="str">
        <f t="shared" si="0"/>
        <v>Capstone Copper Corp.</v>
      </c>
      <c r="D10" s="627">
        <f>_xll.ciqfunctions.udf.CIQ(B10, "IQ_MARKETCAP", $A$1,$A$2)</f>
        <v>5953.1492900000003</v>
      </c>
      <c r="E10" s="627">
        <f>_xll.ciqfunctions.udf.CIQ($B10, "IQ_TEV", $A$1,$A$2)</f>
        <v>8486.01584</v>
      </c>
      <c r="F10" s="1165" t="str">
        <f t="shared" si="1"/>
        <v>James Whittaker</v>
      </c>
      <c r="G10" s="1165" t="str">
        <f t="shared" si="1"/>
        <v>SVP, Head of Chile</v>
      </c>
      <c r="H10" s="627" t="str">
        <f t="shared" si="2"/>
        <v>-</v>
      </c>
      <c r="I10" s="627">
        <f t="shared" si="2"/>
        <v>663</v>
      </c>
      <c r="J10" s="359">
        <f t="shared" si="2"/>
        <v>531.06299999999999</v>
      </c>
      <c r="K10" s="629">
        <f t="shared" si="3"/>
        <v>0.80100000000000005</v>
      </c>
      <c r="L10" s="629">
        <f t="shared" si="3"/>
        <v>0.75978835428896363</v>
      </c>
      <c r="M10" s="630">
        <f t="shared" si="4"/>
        <v>497.25</v>
      </c>
      <c r="N10" s="631">
        <f t="shared" si="5"/>
        <v>0.75</v>
      </c>
      <c r="O10" s="359">
        <f t="shared" si="6"/>
        <v>1194.0630000000001</v>
      </c>
      <c r="P10" s="632">
        <f t="shared" si="6"/>
        <v>1160.25</v>
      </c>
      <c r="Q10" s="359">
        <f t="shared" si="6"/>
        <v>994.5</v>
      </c>
      <c r="R10" s="629">
        <f t="shared" si="7"/>
        <v>1.5</v>
      </c>
      <c r="S10" s="629">
        <f t="shared" si="7"/>
        <v>1.5</v>
      </c>
      <c r="T10" s="630">
        <f t="shared" si="8"/>
        <v>994.5</v>
      </c>
      <c r="U10" s="631">
        <f t="shared" si="9"/>
        <v>1.5</v>
      </c>
      <c r="V10" s="359">
        <f t="shared" si="10"/>
        <v>2188.5630000000001</v>
      </c>
      <c r="W10" s="360">
        <f t="shared" si="10"/>
        <v>2154.75</v>
      </c>
      <c r="X10" s="359" t="str">
        <f t="shared" si="11"/>
        <v>-</v>
      </c>
      <c r="Y10" s="360">
        <f t="shared" si="11"/>
        <v>17.873000000000001</v>
      </c>
      <c r="Z10" s="285">
        <f t="shared" si="12"/>
        <v>2206.4360000000001</v>
      </c>
      <c r="AA10" s="287">
        <f t="shared" si="12"/>
        <v>2172.623</v>
      </c>
      <c r="AC10" s="567">
        <f t="shared" si="13"/>
        <v>0.53846153846153844</v>
      </c>
      <c r="AD10" s="568">
        <f t="shared" si="14"/>
        <v>0.46153846153846156</v>
      </c>
      <c r="AE10" s="316" t="str">
        <f t="shared" si="15"/>
        <v>TSX:CS_2023_Region</v>
      </c>
      <c r="AF10" s="316"/>
      <c r="AG10" s="503" t="str" cm="1">
        <f t="array" ref="AG10">IFERROR(INDEX('Import 2023 Data'!$E$4:$I$113,_xlfn.XMATCH(Region!$AE10,'Import 2023 Data'!$C$4:$C$113),_xlfn.XMATCH(Region!AG$5,'Import 2023 Data'!$E$3:$I$3)),"-")</f>
        <v>-</v>
      </c>
      <c r="AH10" s="316" t="str" cm="1">
        <f t="array" ref="AH10">IFERROR(INDEX('Import 2023 Data'!$E$4:$I$113,_xlfn.XMATCH(Region!$AE10,'Import 2023 Data'!$C$4:$C$113),_xlfn.XMATCH(Region!AH$5,'Import 2023 Data'!$E$3:$I$3)),"-")</f>
        <v>-</v>
      </c>
      <c r="AI10" s="504" t="str">
        <f>IF(ISNUMBER(_xlfn.XMATCH(C10,'Import 2023 Data'!$E$4:$E$113)),"N","Y")</f>
        <v>N</v>
      </c>
      <c r="AJ10" s="504" t="str">
        <f t="shared" si="16"/>
        <v>Y</v>
      </c>
      <c r="AK10" s="316" t="str" cm="1">
        <f t="array" ref="AK10">IFERROR(INDEX('Import 2023 Data'!$E$4:$I$113,_xlfn.XMATCH(Region!$AE10,'Import 2023 Data'!$C$4:$C$113),_xlfn.XMATCH(Region!AK$5,'Import 2023 Data'!$E$3:$I$3)),"-")</f>
        <v>-</v>
      </c>
      <c r="AL10" s="12" t="str" cm="1">
        <f t="array" ref="AL10">IFERROR(INDEX('Import 2023 Data'!$E$4:$I$113,_xlfn.XMATCH(Region!$AE10,'Import 2023 Data'!$C$4:$C$113),_xlfn.XMATCH(Region!AL$5,'Import 2023 Data'!$E$3:$I$3)),"-")</f>
        <v>-</v>
      </c>
      <c r="AM10" s="12" t="str" cm="1">
        <f t="array" ref="AM10">IFERROR(INDEX('Import 2023 Data'!$E$4:$I$113,_xlfn.XMATCH(Region!$AE10,'Import 2023 Data'!$C$4:$C$113),_xlfn.XMATCH(Region!AM$5,'Import 2023 Data'!$E$3:$I$3)),"-")</f>
        <v>-</v>
      </c>
      <c r="AN10" s="505" t="str">
        <f t="shared" si="17"/>
        <v>New Incumbent</v>
      </c>
      <c r="AP10" s="1153">
        <v>2</v>
      </c>
      <c r="AQ10" s="1153" t="s">
        <v>874</v>
      </c>
      <c r="AR10" s="1153" t="s">
        <v>879</v>
      </c>
      <c r="AS10" s="1153" t="s">
        <v>877</v>
      </c>
      <c r="AT10" s="1153" t="s">
        <v>888</v>
      </c>
      <c r="AU10" s="1156" t="s">
        <v>878</v>
      </c>
    </row>
    <row r="11" spans="1:49" ht="58">
      <c r="A11" s="12" t="str">
        <f>$B11&amp;"_"&amp;$C$3&amp;"_"&amp;$C$2</f>
        <v>TSX:ELD_2024_Region</v>
      </c>
      <c r="B11" s="12" t="str">
        <f>'Raw Data'!D14</f>
        <v>TSX:ELD</v>
      </c>
      <c r="C11" s="1153" t="str">
        <f t="shared" si="0"/>
        <v>Eldorado Gold Corporation</v>
      </c>
      <c r="D11" s="627">
        <f>_xll.ciqfunctions.udf.CIQ(B11, "IQ_MARKETCAP", $A$1,$A$2)</f>
        <v>5759.9111199999998</v>
      </c>
      <c r="E11" s="627">
        <f>_xll.ciqfunctions.udf.CIQ($B11, "IQ_TEV", $A$1,$A$2)</f>
        <v>5657.0414199999996</v>
      </c>
      <c r="F11" s="1165" t="str">
        <f t="shared" si="1"/>
        <v>Louw Smith</v>
      </c>
      <c r="G11" s="1165" t="str">
        <f t="shared" si="1"/>
        <v>EVP, Development, Greece</v>
      </c>
      <c r="H11" s="627" t="str">
        <f t="shared" si="2"/>
        <v>-</v>
      </c>
      <c r="I11" s="627">
        <f t="shared" si="2"/>
        <v>776.39499999999998</v>
      </c>
      <c r="J11" s="359">
        <f t="shared" si="2"/>
        <v>646.26499999999999</v>
      </c>
      <c r="K11" s="629">
        <f t="shared" si="3"/>
        <v>0.83239201695013487</v>
      </c>
      <c r="L11" s="629">
        <f t="shared" si="3"/>
        <v>0.83239201695013487</v>
      </c>
      <c r="M11" s="630">
        <f t="shared" si="4"/>
        <v>621.11599999999999</v>
      </c>
      <c r="N11" s="631">
        <f t="shared" si="5"/>
        <v>0.8</v>
      </c>
      <c r="O11" s="359">
        <f t="shared" si="6"/>
        <v>1422.66</v>
      </c>
      <c r="P11" s="632">
        <f t="shared" si="6"/>
        <v>1397.511</v>
      </c>
      <c r="Q11" s="359">
        <f t="shared" si="6"/>
        <v>810.87800000000027</v>
      </c>
      <c r="R11" s="629">
        <f t="shared" si="7"/>
        <v>1.0444142479021634</v>
      </c>
      <c r="S11" s="629">
        <f t="shared" si="7"/>
        <v>1.0444142479021634</v>
      </c>
      <c r="T11" s="630">
        <f t="shared" si="8"/>
        <v>1164.5925</v>
      </c>
      <c r="U11" s="631">
        <f t="shared" si="9"/>
        <v>1.5</v>
      </c>
      <c r="V11" s="359">
        <f t="shared" si="10"/>
        <v>2233.538</v>
      </c>
      <c r="W11" s="360">
        <f t="shared" si="10"/>
        <v>2562.1035000000002</v>
      </c>
      <c r="X11" s="359" t="str">
        <f t="shared" si="11"/>
        <v>-</v>
      </c>
      <c r="Y11" s="360">
        <f t="shared" si="11"/>
        <v>91.335999999999999</v>
      </c>
      <c r="Z11" s="285">
        <f t="shared" si="12"/>
        <v>2324.8739999999998</v>
      </c>
      <c r="AA11" s="287">
        <f t="shared" si="12"/>
        <v>2653.4395</v>
      </c>
      <c r="AC11" s="567">
        <f t="shared" si="13"/>
        <v>0.54545454545454541</v>
      </c>
      <c r="AD11" s="568">
        <f t="shared" si="14"/>
        <v>0.45454545454545453</v>
      </c>
      <c r="AE11" s="316" t="str">
        <f t="shared" si="15"/>
        <v>TSX:ELD_2023_Region</v>
      </c>
      <c r="AF11" s="316"/>
      <c r="AG11" s="494" t="str" cm="1">
        <f t="array" ref="AG11">IFERROR(INDEX('Import 2023 Data'!$E$4:$I$113,_xlfn.XMATCH(Region!$AE11,'Import 2023 Data'!$C$4:$C$113),_xlfn.XMATCH(Region!AG$5,'Import 2023 Data'!$E$3:$I$3)),"-")</f>
        <v>-</v>
      </c>
      <c r="AH11" s="506" t="str" cm="1">
        <f t="array" ref="AH11">IFERROR(INDEX('Import 2023 Data'!$E$4:$I$113,_xlfn.XMATCH(Region!$AE11,'Import 2023 Data'!$C$4:$C$113),_xlfn.XMATCH(Region!AH$5,'Import 2023 Data'!$E$3:$I$3)),"-")</f>
        <v>-</v>
      </c>
      <c r="AI11" s="507" t="str">
        <f>IF(ISNUMBER(_xlfn.XMATCH(C11,'Import 2023 Data'!$E$4:$E$113)),"N","Y")</f>
        <v>N</v>
      </c>
      <c r="AJ11" s="507" t="str">
        <f t="shared" si="16"/>
        <v>Y</v>
      </c>
      <c r="AK11" s="506" t="str" cm="1">
        <f t="array" ref="AK11">IFERROR(INDEX('Import 2023 Data'!$E$4:$I$113,_xlfn.XMATCH(Region!$AE11,'Import 2023 Data'!$C$4:$C$113),_xlfn.XMATCH(Region!AK$5,'Import 2023 Data'!$E$3:$I$3)),"-")</f>
        <v>-</v>
      </c>
      <c r="AL11" s="508" t="str" cm="1">
        <f t="array" ref="AL11">IFERROR(INDEX('Import 2023 Data'!$E$4:$I$113,_xlfn.XMATCH(Region!$AE11,'Import 2023 Data'!$C$4:$C$113),_xlfn.XMATCH(Region!AL$5,'Import 2023 Data'!$E$3:$I$3)),"-")</f>
        <v>-</v>
      </c>
      <c r="AM11" s="508" t="str" cm="1">
        <f t="array" ref="AM11">IFERROR(INDEX('Import 2023 Data'!$E$4:$I$113,_xlfn.XMATCH(Region!$AE11,'Import 2023 Data'!$C$4:$C$113),_xlfn.XMATCH(Region!AM$5,'Import 2023 Data'!$E$3:$I$3)),"-")</f>
        <v>-</v>
      </c>
      <c r="AN11" s="509" t="str">
        <f t="shared" si="17"/>
        <v>New Incumbent</v>
      </c>
      <c r="AP11" s="1153">
        <v>1</v>
      </c>
      <c r="AQ11" s="1153" t="s">
        <v>871</v>
      </c>
      <c r="AR11" s="1158" t="s">
        <v>881</v>
      </c>
      <c r="AS11" s="1153" t="s">
        <v>297</v>
      </c>
      <c r="AT11" s="1153" t="s">
        <v>891</v>
      </c>
      <c r="AU11" s="1156" t="s">
        <v>880</v>
      </c>
    </row>
    <row r="12" spans="1:49" ht="87" outlineLevel="1">
      <c r="A12" s="12" t="str">
        <f>$B12&amp;"_"&amp;$C$3&amp;"_"&amp;$C$2</f>
        <v>TSX:OGC
_2024_Region</v>
      </c>
      <c r="B12" s="12" t="str">
        <f>'Raw Data'!D16</f>
        <v xml:space="preserve">TSX:OGC
</v>
      </c>
      <c r="C12" s="1153" t="str">
        <f t="shared" si="0"/>
        <v>OceanaGold Corporation</v>
      </c>
      <c r="D12" s="627">
        <f>_xll.ciqfunctions.udf.CIQ(B12, "IQ_MARKETCAP", $A$1,$A$2)</f>
        <v>4453.8089300000001</v>
      </c>
      <c r="E12" s="627">
        <f>_xll.ciqfunctions.udf.CIQ($B12, "IQ_TEV", $A$1,$A$2)</f>
        <v>4363.2558799999997</v>
      </c>
      <c r="F12" s="1165" t="str">
        <f t="shared" si="1"/>
        <v>Peter Sharpe</v>
      </c>
      <c r="G12" s="1165" t="str">
        <f t="shared" si="1"/>
        <v>EVP &amp; COO, Asia Pacific</v>
      </c>
      <c r="H12" s="627" t="str">
        <f t="shared" si="2"/>
        <v>-</v>
      </c>
      <c r="I12" s="627">
        <f t="shared" si="2"/>
        <v>544.63161363999996</v>
      </c>
      <c r="J12" s="359">
        <f t="shared" si="2"/>
        <v>332.62932005000005</v>
      </c>
      <c r="K12" s="629">
        <f t="shared" si="3"/>
        <v>0.61074185140833026</v>
      </c>
      <c r="L12" s="629">
        <f t="shared" si="3"/>
        <v>0.46649255054155864</v>
      </c>
      <c r="M12" s="630">
        <f t="shared" si="4"/>
        <v>326.77896818400001</v>
      </c>
      <c r="N12" s="631">
        <f t="shared" si="5"/>
        <v>0.6</v>
      </c>
      <c r="O12" s="359">
        <f t="shared" si="6"/>
        <v>877.26093369000012</v>
      </c>
      <c r="P12" s="632">
        <f t="shared" si="6"/>
        <v>871.41058182400002</v>
      </c>
      <c r="Q12" s="359">
        <f t="shared" si="6"/>
        <v>1535.89891235</v>
      </c>
      <c r="R12" s="629">
        <f t="shared" si="7"/>
        <v>2.8200693347287493</v>
      </c>
      <c r="S12" s="629">
        <f t="shared" si="7"/>
        <v>1.8347939734073915</v>
      </c>
      <c r="T12" s="630">
        <f t="shared" si="8"/>
        <v>999.28680243381484</v>
      </c>
      <c r="U12" s="631">
        <f t="shared" si="9"/>
        <v>1.8347939734073915</v>
      </c>
      <c r="V12" s="359">
        <f t="shared" si="10"/>
        <v>2413.15984604</v>
      </c>
      <c r="W12" s="360">
        <f t="shared" si="10"/>
        <v>1870.6973842578147</v>
      </c>
      <c r="X12" s="359">
        <f t="shared" si="11"/>
        <v>25.896213000000003</v>
      </c>
      <c r="Y12" s="360" t="str">
        <f t="shared" si="11"/>
        <v>-</v>
      </c>
      <c r="Z12" s="285">
        <f t="shared" si="12"/>
        <v>2439.05605904</v>
      </c>
      <c r="AA12" s="287">
        <f t="shared" si="12"/>
        <v>1896.5935972578147</v>
      </c>
      <c r="AC12" s="567">
        <f t="shared" si="13"/>
        <v>0.46582124354106885</v>
      </c>
      <c r="AD12" s="568">
        <f t="shared" si="14"/>
        <v>0.5341787564589312</v>
      </c>
      <c r="AE12" s="316" t="str">
        <f t="shared" si="15"/>
        <v>TSX:OGC
_2023_Region</v>
      </c>
      <c r="AF12" s="316"/>
      <c r="AG12" s="503" t="str" cm="1">
        <f t="array" ref="AG12">IFERROR(INDEX('Import 2023 Data'!$E$4:$I$113,_xlfn.XMATCH(Region!$AE12,'Import 2023 Data'!$C$4:$C$113),_xlfn.XMATCH(Region!AG$5,'Import 2023 Data'!$E$3:$I$3)),"-")</f>
        <v>-</v>
      </c>
      <c r="AH12" s="316" t="str" cm="1">
        <f t="array" ref="AH12">IFERROR(INDEX('Import 2023 Data'!$E$4:$I$113,_xlfn.XMATCH(Region!$AE12,'Import 2023 Data'!$C$4:$C$113),_xlfn.XMATCH(Region!AH$5,'Import 2023 Data'!$E$3:$I$3)),"-")</f>
        <v>-</v>
      </c>
      <c r="AI12" s="504" t="str">
        <f>IF(ISNUMBER(_xlfn.XMATCH(C12,'Import 2023 Data'!$E$4:$E$113)),"N","Y")</f>
        <v>N</v>
      </c>
      <c r="AJ12" s="504" t="str">
        <f t="shared" si="16"/>
        <v>Y</v>
      </c>
      <c r="AK12" s="316" t="str" cm="1">
        <f t="array" ref="AK12">IFERROR(INDEX('Import 2023 Data'!$E$4:$I$113,_xlfn.XMATCH(Region!$AE12,'Import 2023 Data'!$C$4:$C$113),_xlfn.XMATCH(Region!AK$5,'Import 2023 Data'!$E$3:$I$3)),"-")</f>
        <v>-</v>
      </c>
      <c r="AL12" s="12" t="str" cm="1">
        <f t="array" ref="AL12">IFERROR(INDEX('Import 2023 Data'!$E$4:$I$113,_xlfn.XMATCH(Region!$AE12,'Import 2023 Data'!$C$4:$C$113),_xlfn.XMATCH(Region!AL$5,'Import 2023 Data'!$E$3:$I$3)),"-")</f>
        <v>-</v>
      </c>
      <c r="AM12" s="12" t="str" cm="1">
        <f t="array" ref="AM12">IFERROR(INDEX('Import 2023 Data'!$E$4:$I$113,_xlfn.XMATCH(Region!$AE12,'Import 2023 Data'!$C$4:$C$113),_xlfn.XMATCH(Region!AM$5,'Import 2023 Data'!$E$3:$I$3)),"-")</f>
        <v>-</v>
      </c>
      <c r="AN12" s="505" t="str">
        <f t="shared" si="17"/>
        <v>New Incumbent</v>
      </c>
      <c r="AP12" s="1153">
        <v>2.25</v>
      </c>
      <c r="AQ12" s="1153" t="s">
        <v>871</v>
      </c>
      <c r="AR12" s="1153" t="s">
        <v>882</v>
      </c>
      <c r="AS12" s="1153" t="s">
        <v>884</v>
      </c>
      <c r="AT12" s="1153" t="s">
        <v>887</v>
      </c>
      <c r="AU12" s="1156" t="s">
        <v>900</v>
      </c>
    </row>
    <row r="13" spans="1:49" ht="43.5" outlineLevel="1">
      <c r="A13" s="12" t="str">
        <f>$B13&amp;"_"&amp;$C$3&amp;"_"&amp;$C$2&amp;2</f>
        <v>TSX:OGC
_2024_Region2</v>
      </c>
      <c r="B13" s="12" t="str">
        <f>B12</f>
        <v xml:space="preserve">TSX:OGC
</v>
      </c>
      <c r="C13" s="1154" t="str">
        <f t="shared" si="0"/>
        <v>OceanaGold Corporation</v>
      </c>
      <c r="D13" s="873">
        <f>_xll.ciqfunctions.udf.CIQ(B13, "IQ_MARKETCAP", $A$1,$A$2)</f>
        <v>4453.8089300000001</v>
      </c>
      <c r="E13" s="873">
        <f>_xll.ciqfunctions.udf.CIQ($B13, "IQ_TEV", $A$1,$A$2)</f>
        <v>4363.2558799999997</v>
      </c>
      <c r="F13" s="1166" t="str">
        <f t="shared" si="1"/>
        <v>David Londoño</v>
      </c>
      <c r="G13" s="1166" t="str">
        <f t="shared" si="1"/>
        <v>EVP &amp; COO, Americas</v>
      </c>
      <c r="H13" s="873" t="str">
        <f t="shared" si="2"/>
        <v>-</v>
      </c>
      <c r="I13" s="873">
        <f t="shared" si="2"/>
        <v>530.20372354000006</v>
      </c>
      <c r="J13" s="875">
        <f t="shared" si="2"/>
        <v>265.71021725000003</v>
      </c>
      <c r="K13" s="876">
        <f t="shared" si="3"/>
        <v>0.50114739948625453</v>
      </c>
      <c r="L13" s="876">
        <f t="shared" si="3"/>
        <v>0.55197379544227332</v>
      </c>
      <c r="M13" s="877">
        <f t="shared" si="4"/>
        <v>318.12223412399999</v>
      </c>
      <c r="N13" s="878">
        <f t="shared" si="5"/>
        <v>0.6</v>
      </c>
      <c r="O13" s="875">
        <f t="shared" si="6"/>
        <v>795.91394079000008</v>
      </c>
      <c r="P13" s="879">
        <f t="shared" si="6"/>
        <v>848.32595766400016</v>
      </c>
      <c r="Q13" s="875">
        <f t="shared" si="6"/>
        <v>1098.9270362899999</v>
      </c>
      <c r="R13" s="876">
        <f t="shared" si="7"/>
        <v>2.0726505444979093</v>
      </c>
      <c r="S13" s="876">
        <f t="shared" si="7"/>
        <v>1.6681734487320454</v>
      </c>
      <c r="T13" s="877">
        <f t="shared" si="8"/>
        <v>884.47177402829379</v>
      </c>
      <c r="U13" s="878">
        <f t="shared" si="9"/>
        <v>1.6681734487320454</v>
      </c>
      <c r="V13" s="875">
        <f t="shared" si="10"/>
        <v>1894.8409770800001</v>
      </c>
      <c r="W13" s="879">
        <f t="shared" si="10"/>
        <v>1732.7977316922938</v>
      </c>
      <c r="X13" s="359">
        <f t="shared" si="11"/>
        <v>41.790185000000008</v>
      </c>
      <c r="Y13" s="360">
        <f t="shared" si="11"/>
        <v>29.806678180000002</v>
      </c>
      <c r="Z13" s="285">
        <f t="shared" si="12"/>
        <v>1966.4378402600003</v>
      </c>
      <c r="AA13" s="287">
        <f t="shared" si="12"/>
        <v>1804.394594872294</v>
      </c>
      <c r="AC13" s="567">
        <f t="shared" si="13"/>
        <v>0.48957009935343332</v>
      </c>
      <c r="AD13" s="568">
        <f t="shared" si="14"/>
        <v>0.51042990064656679</v>
      </c>
      <c r="AE13" s="316" t="str">
        <f t="shared" si="15"/>
        <v>TSX:OGC
_2023_Region</v>
      </c>
      <c r="AF13" s="316"/>
      <c r="AG13" s="503" t="str" cm="1">
        <f t="array" ref="AG13">IFERROR(INDEX('Import 2023 Data'!$E$4:$I$113,_xlfn.XMATCH(Region!$AE13,'Import 2023 Data'!$C$4:$C$113),_xlfn.XMATCH(Region!AG$5,'Import 2023 Data'!$E$3:$I$3)),"-")</f>
        <v>-</v>
      </c>
      <c r="AH13" s="316" t="str" cm="1">
        <f t="array" ref="AH13">IFERROR(INDEX('Import 2023 Data'!$E$4:$I$113,_xlfn.XMATCH(Region!$AE13,'Import 2023 Data'!$C$4:$C$113),_xlfn.XMATCH(Region!AH$5,'Import 2023 Data'!$E$3:$I$3)),"-")</f>
        <v>-</v>
      </c>
      <c r="AI13" s="504" t="str">
        <f>IF(ISNUMBER(_xlfn.XMATCH(C13,'Import 2023 Data'!$E$4:$E$113)),"N","Y")</f>
        <v>N</v>
      </c>
      <c r="AJ13" s="504" t="str">
        <f t="shared" si="16"/>
        <v>Y</v>
      </c>
      <c r="AK13" s="316" t="str" cm="1">
        <f t="array" ref="AK13">IFERROR(INDEX('Import 2023 Data'!$E$4:$I$113,_xlfn.XMATCH(Region!$AE13,'Import 2023 Data'!$C$4:$C$113),_xlfn.XMATCH(Region!AK$5,'Import 2023 Data'!$E$3:$I$3)),"-")</f>
        <v>-</v>
      </c>
      <c r="AL13" s="12" t="str" cm="1">
        <f t="array" ref="AL13">IFERROR(INDEX('Import 2023 Data'!$E$4:$I$113,_xlfn.XMATCH(Region!$AE13,'Import 2023 Data'!$C$4:$C$113),_xlfn.XMATCH(Region!AL$5,'Import 2023 Data'!$E$3:$I$3)),"-")</f>
        <v>-</v>
      </c>
      <c r="AM13" s="12" t="str" cm="1">
        <f t="array" ref="AM13">IFERROR(INDEX('Import 2023 Data'!$E$4:$I$113,_xlfn.XMATCH(Region!$AE13,'Import 2023 Data'!$C$4:$C$113),_xlfn.XMATCH(Region!AM$5,'Import 2023 Data'!$E$3:$I$3)),"-")</f>
        <v>-</v>
      </c>
      <c r="AN13" s="505" t="str">
        <f t="shared" si="17"/>
        <v>New Incumbent</v>
      </c>
      <c r="AP13" s="1154">
        <v>2.25</v>
      </c>
      <c r="AQ13" s="1154" t="s">
        <v>883</v>
      </c>
      <c r="AR13" s="1154" t="s">
        <v>885</v>
      </c>
      <c r="AS13" s="1154" t="s">
        <v>297</v>
      </c>
      <c r="AT13" s="1154" t="s">
        <v>886</v>
      </c>
      <c r="AU13" s="1157" t="s">
        <v>897</v>
      </c>
    </row>
    <row r="14" spans="1:49" ht="20.25" hidden="1" customHeight="1">
      <c r="C14" s="613" t="str">
        <f>$C$3&amp;" Summary Statistics"</f>
        <v>2024 Summary Statistics</v>
      </c>
      <c r="D14" s="614"/>
      <c r="E14" s="614"/>
      <c r="F14" s="1167"/>
      <c r="G14" s="1167"/>
      <c r="H14" s="614"/>
      <c r="I14" s="614"/>
      <c r="J14" s="614"/>
      <c r="K14" s="615"/>
      <c r="L14" s="615"/>
      <c r="M14" s="614"/>
      <c r="N14" s="615"/>
      <c r="O14" s="614"/>
      <c r="P14" s="614"/>
      <c r="Q14" s="614"/>
      <c r="R14" s="615"/>
      <c r="S14" s="615"/>
      <c r="T14" s="614"/>
      <c r="U14" s="615"/>
      <c r="V14" s="614"/>
      <c r="W14" s="616"/>
      <c r="X14" s="288"/>
      <c r="Y14" s="289"/>
      <c r="Z14" s="288"/>
      <c r="AA14" s="289"/>
      <c r="AC14" s="260"/>
      <c r="AD14" s="261"/>
      <c r="AE14" s="316"/>
      <c r="AF14" s="316"/>
      <c r="AG14" s="316"/>
      <c r="AH14" s="316"/>
      <c r="AI14" s="316"/>
      <c r="AJ14" s="316"/>
      <c r="AK14" s="316"/>
    </row>
    <row r="15" spans="1:49" s="17" customFormat="1" ht="20.25" hidden="1" customHeight="1">
      <c r="B15" s="17">
        <v>0.75</v>
      </c>
      <c r="C15" s="633" t="s">
        <v>9</v>
      </c>
      <c r="D15" s="634">
        <f t="shared" ref="D15:E17" si="18">PERCENTILE(D$8:D$13,$B15)</f>
        <v>10379.963045</v>
      </c>
      <c r="E15" s="634">
        <f t="shared" si="18"/>
        <v>13551.406654999999</v>
      </c>
      <c r="F15" s="1168"/>
      <c r="G15" s="1168"/>
      <c r="H15" s="635"/>
      <c r="I15" s="634">
        <f t="shared" ref="I15:R17" si="19">PERCENTILE(I$8:I$13,$B15)</f>
        <v>728.25</v>
      </c>
      <c r="J15" s="636">
        <f t="shared" si="19"/>
        <v>617.46450000000004</v>
      </c>
      <c r="K15" s="637">
        <f t="shared" si="19"/>
        <v>0.82454401271260114</v>
      </c>
      <c r="L15" s="637">
        <f t="shared" si="19"/>
        <v>0.81424110128484206</v>
      </c>
      <c r="M15" s="638">
        <f t="shared" si="19"/>
        <v>546.1875</v>
      </c>
      <c r="N15" s="568">
        <f t="shared" si="19"/>
        <v>0.75</v>
      </c>
      <c r="O15" s="636">
        <f t="shared" si="19"/>
        <v>1365.5107500000001</v>
      </c>
      <c r="P15" s="639">
        <f t="shared" si="19"/>
        <v>1274.4375</v>
      </c>
      <c r="Q15" s="636">
        <f t="shared" si="19"/>
        <v>1098.9270362899999</v>
      </c>
      <c r="R15" s="637">
        <f t="shared" si="19"/>
        <v>2.0726505444979093</v>
      </c>
      <c r="S15" s="637">
        <f t="shared" ref="S15:Z17" si="20">PERCENTILE(S$8:S$13,$B15)</f>
        <v>1.626130086549034</v>
      </c>
      <c r="T15" s="638">
        <f t="shared" si="20"/>
        <v>1078.2872286127413</v>
      </c>
      <c r="U15" s="568">
        <f t="shared" si="20"/>
        <v>1.626130086549034</v>
      </c>
      <c r="V15" s="636">
        <f t="shared" si="20"/>
        <v>2222.2942499999999</v>
      </c>
      <c r="W15" s="639">
        <f t="shared" si="20"/>
        <v>2351.528028004288</v>
      </c>
      <c r="X15" s="263">
        <f t="shared" si="20"/>
        <v>37.816692000000003</v>
      </c>
      <c r="Y15" s="290">
        <f t="shared" si="20"/>
        <v>91.335999999999999</v>
      </c>
      <c r="Z15" s="263">
        <f t="shared" si="20"/>
        <v>2295.2644999999998</v>
      </c>
      <c r="AA15" s="290">
        <f>AA56</f>
        <v>2531.4546655744161</v>
      </c>
      <c r="AC15" s="265">
        <f t="shared" ref="AC15:AD17" si="21">PERCENTILE(AC$8:AC$13,$B15)</f>
        <v>0.54484126671939759</v>
      </c>
      <c r="AD15" s="264">
        <f t="shared" si="21"/>
        <v>0.49820704086954049</v>
      </c>
      <c r="AE15" s="316"/>
      <c r="AF15" s="316"/>
      <c r="AG15" s="316"/>
      <c r="AH15" s="316"/>
      <c r="AI15" s="316"/>
      <c r="AJ15" s="316"/>
      <c r="AK15" s="316"/>
      <c r="AL15" s="510" t="e">
        <f t="shared" ref="AL15:AM18" si="22">PERCENTILE(AL$8:AL$13,$B15)</f>
        <v>#NUM!</v>
      </c>
      <c r="AM15" s="511" t="e">
        <f t="shared" si="22"/>
        <v>#NUM!</v>
      </c>
    </row>
    <row r="16" spans="1:49" s="17" customFormat="1" ht="20.25" hidden="1" customHeight="1">
      <c r="B16" s="17">
        <v>0.5</v>
      </c>
      <c r="C16" s="640" t="s">
        <v>8</v>
      </c>
      <c r="D16" s="641">
        <f t="shared" si="18"/>
        <v>5856.530205</v>
      </c>
      <c r="E16" s="641">
        <f t="shared" si="18"/>
        <v>7071.5286299999998</v>
      </c>
      <c r="F16" s="1169"/>
      <c r="G16" s="1169"/>
      <c r="H16" s="642"/>
      <c r="I16" s="641">
        <f t="shared" si="19"/>
        <v>603.81580682000003</v>
      </c>
      <c r="J16" s="643">
        <f t="shared" si="19"/>
        <v>431.84616002500002</v>
      </c>
      <c r="K16" s="644">
        <f t="shared" si="19"/>
        <v>0.74496660019940175</v>
      </c>
      <c r="L16" s="644">
        <f t="shared" si="19"/>
        <v>0.7196212268119313</v>
      </c>
      <c r="M16" s="645">
        <f t="shared" si="19"/>
        <v>412.01448409199998</v>
      </c>
      <c r="N16" s="646">
        <f t="shared" si="19"/>
        <v>0.67500000000000004</v>
      </c>
      <c r="O16" s="643">
        <f t="shared" si="19"/>
        <v>1035.6619668450001</v>
      </c>
      <c r="P16" s="647">
        <f t="shared" si="19"/>
        <v>1015.830290912</v>
      </c>
      <c r="Q16" s="643">
        <f t="shared" si="19"/>
        <v>994.5</v>
      </c>
      <c r="R16" s="644">
        <f t="shared" si="19"/>
        <v>1.5</v>
      </c>
      <c r="S16" s="644">
        <f t="shared" si="20"/>
        <v>1.4864138026704778</v>
      </c>
      <c r="T16" s="645">
        <f t="shared" si="20"/>
        <v>996.89340121690748</v>
      </c>
      <c r="U16" s="646">
        <f t="shared" si="20"/>
        <v>1.5</v>
      </c>
      <c r="V16" s="643">
        <f t="shared" si="20"/>
        <v>2041.70198854</v>
      </c>
      <c r="W16" s="647">
        <f t="shared" si="20"/>
        <v>2012.7236921289073</v>
      </c>
      <c r="X16" s="267">
        <f t="shared" si="20"/>
        <v>33.843199000000006</v>
      </c>
      <c r="Y16" s="291">
        <f t="shared" si="20"/>
        <v>37.612536670000004</v>
      </c>
      <c r="Z16" s="267">
        <f t="shared" si="20"/>
        <v>2102.8908345300001</v>
      </c>
      <c r="AA16" s="291">
        <f>AA57</f>
        <v>2094.9900093927745</v>
      </c>
      <c r="AC16" s="269">
        <f t="shared" si="21"/>
        <v>0.54073148448774622</v>
      </c>
      <c r="AD16" s="268">
        <f t="shared" si="21"/>
        <v>0.45926851551225373</v>
      </c>
      <c r="AE16" s="316"/>
      <c r="AF16" s="316"/>
      <c r="AG16" s="316"/>
      <c r="AH16" s="316"/>
      <c r="AI16" s="316"/>
      <c r="AJ16" s="316"/>
      <c r="AK16" s="316"/>
      <c r="AL16" s="267" t="e">
        <f t="shared" si="22"/>
        <v>#NUM!</v>
      </c>
      <c r="AM16" s="291" t="e">
        <f t="shared" si="22"/>
        <v>#NUM!</v>
      </c>
    </row>
    <row r="17" spans="1:47" s="17" customFormat="1" ht="20.25" hidden="1" customHeight="1">
      <c r="B17" s="17">
        <v>0.25</v>
      </c>
      <c r="C17" s="633" t="s">
        <v>7</v>
      </c>
      <c r="D17" s="634">
        <f t="shared" si="18"/>
        <v>4780.3344775000005</v>
      </c>
      <c r="E17" s="634">
        <f t="shared" si="18"/>
        <v>4686.7022649999999</v>
      </c>
      <c r="F17" s="1168"/>
      <c r="G17" s="1168"/>
      <c r="H17" s="635"/>
      <c r="I17" s="634">
        <f t="shared" si="19"/>
        <v>533.810696065</v>
      </c>
      <c r="J17" s="636">
        <f t="shared" si="19"/>
        <v>326.0083160675</v>
      </c>
      <c r="K17" s="637">
        <f t="shared" si="19"/>
        <v>0.63028968865594859</v>
      </c>
      <c r="L17" s="637">
        <f t="shared" si="19"/>
        <v>0.5838438714154297</v>
      </c>
      <c r="M17" s="638">
        <f t="shared" si="19"/>
        <v>320.28641763899998</v>
      </c>
      <c r="N17" s="568">
        <f t="shared" si="19"/>
        <v>0.6</v>
      </c>
      <c r="O17" s="636">
        <f t="shared" si="19"/>
        <v>816.25068901500003</v>
      </c>
      <c r="P17" s="639">
        <f t="shared" si="19"/>
        <v>854.09711370400009</v>
      </c>
      <c r="Q17" s="636">
        <f t="shared" si="19"/>
        <v>810.87800000000027</v>
      </c>
      <c r="R17" s="637">
        <f t="shared" si="19"/>
        <v>1.0856407386029048</v>
      </c>
      <c r="S17" s="637">
        <f t="shared" si="20"/>
        <v>1.1863203400085895</v>
      </c>
      <c r="T17" s="638">
        <f t="shared" si="20"/>
        <v>911.97883052122029</v>
      </c>
      <c r="U17" s="568">
        <f t="shared" si="20"/>
        <v>1.479620704005717</v>
      </c>
      <c r="V17" s="636">
        <f t="shared" si="20"/>
        <v>1868.3069493349999</v>
      </c>
      <c r="W17" s="639">
        <f t="shared" si="20"/>
        <v>1767.2726448336741</v>
      </c>
      <c r="X17" s="263">
        <f t="shared" si="20"/>
        <v>29.869706000000004</v>
      </c>
      <c r="Y17" s="290">
        <f t="shared" si="20"/>
        <v>29.806678180000002</v>
      </c>
      <c r="Z17" s="263">
        <f t="shared" si="20"/>
        <v>1974.6647974600003</v>
      </c>
      <c r="AA17" s="290">
        <f>AA58</f>
        <v>1880.4625248136847</v>
      </c>
      <c r="AC17" s="265">
        <f t="shared" si="21"/>
        <v>0.50179295913045963</v>
      </c>
      <c r="AD17" s="264">
        <f t="shared" si="21"/>
        <v>0.45515873328060236</v>
      </c>
      <c r="AE17" s="316"/>
      <c r="AF17" s="316"/>
      <c r="AG17" s="316"/>
      <c r="AH17" s="316"/>
      <c r="AI17" s="316"/>
      <c r="AJ17" s="316"/>
      <c r="AK17" s="316"/>
      <c r="AL17" s="263" t="e">
        <f t="shared" si="22"/>
        <v>#NUM!</v>
      </c>
      <c r="AM17" s="290" t="e">
        <f t="shared" si="22"/>
        <v>#NUM!</v>
      </c>
    </row>
    <row r="18" spans="1:47" s="17" customFormat="1" ht="20.25" hidden="1" customHeight="1">
      <c r="A18" s="12"/>
      <c r="B18" s="12"/>
      <c r="C18" s="648" t="s">
        <v>6</v>
      </c>
      <c r="D18" s="649">
        <f>AVERAGE(D8:D13)</f>
        <v>7961.3340833333323</v>
      </c>
      <c r="E18" s="649">
        <f>AVERAGE(E8:E13)</f>
        <v>9019.1132466666659</v>
      </c>
      <c r="F18" s="1170"/>
      <c r="G18" s="1170"/>
      <c r="H18" s="648"/>
      <c r="I18" s="649">
        <f t="shared" ref="I18:Z18" si="23">AVERAGE(I8:I13)</f>
        <v>622.37237860000005</v>
      </c>
      <c r="J18" s="650">
        <f t="shared" si="23"/>
        <v>534.82185424333329</v>
      </c>
      <c r="K18" s="651">
        <f t="shared" si="23"/>
        <v>0.81891624991169831</v>
      </c>
      <c r="L18" s="651">
        <f t="shared" si="23"/>
        <v>0.70260655086557955</v>
      </c>
      <c r="M18" s="652">
        <f t="shared" si="23"/>
        <v>434.6282604933333</v>
      </c>
      <c r="N18" s="653">
        <f t="shared" si="23"/>
        <v>0.68333333333333346</v>
      </c>
      <c r="O18" s="650">
        <f t="shared" si="23"/>
        <v>1157.1942328433336</v>
      </c>
      <c r="P18" s="654">
        <f t="shared" si="23"/>
        <v>1057.0006390933336</v>
      </c>
      <c r="Q18" s="650">
        <f t="shared" si="23"/>
        <v>990.09187343000008</v>
      </c>
      <c r="R18" s="651">
        <f t="shared" si="23"/>
        <v>1.7045549731463452</v>
      </c>
      <c r="S18" s="651">
        <f t="shared" si="23"/>
        <v>1.4351711989356151</v>
      </c>
      <c r="T18" s="652">
        <f t="shared" si="23"/>
        <v>943.36008229538209</v>
      </c>
      <c r="U18" s="653">
        <f t="shared" si="23"/>
        <v>1.5111021576185877</v>
      </c>
      <c r="V18" s="650">
        <f t="shared" si="23"/>
        <v>1982.2707940350001</v>
      </c>
      <c r="W18" s="654">
        <f t="shared" si="23"/>
        <v>2000.3607213887155</v>
      </c>
      <c r="X18" s="271">
        <f t="shared" si="23"/>
        <v>33.843199000000006</v>
      </c>
      <c r="Y18" s="273">
        <f t="shared" si="23"/>
        <v>63.302322098000005</v>
      </c>
      <c r="Z18" s="271">
        <f t="shared" si="23"/>
        <v>2046.3037954499998</v>
      </c>
      <c r="AA18" s="273">
        <f>AA59</f>
        <v>2124.4045444453773</v>
      </c>
      <c r="AC18" s="274">
        <f>AVERAGE(AC8:AC13)</f>
        <v>0.52948726641671018</v>
      </c>
      <c r="AD18" s="272">
        <f>AVERAGE(AD8:AD13)</f>
        <v>0.47051273358328977</v>
      </c>
      <c r="AE18" s="316"/>
      <c r="AF18" s="316"/>
      <c r="AG18" s="316"/>
      <c r="AH18" s="316"/>
      <c r="AI18" s="316"/>
      <c r="AJ18" s="316"/>
      <c r="AK18" s="316"/>
      <c r="AL18" s="271" t="e">
        <f t="shared" si="22"/>
        <v>#NUM!</v>
      </c>
      <c r="AM18" s="273" t="e">
        <f t="shared" si="22"/>
        <v>#NUM!</v>
      </c>
    </row>
    <row r="19" spans="1:47" s="17" customFormat="1" ht="20.25" hidden="1" customHeight="1">
      <c r="A19" s="12"/>
      <c r="B19" s="12"/>
      <c r="C19" s="613" t="str">
        <f>$C$3+1&amp;" Estimated Summary Statistics "</f>
        <v xml:space="preserve">2025 Estimated Summary Statistics </v>
      </c>
      <c r="D19" s="614"/>
      <c r="E19" s="614"/>
      <c r="F19" s="1167"/>
      <c r="G19" s="1167"/>
      <c r="H19" s="614"/>
      <c r="I19" s="614"/>
      <c r="J19" s="614"/>
      <c r="K19" s="615"/>
      <c r="L19" s="615"/>
      <c r="M19" s="614"/>
      <c r="N19" s="615"/>
      <c r="O19" s="614"/>
      <c r="P19" s="614"/>
      <c r="Q19" s="614"/>
      <c r="R19" s="615"/>
      <c r="S19" s="615"/>
      <c r="T19" s="614"/>
      <c r="U19" s="615"/>
      <c r="V19" s="614"/>
      <c r="W19" s="616"/>
      <c r="X19" s="516"/>
      <c r="Y19" s="516"/>
      <c r="Z19" s="516"/>
      <c r="AA19" s="516"/>
      <c r="AC19" s="517"/>
      <c r="AD19" s="517"/>
      <c r="AE19" s="316"/>
      <c r="AF19" s="316"/>
      <c r="AG19" s="316"/>
      <c r="AH19" s="316"/>
      <c r="AI19" s="316"/>
      <c r="AJ19" s="316"/>
      <c r="AK19" s="316"/>
      <c r="AL19" s="516"/>
      <c r="AM19" s="516"/>
    </row>
    <row r="20" spans="1:47" s="17" customFormat="1" ht="20.25" hidden="1" customHeight="1">
      <c r="A20" s="12"/>
      <c r="B20" s="17">
        <v>0.75</v>
      </c>
      <c r="C20" s="633" t="s">
        <v>9</v>
      </c>
      <c r="D20" s="634">
        <f t="shared" ref="D20:E22" si="24">PERCENTILE(D$8:D$13,$B20)</f>
        <v>10379.963045</v>
      </c>
      <c r="E20" s="634">
        <f t="shared" si="24"/>
        <v>13551.406654999999</v>
      </c>
      <c r="F20" s="1168"/>
      <c r="G20" s="1168"/>
      <c r="H20" s="635"/>
      <c r="I20" s="634">
        <f>I56</f>
        <v>750.09749999999997</v>
      </c>
      <c r="J20" s="636">
        <f>J56</f>
        <v>0</v>
      </c>
      <c r="K20" s="637">
        <f>K56</f>
        <v>0</v>
      </c>
      <c r="L20" s="637">
        <f>L56</f>
        <v>0</v>
      </c>
      <c r="M20" s="638">
        <f>M56</f>
        <v>562.573125</v>
      </c>
      <c r="N20" s="568">
        <f t="shared" ref="N20:O22" si="25">PERCENTILE(N$8:N$13,$B20)</f>
        <v>0.75</v>
      </c>
      <c r="O20" s="636">
        <f t="shared" si="25"/>
        <v>1365.5107500000001</v>
      </c>
      <c r="P20" s="634">
        <f>P56</f>
        <v>1312.670625</v>
      </c>
      <c r="Q20" s="636">
        <f>Q56</f>
        <v>0</v>
      </c>
      <c r="R20" s="637">
        <f>R56</f>
        <v>0</v>
      </c>
      <c r="S20" s="637">
        <f>S56</f>
        <v>0</v>
      </c>
      <c r="T20" s="638">
        <f>T56</f>
        <v>1110.6358454711235</v>
      </c>
      <c r="U20" s="568">
        <f t="shared" ref="U20:V22" si="26">PERCENTILE(U$8:U$13,$B20)</f>
        <v>1.626130086549034</v>
      </c>
      <c r="V20" s="636">
        <f t="shared" si="26"/>
        <v>2222.2942499999999</v>
      </c>
      <c r="W20" s="639">
        <f>W56</f>
        <v>2422.0738688444162</v>
      </c>
      <c r="X20" s="516"/>
      <c r="Y20" s="516"/>
      <c r="Z20" s="516"/>
      <c r="AA20" s="516"/>
      <c r="AC20" s="517"/>
      <c r="AD20" s="517"/>
      <c r="AE20" s="316"/>
      <c r="AF20" s="316"/>
      <c r="AG20" s="316"/>
      <c r="AH20" s="316"/>
      <c r="AI20" s="316"/>
      <c r="AJ20" s="316"/>
      <c r="AK20" s="316"/>
      <c r="AL20" s="516"/>
      <c r="AM20" s="516"/>
    </row>
    <row r="21" spans="1:47" s="17" customFormat="1" ht="20.25" hidden="1" customHeight="1">
      <c r="A21" s="12"/>
      <c r="B21" s="17">
        <v>0.5</v>
      </c>
      <c r="C21" s="640" t="s">
        <v>8</v>
      </c>
      <c r="D21" s="641">
        <f t="shared" si="24"/>
        <v>5856.530205</v>
      </c>
      <c r="E21" s="641">
        <f t="shared" si="24"/>
        <v>7071.5286299999998</v>
      </c>
      <c r="F21" s="1169"/>
      <c r="G21" s="1169"/>
      <c r="H21" s="642"/>
      <c r="I21" s="641">
        <f t="shared" ref="I21:M23" si="27">I57</f>
        <v>621.93028102459994</v>
      </c>
      <c r="J21" s="643">
        <f t="shared" si="27"/>
        <v>0</v>
      </c>
      <c r="K21" s="644">
        <f t="shared" si="27"/>
        <v>0</v>
      </c>
      <c r="L21" s="644">
        <f t="shared" si="27"/>
        <v>0</v>
      </c>
      <c r="M21" s="645">
        <f t="shared" si="27"/>
        <v>424.37491861475996</v>
      </c>
      <c r="N21" s="646">
        <f t="shared" si="25"/>
        <v>0.67500000000000004</v>
      </c>
      <c r="O21" s="643">
        <f t="shared" si="25"/>
        <v>1035.6619668450001</v>
      </c>
      <c r="P21" s="641">
        <f t="shared" ref="P21:T23" si="28">P57</f>
        <v>1046.3051996393599</v>
      </c>
      <c r="Q21" s="643">
        <f t="shared" si="28"/>
        <v>0</v>
      </c>
      <c r="R21" s="644">
        <f t="shared" si="28"/>
        <v>0</v>
      </c>
      <c r="S21" s="644">
        <f t="shared" si="28"/>
        <v>0</v>
      </c>
      <c r="T21" s="645">
        <f t="shared" si="28"/>
        <v>1026.8002032534146</v>
      </c>
      <c r="U21" s="646">
        <f t="shared" si="26"/>
        <v>1.5</v>
      </c>
      <c r="V21" s="643">
        <f t="shared" si="26"/>
        <v>2041.70198854</v>
      </c>
      <c r="W21" s="647">
        <f>W57</f>
        <v>2073.1054028927747</v>
      </c>
      <c r="X21" s="516"/>
      <c r="Y21" s="516"/>
      <c r="Z21" s="516"/>
      <c r="AA21" s="516"/>
      <c r="AC21" s="517"/>
      <c r="AD21" s="517"/>
      <c r="AE21" s="316"/>
      <c r="AF21" s="316"/>
      <c r="AG21" s="316"/>
      <c r="AH21" s="316"/>
      <c r="AI21" s="316"/>
      <c r="AJ21" s="316"/>
      <c r="AK21" s="316"/>
      <c r="AL21" s="516"/>
      <c r="AM21" s="516"/>
    </row>
    <row r="22" spans="1:47" s="17" customFormat="1" ht="20.25" hidden="1" customHeight="1">
      <c r="A22" s="12"/>
      <c r="B22" s="17">
        <v>0.25</v>
      </c>
      <c r="C22" s="633" t="s">
        <v>7</v>
      </c>
      <c r="D22" s="634">
        <f t="shared" si="24"/>
        <v>4780.3344775000005</v>
      </c>
      <c r="E22" s="634">
        <f t="shared" si="24"/>
        <v>4686.7022649999999</v>
      </c>
      <c r="F22" s="1168"/>
      <c r="G22" s="1168"/>
      <c r="H22" s="635"/>
      <c r="I22" s="634">
        <f t="shared" si="27"/>
        <v>549.82501694695009</v>
      </c>
      <c r="J22" s="636">
        <f t="shared" si="27"/>
        <v>0</v>
      </c>
      <c r="K22" s="637">
        <f t="shared" si="27"/>
        <v>0</v>
      </c>
      <c r="L22" s="637">
        <f t="shared" si="27"/>
        <v>0</v>
      </c>
      <c r="M22" s="638">
        <f t="shared" si="27"/>
        <v>329.89501016817002</v>
      </c>
      <c r="N22" s="568">
        <f t="shared" si="25"/>
        <v>0.6</v>
      </c>
      <c r="O22" s="636">
        <f t="shared" si="25"/>
        <v>816.25068901500003</v>
      </c>
      <c r="P22" s="634">
        <f t="shared" si="28"/>
        <v>879.72002711512005</v>
      </c>
      <c r="Q22" s="636">
        <f t="shared" si="28"/>
        <v>0</v>
      </c>
      <c r="R22" s="637">
        <f t="shared" si="28"/>
        <v>0</v>
      </c>
      <c r="S22" s="637">
        <f t="shared" si="28"/>
        <v>0</v>
      </c>
      <c r="T22" s="638">
        <f t="shared" si="28"/>
        <v>939.33819543685706</v>
      </c>
      <c r="U22" s="568">
        <f t="shared" si="26"/>
        <v>1.479620704005717</v>
      </c>
      <c r="V22" s="636">
        <f t="shared" si="26"/>
        <v>1868.3069493349999</v>
      </c>
      <c r="W22" s="639">
        <f>W58</f>
        <v>1820.2908241786845</v>
      </c>
      <c r="X22" s="516"/>
      <c r="Y22" s="516"/>
      <c r="Z22" s="516"/>
      <c r="AA22" s="516"/>
      <c r="AC22" s="517"/>
      <c r="AD22" s="517"/>
      <c r="AE22" s="316"/>
      <c r="AF22" s="316"/>
      <c r="AG22" s="316"/>
      <c r="AH22" s="316"/>
      <c r="AI22" s="316"/>
      <c r="AJ22" s="316"/>
      <c r="AK22" s="316"/>
      <c r="AL22" s="516"/>
      <c r="AM22" s="516"/>
    </row>
    <row r="23" spans="1:47" s="17" customFormat="1" ht="20.25" hidden="1" customHeight="1">
      <c r="A23" s="12"/>
      <c r="B23" s="12"/>
      <c r="C23" s="648" t="s">
        <v>6</v>
      </c>
      <c r="D23" s="649">
        <f>AVERAGE(D11:D18)</f>
        <v>6235.0986844047629</v>
      </c>
      <c r="E23" s="649">
        <f>AVERAGE(E11:E18)</f>
        <v>6958.9005680952378</v>
      </c>
      <c r="F23" s="1170"/>
      <c r="G23" s="1170"/>
      <c r="H23" s="648"/>
      <c r="I23" s="649">
        <f t="shared" si="27"/>
        <v>641.04354995799997</v>
      </c>
      <c r="J23" s="650">
        <f t="shared" si="27"/>
        <v>0</v>
      </c>
      <c r="K23" s="651">
        <f t="shared" si="27"/>
        <v>0</v>
      </c>
      <c r="L23" s="651">
        <f t="shared" si="27"/>
        <v>0</v>
      </c>
      <c r="M23" s="652">
        <f t="shared" si="27"/>
        <v>447.66710830813332</v>
      </c>
      <c r="N23" s="653">
        <f>AVERAGE(N11:N18)</f>
        <v>0.67261904761904756</v>
      </c>
      <c r="O23" s="650">
        <f>AVERAGE(O11:O18)</f>
        <v>1067.2075018833334</v>
      </c>
      <c r="P23" s="649">
        <f t="shared" si="28"/>
        <v>1088.7106582661334</v>
      </c>
      <c r="Q23" s="650">
        <f t="shared" si="28"/>
        <v>0</v>
      </c>
      <c r="R23" s="651">
        <f t="shared" si="28"/>
        <v>0</v>
      </c>
      <c r="S23" s="651">
        <f t="shared" si="28"/>
        <v>0</v>
      </c>
      <c r="T23" s="652">
        <f t="shared" si="28"/>
        <v>971.66088476424363</v>
      </c>
      <c r="U23" s="653">
        <f>AVERAGE(U11:U18)</f>
        <v>1.5885457671875394</v>
      </c>
      <c r="V23" s="650">
        <f>AVERAGE(V11:V18)</f>
        <v>2093.7304007185712</v>
      </c>
      <c r="W23" s="654">
        <f>W59</f>
        <v>2060.3715430303769</v>
      </c>
      <c r="X23" s="516"/>
      <c r="Y23" s="516"/>
      <c r="Z23" s="516"/>
      <c r="AA23" s="516"/>
      <c r="AC23" s="517"/>
      <c r="AD23" s="517"/>
      <c r="AE23" s="316"/>
      <c r="AF23" s="316"/>
      <c r="AG23" s="316"/>
      <c r="AH23" s="316"/>
      <c r="AI23" s="316"/>
      <c r="AJ23" s="316"/>
      <c r="AK23" s="316"/>
      <c r="AL23" s="516"/>
      <c r="AM23" s="516"/>
    </row>
    <row r="24" spans="1:47" ht="7.5" customHeight="1" thickBot="1">
      <c r="C24" s="655"/>
      <c r="D24" s="655"/>
      <c r="E24" s="655"/>
      <c r="F24" s="1171"/>
      <c r="G24" s="1171"/>
      <c r="H24" s="655"/>
      <c r="I24" s="656"/>
      <c r="J24" s="657"/>
      <c r="K24" s="658"/>
      <c r="L24" s="658"/>
      <c r="M24" s="656"/>
      <c r="N24" s="659"/>
      <c r="O24" s="657"/>
      <c r="P24" s="656"/>
      <c r="Q24" s="656"/>
      <c r="R24" s="659"/>
      <c r="S24" s="659"/>
      <c r="T24" s="657"/>
      <c r="U24" s="658"/>
      <c r="V24" s="657"/>
      <c r="W24" s="656"/>
      <c r="X24" s="277"/>
      <c r="Y24" s="276"/>
      <c r="Z24" s="275"/>
      <c r="AA24" s="275"/>
      <c r="AC24" s="259"/>
      <c r="AD24" s="259"/>
      <c r="AE24" s="316"/>
      <c r="AF24" s="316"/>
      <c r="AG24" s="316"/>
      <c r="AH24" s="316"/>
      <c r="AI24" s="316"/>
      <c r="AJ24" s="316"/>
      <c r="AK24" s="316"/>
    </row>
    <row r="25" spans="1:47" s="35" customFormat="1" ht="98.5" thickBot="1">
      <c r="A25" s="35" t="str">
        <f>$B28&amp;"_"&amp;$C$3&amp;"_"&amp;$C$2&amp;2</f>
        <v>TSX:HBM_2024_Region2</v>
      </c>
      <c r="B25" s="35" t="str">
        <f>'Raw Data'!G6</f>
        <v>TSX:HBM</v>
      </c>
      <c r="C25" s="867" t="str">
        <f>IFERROR(INDEX(Raw_Data,MATCH($A25,Look_Up2,0),MATCH(C$4,Component,0)),"-")</f>
        <v>Hudbay Minerals Inc.</v>
      </c>
      <c r="D25" s="868">
        <f>_xll.ciqfunctions.udf.CIQ(B25, "IQ_MARKETCAP", $A$1,$A$2)</f>
        <v>5664.3295799999996</v>
      </c>
      <c r="E25" s="868">
        <f>_xll.ciqfunctions.udf.CIQ($B25, "IQ_TEV", $A$1,$A$2)</f>
        <v>6773.8200500000003</v>
      </c>
      <c r="F25" s="1172" t="str">
        <f>IFERROR(INDEX(Raw_Data,MATCH($A25,Look_Up2,0),MATCH(F$4,Component,0)),"-")</f>
        <v>Javier Del Rio</v>
      </c>
      <c r="G25" s="1172" t="str">
        <f>IFERROR(INDEX(Raw_Data,MATCH($A25,Look_Up2,0),MATCH(G$4,Component,0)),"-")</f>
        <v>SVP, US Business Unit</v>
      </c>
      <c r="H25" s="869" t="str">
        <f>IFERROR(INDEX(Raw_Data,MATCH($A25,Look_Up2,0),MATCH(H$4,Component,0))/1000,"-")</f>
        <v>-</v>
      </c>
      <c r="I25" s="868">
        <f>IFERROR(INDEX(Raw_Data,MATCH($A25,Look_Up2,0),MATCH(I$4,Component,0))/1000,"-")</f>
        <v>606.75786177999998</v>
      </c>
      <c r="J25" s="868">
        <f>IFERROR(INDEX(Raw_Data,MATCH($A25,Look_Up2,0),MATCH(J$4,Component,0))/1000,"-")</f>
        <v>609.73935170000004</v>
      </c>
      <c r="K25" s="870">
        <f>IFERROR(INDEX(Raw_Data,MATCH($A25,Look_Up2,0),MATCH(K$4,Component,0)),"-")</f>
        <v>1.0049138051730444</v>
      </c>
      <c r="L25" s="870">
        <f>IFERROR(INDEX(Raw_Data,MATCH($A25,Look_Up2,0),MATCH(L$4,Component,0)),"-")</f>
        <v>1.0049138051730444</v>
      </c>
      <c r="M25" s="868">
        <f>IFERROR(INDEX(Raw_Data,MATCH($A25,Look_Up2,0),MATCH(M$4,Component,0))/1000,"-")</f>
        <v>364.054717068</v>
      </c>
      <c r="N25" s="870">
        <f>IFERROR(IF(INDEX(Raw_Data,MATCH($A25,Look_Up2,0),MATCH(N$4,Component,0))="-",L25,INDEX(Raw_Data,MATCH($A25,Look_Up2,0),MATCH(N$4,Component,0))),"-")</f>
        <v>0.6</v>
      </c>
      <c r="O25" s="868" t="s">
        <v>78</v>
      </c>
      <c r="P25" s="868">
        <f>IFERROR(INDEX(Raw_Data,MATCH($A25,Look_Up2,0),MATCH(P$4,Component,0))/1000,"-")</f>
        <v>970.81257884800004</v>
      </c>
      <c r="Q25" s="868">
        <f>IFERROR(INDEX(Raw_Data,MATCH($A25,Look_Up2,0),MATCH(Q$4,Component,0))/1000,"-")</f>
        <v>875.76333788000011</v>
      </c>
      <c r="R25" s="870">
        <f>IFERROR(INDEX(Raw_Data,MATCH($A25,Look_Up2,0),MATCH(R$4,Component,0)),"-")</f>
        <v>1.4433489750109523</v>
      </c>
      <c r="S25" s="870">
        <f>IFERROR(INDEX(Raw_Data,MATCH($A25,Look_Up2,0),MATCH(S$4,Component,0)),"-")</f>
        <v>1.4433489750109523</v>
      </c>
      <c r="T25" s="868">
        <f>IFERROR(INDEX(Raw_Data,MATCH($A25,Look_Up2,0),MATCH(T$4,Component,0))/1000,"-")</f>
        <v>728.109434136</v>
      </c>
      <c r="U25" s="870">
        <f>IFERROR(IF(INDEX(Raw_Data,MATCH($A25,Look_Up2,0),MATCH(U$4,Component,0))="-",S25,INDEX(Raw_Data,MATCH($A25,Look_Up2,0),MATCH(U$4,Component,0))),"-")</f>
        <v>1.2</v>
      </c>
      <c r="V25" s="868" t="s">
        <v>78</v>
      </c>
      <c r="W25" s="871">
        <f>IFERROR(INDEX(Raw_Data,MATCH($A25,Look_Up2,0),MATCH(W$4,Component,0))/1000,"-")</f>
        <v>1698.922012984</v>
      </c>
      <c r="X25" s="866">
        <f>IFERROR((INDEX(Raw_Data,MATCH($A25,Look_Up2,0),MATCH(X$4,Component,0))/1000),"-")</f>
        <v>18.43563735</v>
      </c>
      <c r="Y25" s="278">
        <f>IFERROR((INDEX(Raw_Data,MATCH($A25,Look_Up2,0),MATCH(Y$4,Component,0))/1000),"-")</f>
        <v>101.602</v>
      </c>
      <c r="Z25" s="278">
        <f>IFERROR(INDEX(Raw_Data,MATCH($A25,Look_Up2,0),MATCH(Z$4,Component,0))/1000,"-")</f>
        <v>2212.29818871</v>
      </c>
      <c r="AA25" s="292">
        <f>IFERROR(INDEX(Raw_Data,MATCH($A25,Look_Up2,0),MATCH(AA$4,Component,0))/1000,"-")</f>
        <v>1818.9596503340001</v>
      </c>
      <c r="AC25" s="279">
        <f>IFERROR(P25/W25,0)</f>
        <v>0.5714285714285714</v>
      </c>
      <c r="AD25" s="293">
        <f>IFERROR(T25/W25,0)</f>
        <v>0.42857142857142855</v>
      </c>
      <c r="AE25" s="316" t="str">
        <f>B25&amp;"_"&amp;$AE$6&amp;"_"&amp;$C$2</f>
        <v>TSX:HBM_2023_Region</v>
      </c>
      <c r="AF25" s="316"/>
      <c r="AG25" s="316"/>
      <c r="AH25" s="316"/>
      <c r="AI25" s="316"/>
      <c r="AJ25" s="316"/>
      <c r="AK25" s="316"/>
      <c r="AL25" s="526" t="str" cm="1">
        <f t="array" ref="AL25">IFERROR(INDEX('Import 2023 Data'!$E$4:$I$113,_xlfn.XMATCH(Region!$AE25,'Import 2023 Data'!$C$4:$C$113),_xlfn.XMATCH(Region!AL$5,'Import 2023 Data'!$E$3:$I$3)),"-")</f>
        <v>-</v>
      </c>
      <c r="AM25" s="527" t="str" cm="1">
        <f t="array" ref="AM25">IFERROR(INDEX('Import 2023 Data'!$E$4:$I$113,_xlfn.XMATCH(Region!$AE25,'Import 2023 Data'!$C$4:$C$113),_xlfn.XMATCH(Region!AM$5,'Import 2023 Data'!$E$3:$I$3)),"-")</f>
        <v>-</v>
      </c>
      <c r="AP25" s="1159" t="s">
        <v>898</v>
      </c>
      <c r="AQ25" s="1160"/>
      <c r="AR25" s="1160" t="s">
        <v>885</v>
      </c>
      <c r="AS25" s="1160" t="s">
        <v>297</v>
      </c>
      <c r="AT25" s="1160" t="s">
        <v>899</v>
      </c>
      <c r="AU25" s="1151" t="s">
        <v>901</v>
      </c>
    </row>
    <row r="26" spans="1:47" ht="20.25" hidden="1" customHeight="1">
      <c r="B26" s="33"/>
      <c r="C26" s="622" t="s">
        <v>5</v>
      </c>
      <c r="D26" s="623">
        <f>IF(D$25&gt;=MAX(D$8:D$13),"max",IF(D$25&lt;=MIN(D$8:D$13),"min",PERCENTRANK(D$8:D$13,D$25)))</f>
        <v>0.38500000000000001</v>
      </c>
      <c r="E26" s="623">
        <f>IF(E$25&gt;=MAX(E$8:E$13),"max",IF(E$25&lt;=MIN(E$8:E$13),"min",PERCENTRANK(E$8:E$13,E$25)))</f>
        <v>0.47799999999999998</v>
      </c>
      <c r="F26" s="1173"/>
      <c r="G26" s="1173"/>
      <c r="H26" s="624"/>
      <c r="I26" s="623">
        <f>IF(I$25&gt;=MAX(I$35:I$54),"max",IF(I$25&lt;=MIN(I$35:I$54),"min",PERCENTRANK(I$35:I$54,I$25)))</f>
        <v>0.47499999999999998</v>
      </c>
      <c r="J26" s="623">
        <f>IF(J$25&gt;=MAX(J$8:J$13),"max",IF(J$25&lt;=MIN(J$8:J$13),"min",PERCENTRANK(J$8:J$13,J$25)))</f>
        <v>0.73599999999999999</v>
      </c>
      <c r="K26" s="623">
        <f>IF(K$25&gt;=MAX(K$8:K$13),"max",IF(K$25&lt;=MIN(K$8:K$13),"min",PERCENTRANK(K$8:K$13,K$25)))</f>
        <v>0.85299999999999998</v>
      </c>
      <c r="L26" s="623" t="str">
        <f>IF(L$25&gt;=MAX(L$8:L$13),"max",IF(L$25&lt;=MIN(L$8:L$13),"min",PERCENTRANK(L$8:L$13,L$25)))</f>
        <v>max</v>
      </c>
      <c r="M26" s="623">
        <f>IF(M$25&gt;=MAX(M$35:M$54),"max",IF(M$25&lt;=MIN(M$35:M$54),"min",PERCENTRANK(M$35:M$54,M$25)))</f>
        <v>0.43099999999999999</v>
      </c>
      <c r="N26" s="623" t="str">
        <f>IF(N$25&gt;=MAX(N$8:N$13),"max",IF(N$25&lt;=MIN(N$8:N$13),"min",PERCENTRANK(N$8:N$13,N$25)))</f>
        <v>min</v>
      </c>
      <c r="O26" s="623" t="s">
        <v>78</v>
      </c>
      <c r="P26" s="623">
        <f>IF(P$25&gt;=MAX(P$35:P$54),"max",IF(P$25&lt;=MIN(P$35:P$54),"min",PERCENTRANK(P$35:P$54,P$25)))</f>
        <v>0.44900000000000001</v>
      </c>
      <c r="Q26" s="623">
        <f>IF(Q$25&gt;=MAX(Q$8:Q$13),"max",IF(Q$25&lt;=MIN(Q$8:Q$13),"min",PERCENTRANK(Q$8:Q$13,Q$25)))</f>
        <v>0.33800000000000002</v>
      </c>
      <c r="R26" s="623">
        <f>IF(R$25&gt;=MAX(R$8:R$13),"max",IF(R$25&lt;=MIN(R$8:R$13),"min",PERCENTRANK(R$8:R$13,R$25)))</f>
        <v>0.46500000000000002</v>
      </c>
      <c r="S26" s="623">
        <f>IF(S$25&gt;=MAX(S$8:S$13),"max",IF(S$25&lt;=MIN(S$8:S$13),"min",PERCENTRANK(S$8:S$13,S$25)))</f>
        <v>0.38400000000000001</v>
      </c>
      <c r="T26" s="623">
        <f>IF(T$25&gt;=MAX(T$35:T$54),"max",IF(T$25&lt;=MIN(T$35:T$54),"min",PERCENTRANK(T$35:T$54,T$25)))</f>
        <v>0.104</v>
      </c>
      <c r="U26" s="623">
        <f>IF(U$25&gt;=MAX(U$8:U$13),"max",IF(U$25&lt;=MIN(U$8:U$13),"min",PERCENTRANK(U$8:U$13,U$25)))</f>
        <v>5.7000000000000002E-2</v>
      </c>
      <c r="V26" s="623" t="s">
        <v>78</v>
      </c>
      <c r="W26" s="625">
        <f>IF(W$25&gt;=MAX(W$35:W$54),"max",IF(W$25&lt;=MIN(W$35:W$54),"min",PERCENTRANK(W$35:W$54,W$25)))</f>
        <v>0.16400000000000001</v>
      </c>
      <c r="X26" s="280" t="str">
        <f>IF(X$25&gt;=MAX(X$8:X$13),"max",IF(X$25&lt;=MIN(X$8:X$13),"min",PERCENTRANK(X$8:X$13,X$25)))</f>
        <v>min</v>
      </c>
      <c r="Y26" s="280">
        <f>IF(Y$25&gt;=MAX(Y$8:Y$13),"max",IF(Y$25&lt;=MIN(Y$8:Y$13),"min",PERCENTRANK(Y$8:Y$13,Y$25)))</f>
        <v>0.80200000000000005</v>
      </c>
      <c r="Z26" s="280">
        <f>IF(Z$25&gt;=MAX(Z$8:Z$13),"max",IF(Z$25&lt;=MIN(Z$8:Z$13),"min",PERCENTRANK(Z$8:Z$13,Z$25)))</f>
        <v>0.60899999999999999</v>
      </c>
      <c r="AA26" s="281">
        <f>IF(AA$25&gt;=MAX(AA$35:AA$54),"max",IF(AA$25&lt;=MIN(AA$35:AA$54),"min",PERCENTRANK(AA$35:AA$54,AA$25)))</f>
        <v>0.185</v>
      </c>
      <c r="AC26" s="282">
        <f>IF(AC$25&gt;=MAX(AC$8:AC13),"max",IF(AC$25&lt;=MIN(AC$8:AC13),"min",PERCENTRANK(AC$8:AC13,AC$25)))</f>
        <v>0.90500000000000003</v>
      </c>
      <c r="AD26" s="283">
        <f>IF(AD$25&gt;=MAX(AD$8:AD13),"max",IF(AD$25&lt;=MIN(AD$8:AD13),"min",PERCENTRANK(AD$8:AD13,AD$25)))</f>
        <v>9.4E-2</v>
      </c>
      <c r="AE26" s="316"/>
      <c r="AF26" s="316"/>
      <c r="AG26" s="316"/>
      <c r="AH26" s="316"/>
      <c r="AI26" s="316"/>
      <c r="AJ26" s="316"/>
      <c r="AK26" s="316"/>
    </row>
    <row r="27" spans="1:47" ht="7.5" customHeight="1" thickBot="1">
      <c r="B27" s="33"/>
      <c r="C27" s="937"/>
      <c r="D27" s="937"/>
      <c r="E27" s="655"/>
      <c r="F27" s="1171"/>
      <c r="G27" s="1171"/>
      <c r="H27" s="655"/>
      <c r="I27" s="656"/>
      <c r="J27" s="656"/>
      <c r="K27" s="656"/>
      <c r="L27" s="656"/>
      <c r="M27" s="656"/>
      <c r="N27" s="656"/>
      <c r="O27" s="656"/>
      <c r="P27" s="656"/>
      <c r="Q27" s="656"/>
      <c r="R27" s="656"/>
      <c r="S27" s="656"/>
      <c r="T27" s="656"/>
      <c r="U27" s="656"/>
      <c r="V27" s="656"/>
      <c r="W27" s="656"/>
      <c r="X27" s="275"/>
      <c r="Y27" s="275"/>
      <c r="Z27" s="275"/>
      <c r="AA27" s="275"/>
      <c r="AC27" s="259"/>
      <c r="AD27" s="259"/>
      <c r="AE27" s="316"/>
      <c r="AF27" s="316"/>
      <c r="AG27" s="316"/>
      <c r="AH27" s="316"/>
      <c r="AI27" s="316"/>
      <c r="AJ27" s="316"/>
      <c r="AK27" s="316"/>
    </row>
    <row r="28" spans="1:47" s="35" customFormat="1" ht="20.25" customHeight="1" thickBot="1">
      <c r="A28" s="35" t="str">
        <f>$B28&amp;"_"&amp;$C$3&amp;"_"&amp;$C$2</f>
        <v>TSX:HBM_2024_Region</v>
      </c>
      <c r="B28" s="35" t="str">
        <f>B25</f>
        <v>TSX:HBM</v>
      </c>
      <c r="C28" s="867" t="str">
        <f>IFERROR(INDEX(Raw_Data,MATCH($A28,Look_Up2,0),MATCH(C$4,Component,0)),"-")</f>
        <v>Hudbay Minerals Inc.</v>
      </c>
      <c r="D28" s="868">
        <f>_xll.ciqfunctions.udf.CIQ(B28, "IQ_MARKETCAP", $A$1,$A$2)</f>
        <v>5664.3295799999996</v>
      </c>
      <c r="E28" s="868">
        <f>_xll.ciqfunctions.udf.CIQ($B28, "IQ_TEV", $A$1,$A$2)</f>
        <v>6773.8200500000003</v>
      </c>
      <c r="F28" s="1172" t="str">
        <f>IFERROR(INDEX(Raw_Data,MATCH($A28,Look_Up2,0),MATCH(F$4,Component,0)),"-")</f>
        <v>Rob Carter</v>
      </c>
      <c r="G28" s="1172" t="str">
        <f>IFERROR(INDEX(Raw_Data,MATCH($A28,Look_Up2,0),MATCH(G$4,Component,0)),"-")</f>
        <v>SVP, Canada</v>
      </c>
      <c r="H28" s="869" t="str">
        <f>IFERROR(INDEX(Raw_Data,MATCH($A28,Look_Up2,0),MATCH(H$4,Component,0))/1000,"-")</f>
        <v>-</v>
      </c>
      <c r="I28" s="868">
        <f>IFERROR(INDEX(Raw_Data,MATCH($A28,Look_Up2,0),MATCH(I$4,Component,0))/1000,"-")</f>
        <v>453.5</v>
      </c>
      <c r="J28" s="868">
        <f>IFERROR(INDEX(Raw_Data,MATCH($A28,Look_Up2,0),MATCH(J$4,Component,0))/1000,"-")</f>
        <v>0</v>
      </c>
      <c r="K28" s="870">
        <f>IFERROR(INDEX(Raw_Data,MATCH($A28,Look_Up2,0),MATCH(K$4,Component,0)),"-")</f>
        <v>0</v>
      </c>
      <c r="L28" s="870">
        <f>IFERROR(INDEX(Raw_Data,MATCH($A28,Look_Up2,0),MATCH(L$4,Component,0)),"-")</f>
        <v>0</v>
      </c>
      <c r="M28" s="868">
        <f>IFERROR(INDEX(Raw_Data,MATCH($A28,Look_Up2,0),MATCH(M$4,Component,0))/1000,"-")</f>
        <v>272.10000000000002</v>
      </c>
      <c r="N28" s="870">
        <f>IFERROR(IF(INDEX(Raw_Data,MATCH($A28,Look_Up2,0),MATCH(N$4,Component,0))="-",L28,INDEX(Raw_Data,MATCH($A28,Look_Up2,0),MATCH(N$4,Component,0))),"-")</f>
        <v>0.6</v>
      </c>
      <c r="O28" s="868" t="s">
        <v>78</v>
      </c>
      <c r="P28" s="868">
        <f>IFERROR(INDEX(Raw_Data,MATCH($A28,Look_Up2,0),MATCH(P$4,Component,0))/1000,"-")</f>
        <v>725.6</v>
      </c>
      <c r="Q28" s="868" t="str">
        <f>IFERROR(INDEX(Raw_Data,MATCH($A28,Look_Up2,0),MATCH(Q$4,Component,0))/1000,"-")</f>
        <v>-</v>
      </c>
      <c r="R28" s="870" t="str">
        <f>IFERROR(INDEX(Raw_Data,MATCH($A28,Look_Up2,0),MATCH(R$4,Component,0)),"-")</f>
        <v>-</v>
      </c>
      <c r="S28" s="870" t="str">
        <f>IFERROR(INDEX(Raw_Data,MATCH($A28,Look_Up2,0),MATCH(S$4,Component,0)),"-")</f>
        <v>N/A</v>
      </c>
      <c r="T28" s="868">
        <f>IFERROR(INDEX(Raw_Data,MATCH($A28,Look_Up2,0),MATCH(T$4,Component,0))/1000,"-")</f>
        <v>544.20000000000005</v>
      </c>
      <c r="U28" s="870">
        <f>IFERROR(IF(INDEX(Raw_Data,MATCH($A28,Look_Up2,0),MATCH(U$4,Component,0))="-",S28,INDEX(Raw_Data,MATCH($A28,Look_Up2,0),MATCH(U$4,Component,0))),"-")</f>
        <v>1.2</v>
      </c>
      <c r="V28" s="868" t="s">
        <v>78</v>
      </c>
      <c r="W28" s="871">
        <f>IFERROR(INDEX(Raw_Data,MATCH($A28,Look_Up2,0),MATCH(W$4,Component,0))/1000,"-")</f>
        <v>1269.8</v>
      </c>
      <c r="X28" s="866">
        <f>IFERROR((INDEX(Raw_Data,MATCH($A28,Look_Up2,0),MATCH(X$4,Component,0))/1000),"-")</f>
        <v>0</v>
      </c>
      <c r="Y28" s="278">
        <f>IFERROR((INDEX(Raw_Data,MATCH($A28,Look_Up2,0),MATCH(Y$4,Component,0))/1000),"-")</f>
        <v>0</v>
      </c>
      <c r="Z28" s="278">
        <f>IFERROR(INDEX(Raw_Data,MATCH($A28,Look_Up2,0),MATCH(Z$4,Component,0))/1000,"-")</f>
        <v>453.5</v>
      </c>
      <c r="AA28" s="292">
        <f>IFERROR(INDEX(Raw_Data,MATCH($A28,Look_Up2,0),MATCH(AA$4,Component,0))/1000,"-")</f>
        <v>1269.8</v>
      </c>
      <c r="AC28" s="279">
        <f>IFERROR(P28/W28,0)</f>
        <v>0.57142857142857151</v>
      </c>
      <c r="AD28" s="293">
        <f>IFERROR(T28/W28,0)</f>
        <v>0.4285714285714286</v>
      </c>
      <c r="AE28" s="316" t="str">
        <f>B28&amp;"_"&amp;$AE$6&amp;"_"&amp;$C$2</f>
        <v>TSX:HBM_2023_Region</v>
      </c>
      <c r="AF28" s="316"/>
      <c r="AG28" s="316"/>
      <c r="AH28" s="316"/>
      <c r="AI28" s="316"/>
      <c r="AJ28" s="316"/>
      <c r="AK28" s="316"/>
      <c r="AL28" s="526" t="str" cm="1">
        <f t="array" ref="AL28">IFERROR(INDEX('Import 2023 Data'!$E$4:$I$113,_xlfn.XMATCH(Region!$AE28,'Import 2023 Data'!$C$4:$C$113),_xlfn.XMATCH(Region!AL$5,'Import 2023 Data'!$E$3:$I$3)),"-")</f>
        <v>-</v>
      </c>
      <c r="AM28" s="527" t="str" cm="1">
        <f t="array" ref="AM28">IFERROR(INDEX('Import 2023 Data'!$E$4:$I$113,_xlfn.XMATCH(Region!$AE28,'Import 2023 Data'!$C$4:$C$113),_xlfn.XMATCH(Region!AM$5,'Import 2023 Data'!$E$3:$I$3)),"-")</f>
        <v>-</v>
      </c>
    </row>
    <row r="29" spans="1:47" ht="20.25" hidden="1" customHeight="1">
      <c r="B29" s="33"/>
      <c r="C29" s="622" t="s">
        <v>5</v>
      </c>
      <c r="D29" s="623">
        <f>IF(D$25&gt;=MAX(D$8:D$13),"max",IF(D$25&lt;=MIN(D$8:D$13),"min",PERCENTRANK(D$8:D$13,D$25)))</f>
        <v>0.38500000000000001</v>
      </c>
      <c r="E29" s="623">
        <f>IF(E$25&gt;=MAX(E$8:E$13),"max",IF(E$25&lt;=MIN(E$8:E$13),"min",PERCENTRANK(E$8:E$13,E$25)))</f>
        <v>0.47799999999999998</v>
      </c>
      <c r="F29" s="1173"/>
      <c r="G29" s="1173"/>
      <c r="H29" s="624"/>
      <c r="I29" s="623">
        <f>IF(I$25&gt;=MAX(I$35:I$54),"max",IF(I$25&lt;=MIN(I$35:I$54),"min",PERCENTRANK(I$35:I$54,I$25)))</f>
        <v>0.47499999999999998</v>
      </c>
      <c r="J29" s="623">
        <f>IF(J$25&gt;=MAX(J$8:J$13),"max",IF(J$25&lt;=MIN(J$8:J$13),"min",PERCENTRANK(J$8:J$13,J$25)))</f>
        <v>0.73599999999999999</v>
      </c>
      <c r="K29" s="623">
        <f>IF(K$25&gt;=MAX(K$8:K$13),"max",IF(K$25&lt;=MIN(K$8:K$13),"min",PERCENTRANK(K$8:K$13,K$25)))</f>
        <v>0.85299999999999998</v>
      </c>
      <c r="L29" s="623" t="str">
        <f>IF(L$25&gt;=MAX(L$8:L$13),"max",IF(L$25&lt;=MIN(L$8:L$13),"min",PERCENTRANK(L$8:L$13,L$25)))</f>
        <v>max</v>
      </c>
      <c r="M29" s="623">
        <f>IF(M$25&gt;=MAX(M$35:M$54),"max",IF(M$25&lt;=MIN(M$35:M$54),"min",PERCENTRANK(M$35:M$54,M$25)))</f>
        <v>0.43099999999999999</v>
      </c>
      <c r="N29" s="623" t="str">
        <f>IF(N$25&gt;=MAX(N$8:N$13),"max",IF(N$25&lt;=MIN(N$8:N$13),"min",PERCENTRANK(N$8:N$13,N$25)))</f>
        <v>min</v>
      </c>
      <c r="O29" s="623" t="s">
        <v>78</v>
      </c>
      <c r="P29" s="623">
        <f>IF(P$25&gt;=MAX(P$35:P$54),"max",IF(P$25&lt;=MIN(P$35:P$54),"min",PERCENTRANK(P$35:P$54,P$25)))</f>
        <v>0.44900000000000001</v>
      </c>
      <c r="Q29" s="623">
        <f>IF(Q$25&gt;=MAX(Q$8:Q$13),"max",IF(Q$25&lt;=MIN(Q$8:Q$13),"min",PERCENTRANK(Q$8:Q$13,Q$25)))</f>
        <v>0.33800000000000002</v>
      </c>
      <c r="R29" s="623">
        <f>IF(R$25&gt;=MAX(R$8:R$13),"max",IF(R$25&lt;=MIN(R$8:R$13),"min",PERCENTRANK(R$8:R$13,R$25)))</f>
        <v>0.46500000000000002</v>
      </c>
      <c r="S29" s="623">
        <f>IF(S$25&gt;=MAX(S$8:S$13),"max",IF(S$25&lt;=MIN(S$8:S$13),"min",PERCENTRANK(S$8:S$13,S$25)))</f>
        <v>0.38400000000000001</v>
      </c>
      <c r="T29" s="623">
        <f>IF(T$25&gt;=MAX(T$35:T$54),"max",IF(T$25&lt;=MIN(T$35:T$54),"min",PERCENTRANK(T$35:T$54,T$25)))</f>
        <v>0.104</v>
      </c>
      <c r="U29" s="623">
        <f>IF(U$25&gt;=MAX(U$8:U$13),"max",IF(U$25&lt;=MIN(U$8:U$13),"min",PERCENTRANK(U$8:U$13,U$25)))</f>
        <v>5.7000000000000002E-2</v>
      </c>
      <c r="V29" s="623" t="s">
        <v>78</v>
      </c>
      <c r="W29" s="625">
        <f>IF(W$25&gt;=MAX(W$35:W$54),"max",IF(W$25&lt;=MIN(W$35:W$54),"min",PERCENTRANK(W$35:W$54,W$25)))</f>
        <v>0.16400000000000001</v>
      </c>
      <c r="X29" s="280" t="str">
        <f>IF(X$25&gt;=MAX(X$8:X$13),"max",IF(X$25&lt;=MIN(X$8:X$13),"min",PERCENTRANK(X$8:X$13,X$25)))</f>
        <v>min</v>
      </c>
      <c r="Y29" s="280">
        <f>IF(Y$25&gt;=MAX(Y$8:Y$13),"max",IF(Y$25&lt;=MIN(Y$8:Y$13),"min",PERCENTRANK(Y$8:Y$13,Y$25)))</f>
        <v>0.80200000000000005</v>
      </c>
      <c r="Z29" s="280">
        <f>IF(Z$25&gt;=MAX(Z$8:Z$13),"max",IF(Z$25&lt;=MIN(Z$8:Z$13),"min",PERCENTRANK(Z$8:Z$13,Z$25)))</f>
        <v>0.60899999999999999</v>
      </c>
      <c r="AA29" s="281">
        <f>IF(AA$25&gt;=MAX(AA$35:AA$54),"max",IF(AA$25&lt;=MIN(AA$35:AA$54),"min",PERCENTRANK(AA$35:AA$54,AA$25)))</f>
        <v>0.185</v>
      </c>
      <c r="AC29" s="282">
        <f>IF(AC$25&gt;=MAX(AC$8:AC16),"max",IF(AC$25&lt;=MIN(AC$8:AC16),"min",PERCENTRANK(AC$8:AC16,AC$25)))</f>
        <v>0.93200000000000005</v>
      </c>
      <c r="AD29" s="283">
        <f>IF(AD$25&gt;=MAX(AD$8:AD16),"max",IF(AD$25&lt;=MIN(AD$8:AD16),"min",PERCENTRANK(AD$8:AD16,AD$25)))</f>
        <v>6.7000000000000004E-2</v>
      </c>
      <c r="AE29" s="316"/>
      <c r="AF29" s="316"/>
      <c r="AG29" s="316"/>
      <c r="AH29" s="316"/>
      <c r="AI29" s="316"/>
      <c r="AJ29" s="316"/>
      <c r="AK29" s="316"/>
    </row>
    <row r="30" spans="1:47" ht="15" customHeight="1">
      <c r="B30" s="33"/>
      <c r="C30" s="286" t="s">
        <v>243</v>
      </c>
      <c r="D30" s="286"/>
      <c r="E30" s="259"/>
      <c r="F30" s="1174"/>
      <c r="G30" s="1174"/>
      <c r="H30" s="259"/>
      <c r="I30" s="275"/>
      <c r="J30" s="275"/>
      <c r="K30" s="275"/>
      <c r="L30" s="275"/>
      <c r="M30" s="275"/>
      <c r="N30" s="275"/>
      <c r="O30" s="275"/>
      <c r="P30" s="275"/>
      <c r="Q30" s="275"/>
      <c r="R30" s="275"/>
      <c r="S30" s="275"/>
      <c r="T30" s="275"/>
      <c r="U30" s="275"/>
      <c r="V30" s="275"/>
      <c r="W30" s="275"/>
      <c r="X30" s="275"/>
      <c r="Y30" s="275"/>
      <c r="Z30" s="275"/>
      <c r="AA30" s="275"/>
      <c r="AC30" s="259"/>
      <c r="AD30" s="259"/>
      <c r="AE30" s="316"/>
      <c r="AF30" s="316"/>
      <c r="AG30" s="316"/>
      <c r="AH30" s="316"/>
      <c r="AI30" s="316"/>
      <c r="AJ30" s="316"/>
      <c r="AK30" s="316"/>
    </row>
    <row r="31" spans="1:47">
      <c r="B31" s="1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C31" s="258"/>
      <c r="AD31" s="258"/>
    </row>
    <row r="32" spans="1:47">
      <c r="B32" s="15"/>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C32" s="27"/>
      <c r="AD32" s="27"/>
    </row>
    <row r="33" spans="1:37">
      <c r="B33" s="15"/>
      <c r="C33" s="305" t="s">
        <v>110</v>
      </c>
      <c r="D33" s="313"/>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C33" s="307"/>
      <c r="AD33" s="307"/>
      <c r="AE33" s="308"/>
      <c r="AF33" s="308"/>
      <c r="AG33" s="308"/>
      <c r="AH33" s="308"/>
      <c r="AI33" s="308"/>
      <c r="AJ33" s="308"/>
      <c r="AK33" s="308"/>
    </row>
    <row r="34" spans="1:37" ht="50">
      <c r="B34" s="15"/>
      <c r="C34" s="297" t="s">
        <v>111</v>
      </c>
      <c r="E34" s="14"/>
      <c r="F34" s="14"/>
      <c r="G34" s="1176" t="s">
        <v>119</v>
      </c>
      <c r="H34" s="314" t="s">
        <v>115</v>
      </c>
      <c r="I34" s="314" t="s">
        <v>116</v>
      </c>
      <c r="J34" s="314"/>
      <c r="K34" s="314"/>
      <c r="L34" s="314"/>
      <c r="M34" s="314" t="s">
        <v>16</v>
      </c>
      <c r="O34" s="314"/>
      <c r="P34" s="314" t="s">
        <v>117</v>
      </c>
      <c r="Q34" s="314"/>
      <c r="R34" s="314"/>
      <c r="S34" s="314"/>
      <c r="T34" s="314" t="s">
        <v>14</v>
      </c>
      <c r="V34" s="314"/>
      <c r="W34" s="314" t="s">
        <v>118</v>
      </c>
      <c r="Y34" s="314"/>
      <c r="Z34" s="314"/>
      <c r="AA34" s="314" t="s">
        <v>246</v>
      </c>
      <c r="AC34" s="27"/>
      <c r="AD34" s="27"/>
    </row>
    <row r="35" spans="1:37">
      <c r="A35" s="295" t="e">
        <f>#REF!</f>
        <v>#REF!</v>
      </c>
      <c r="B35" s="295" t="e">
        <f>#REF!</f>
        <v>#REF!</v>
      </c>
      <c r="C35" s="296" t="str">
        <f>_xll.ciqfunctions.udf.CIQ(B35,"IQ_COMPANY_NAME")</f>
        <v>#NA</v>
      </c>
      <c r="E35" s="14"/>
      <c r="F35" s="14"/>
      <c r="G35" s="294" t="s">
        <v>661</v>
      </c>
      <c r="H35" s="303" t="str">
        <f t="shared" ref="H35:H54" si="29">IFERROR(INDEX(Raw_Data,MATCH($A35,Look_Up2,0),MATCH(H$4,Component,0))/1000,"-")</f>
        <v>-</v>
      </c>
      <c r="I35" s="303" t="str">
        <f>IFERROR(IF(G35="y",IF(H35&lt;&gt;"-",H35,INDEX(Raw_Data,MATCH($A35,Look_Up2,0),MATCH(I$4,Component,0))/1000*(1+'Raw Data'!$G$13)),(INDEX(Raw_Data,MATCH($A35,Look_Up2,0),MATCH(I$4,Component,0))/1000)),"-")</f>
        <v>-</v>
      </c>
      <c r="J35" s="361"/>
      <c r="K35" s="361"/>
      <c r="L35" s="361"/>
      <c r="M35" s="303" t="str">
        <f>IFERROR(I35*#REF!,"-")</f>
        <v>-</v>
      </c>
      <c r="N35" s="362"/>
      <c r="O35" s="361"/>
      <c r="P35" s="303" t="str">
        <f>IFERROR(IF(SUM(M35,I35)=0,"-",SUM(M35,I35)),"-")</f>
        <v>-</v>
      </c>
      <c r="Q35" s="361"/>
      <c r="R35" s="361"/>
      <c r="S35" s="361"/>
      <c r="T35" s="303" t="str">
        <f>IFERROR(I35*#REF!,"-")</f>
        <v>-</v>
      </c>
      <c r="U35" s="362"/>
      <c r="V35" s="361"/>
      <c r="W35" s="303" t="str">
        <f>IFERROR(IF(SUM(T35,P35)=0,"-",SUM(T35,P35)),"-")</f>
        <v>-</v>
      </c>
      <c r="X35" s="362"/>
      <c r="Y35" s="361"/>
      <c r="Z35" s="361"/>
      <c r="AA35" s="303" t="str">
        <f>IFERROR(IF(SUM(W35,#REF!,#REF!)=0,"-",SUM(W35,#REF!,#REF!)),"-")</f>
        <v>-</v>
      </c>
      <c r="AB35" s="362"/>
    </row>
    <row r="36" spans="1:37" ht="26">
      <c r="A36" s="295" t="str">
        <f>A8</f>
        <v>TSX:LUN_2024_Region</v>
      </c>
      <c r="B36" s="295" t="str">
        <f>B8</f>
        <v>TSX:LUN</v>
      </c>
      <c r="C36" s="296" t="str">
        <f>_xll.ciqfunctions.udf.CIQ(B36,"IQ_COMPANY_NAME")</f>
        <v>Lundin Mining Corporation</v>
      </c>
      <c r="E36" s="14"/>
      <c r="F36" s="14"/>
      <c r="G36" s="294" t="s">
        <v>661</v>
      </c>
      <c r="H36" s="262" t="str">
        <f t="shared" si="29"/>
        <v>-</v>
      </c>
      <c r="I36" s="262">
        <f>IFERROR(IF(G36="y",IF(H36&lt;&gt;"-",H36,INDEX(Raw_Data,MATCH($A36,Look_Up2,0),MATCH(I$4,Component,0))/1000*(1+'Raw Data'!$G$13)),(INDEX(Raw_Data,MATCH($A36,Look_Up2,0),MATCH(I$4,Component,0))/1000)),"-")</f>
        <v>772.5</v>
      </c>
      <c r="J36" s="361"/>
      <c r="K36" s="361"/>
      <c r="L36" s="361"/>
      <c r="M36" s="262">
        <f>IFERROR(I36*N8,"-")</f>
        <v>579.375</v>
      </c>
      <c r="N36" s="362"/>
      <c r="O36" s="361"/>
      <c r="P36" s="262">
        <f t="shared" ref="P36:P54" si="30">IFERROR(IF(SUM(M36,I36)=0,"-",SUM(M36,I36)),"-")</f>
        <v>1351.875</v>
      </c>
      <c r="Q36" s="361"/>
      <c r="R36" s="361"/>
      <c r="S36" s="361"/>
      <c r="T36" s="262">
        <f>IFERROR(I36*U8,"-")</f>
        <v>1137.7593251258884</v>
      </c>
      <c r="U36" s="362"/>
      <c r="V36" s="361"/>
      <c r="W36" s="262">
        <f t="shared" ref="W36:W54" si="31">IFERROR(IF(SUM(T36,P36)=0,"-",SUM(T36,P36)),"-")</f>
        <v>2489.6343251258886</v>
      </c>
      <c r="X36" s="362"/>
      <c r="Y36" s="361"/>
      <c r="Z36" s="361"/>
      <c r="AA36" s="262">
        <f>IFERROR(IF(SUM(W36,X8,Y8)=0,"-",SUM(W36,X8,Y8)),"-")</f>
        <v>2629.5177207658885</v>
      </c>
      <c r="AB36" s="362"/>
    </row>
    <row r="37" spans="1:37">
      <c r="A37" s="295" t="str">
        <f>A9</f>
        <v>TSX:AGI_2024_Region</v>
      </c>
      <c r="B37" s="295" t="str">
        <f>B9</f>
        <v>TSX:AGI</v>
      </c>
      <c r="C37" s="296" t="str">
        <f>_xll.ciqfunctions.udf.CIQ(B37,"IQ_COMPANY_NAME")</f>
        <v>Alamos Gold Inc.</v>
      </c>
      <c r="E37" s="14"/>
      <c r="F37" s="14"/>
      <c r="G37" s="294" t="s">
        <v>661</v>
      </c>
      <c r="H37" s="262" t="str">
        <f t="shared" si="29"/>
        <v>-</v>
      </c>
      <c r="I37" s="262">
        <f>IFERROR(IF(G37="y",IF(H37&lt;&gt;"-",H37,INDEX(Raw_Data,MATCH($A37,Look_Up2,0),MATCH(I$4,Component,0))/1000*(1+'Raw Data'!$G$13)),(INDEX(Raw_Data,MATCH($A37,Look_Up2,0),MATCH(I$4,Component,0))/1000)),"-")</f>
        <v>484.10405245260006</v>
      </c>
      <c r="J37" s="361"/>
      <c r="K37" s="361"/>
      <c r="L37" s="361"/>
      <c r="M37" s="262">
        <f>IFERROR(I37*N9,"-")</f>
        <v>290.46243147156002</v>
      </c>
      <c r="N37" s="362"/>
      <c r="O37" s="361"/>
      <c r="P37" s="262">
        <f t="shared" si="30"/>
        <v>774.56648392416014</v>
      </c>
      <c r="Q37" s="361"/>
      <c r="R37" s="361"/>
      <c r="S37" s="361"/>
      <c r="T37" s="262">
        <f>IFERROR(I37*U9,"-")</f>
        <v>528.06937470360083</v>
      </c>
      <c r="U37" s="362"/>
      <c r="V37" s="361"/>
      <c r="W37" s="262">
        <f t="shared" si="31"/>
        <v>1302.6358586277611</v>
      </c>
      <c r="X37" s="362"/>
      <c r="Y37" s="361"/>
      <c r="Z37" s="361"/>
      <c r="AA37" s="262">
        <f>IFERROR(IF(SUM(W37,X9,Y9)=0,"-",SUM(W37,X9,Y9)),"-")</f>
        <v>1340.2483952977611</v>
      </c>
      <c r="AB37" s="362"/>
    </row>
    <row r="38" spans="1:37">
      <c r="A38" s="295" t="e">
        <f>#REF!</f>
        <v>#REF!</v>
      </c>
      <c r="B38" s="295" t="e">
        <f>#REF!</f>
        <v>#REF!</v>
      </c>
      <c r="C38" s="296" t="str">
        <f>_xll.ciqfunctions.udf.CIQ(B38,"IQ_COMPANY_NAME")</f>
        <v>#NA</v>
      </c>
      <c r="G38" s="294" t="s">
        <v>661</v>
      </c>
      <c r="H38" s="262" t="str">
        <f t="shared" si="29"/>
        <v>-</v>
      </c>
      <c r="I38" s="262" t="str">
        <f>IFERROR(IF(G38="y",IF(H38&lt;&gt;"-",H38,INDEX(Raw_Data,MATCH($A38,Look_Up2,0),MATCH(I$4,Component,0))/1000*(1+'Raw Data'!$G$13)),(INDEX(Raw_Data,MATCH($A38,Look_Up2,0),MATCH(I$4,Component,0))/1000)),"-")</f>
        <v>-</v>
      </c>
      <c r="J38" s="362"/>
      <c r="K38" s="362"/>
      <c r="L38" s="362"/>
      <c r="M38" s="262" t="str">
        <f>IFERROR(I38*#REF!,"-")</f>
        <v>-</v>
      </c>
      <c r="N38" s="362"/>
      <c r="O38" s="362"/>
      <c r="P38" s="262" t="str">
        <f t="shared" si="30"/>
        <v>-</v>
      </c>
      <c r="Q38" s="362"/>
      <c r="R38" s="362"/>
      <c r="S38" s="362"/>
      <c r="T38" s="262" t="str">
        <f>IFERROR(I38*#REF!,"-")</f>
        <v>-</v>
      </c>
      <c r="U38" s="362"/>
      <c r="V38" s="362"/>
      <c r="W38" s="262" t="str">
        <f t="shared" si="31"/>
        <v>-</v>
      </c>
      <c r="X38" s="362"/>
      <c r="Y38" s="362"/>
      <c r="Z38" s="362"/>
      <c r="AA38" s="262" t="str">
        <f>IFERROR(IF(SUM(W38,#REF!,#REF!)=0,"-",SUM(W38,#REF!,#REF!)),"-")</f>
        <v>-</v>
      </c>
      <c r="AB38" s="362"/>
    </row>
    <row r="39" spans="1:37" ht="26">
      <c r="A39" s="295" t="str">
        <f>A10</f>
        <v>TSX:CS_2024_Region</v>
      </c>
      <c r="B39" s="295" t="str">
        <f>B10</f>
        <v>TSX:CS</v>
      </c>
      <c r="C39" s="296" t="str">
        <f>_xll.ciqfunctions.udf.CIQ(B39,"IQ_COMPANY_NAME")</f>
        <v>Capstone Copper Corp.</v>
      </c>
      <c r="G39" s="294" t="s">
        <v>661</v>
      </c>
      <c r="H39" s="262" t="str">
        <f t="shared" si="29"/>
        <v>-</v>
      </c>
      <c r="I39" s="262">
        <f>IFERROR(IF(G39="y",IF(H39&lt;&gt;"-",H39,INDEX(Raw_Data,MATCH($A39,Look_Up2,0),MATCH(I$4,Component,0))/1000*(1+'Raw Data'!$G$13)),(INDEX(Raw_Data,MATCH($A39,Look_Up2,0),MATCH(I$4,Component,0))/1000)),"-")</f>
        <v>682.89</v>
      </c>
      <c r="J39" s="362"/>
      <c r="K39" s="362"/>
      <c r="L39" s="362"/>
      <c r="M39" s="262">
        <f>IFERROR(I39*N10,"-")</f>
        <v>512.16750000000002</v>
      </c>
      <c r="N39" s="362"/>
      <c r="O39" s="362"/>
      <c r="P39" s="262">
        <f t="shared" si="30"/>
        <v>1195.0574999999999</v>
      </c>
      <c r="Q39" s="362"/>
      <c r="R39" s="362"/>
      <c r="S39" s="362"/>
      <c r="T39" s="262">
        <f>IFERROR(I39*U10,"-")</f>
        <v>1024.335</v>
      </c>
      <c r="U39" s="362"/>
      <c r="V39" s="362"/>
      <c r="W39" s="262">
        <f t="shared" si="31"/>
        <v>2219.3924999999999</v>
      </c>
      <c r="X39" s="362"/>
      <c r="Y39" s="362"/>
      <c r="Z39" s="362"/>
      <c r="AA39" s="262">
        <f>IFERROR(IF(SUM(W39,X10,Y10)=0,"-",SUM(W39,X10,Y10)),"-")</f>
        <v>2237.2655</v>
      </c>
      <c r="AB39" s="362"/>
    </row>
    <row r="40" spans="1:37">
      <c r="A40" s="295" t="e">
        <f>#REF!</f>
        <v>#REF!</v>
      </c>
      <c r="B40" s="295" t="e">
        <f>#REF!</f>
        <v>#REF!</v>
      </c>
      <c r="C40" s="296" t="str">
        <f>_xll.ciqfunctions.udf.CIQ(B40,"IQ_COMPANY_NAME")</f>
        <v>#NA</v>
      </c>
      <c r="G40" s="294" t="s">
        <v>661</v>
      </c>
      <c r="H40" s="262" t="str">
        <f t="shared" si="29"/>
        <v>-</v>
      </c>
      <c r="I40" s="262" t="str">
        <f>IFERROR(IF(G40="y",IF(H40&lt;&gt;"-",H40,INDEX(Raw_Data,MATCH($A40,Look_Up2,0),MATCH(I$4,Component,0))/1000*(1+'Raw Data'!$G$13)),(INDEX(Raw_Data,MATCH($A40,Look_Up2,0),MATCH(I$4,Component,0))/1000)),"-")</f>
        <v>-</v>
      </c>
      <c r="J40" s="362"/>
      <c r="K40" s="362"/>
      <c r="L40" s="362"/>
      <c r="M40" s="262" t="str">
        <f>IFERROR(I40*#REF!,"-")</f>
        <v>-</v>
      </c>
      <c r="N40" s="362"/>
      <c r="O40" s="362"/>
      <c r="P40" s="262" t="str">
        <f t="shared" si="30"/>
        <v>-</v>
      </c>
      <c r="Q40" s="362"/>
      <c r="R40" s="362"/>
      <c r="S40" s="362"/>
      <c r="T40" s="262" t="str">
        <f>IFERROR(I40*#REF!,"-")</f>
        <v>-</v>
      </c>
      <c r="U40" s="362"/>
      <c r="V40" s="362"/>
      <c r="W40" s="262" t="str">
        <f t="shared" si="31"/>
        <v>-</v>
      </c>
      <c r="X40" s="362"/>
      <c r="Y40" s="362"/>
      <c r="Z40" s="362"/>
      <c r="AA40" s="262" t="str">
        <f>IFERROR(IF(SUM(W40,#REF!,#REF!)=0,"-",SUM(W40,#REF!,#REF!)),"-")</f>
        <v>-</v>
      </c>
      <c r="AB40" s="362"/>
    </row>
    <row r="41" spans="1:37">
      <c r="A41" s="295" t="e">
        <f>#REF!</f>
        <v>#REF!</v>
      </c>
      <c r="B41" s="295" t="e">
        <f>#REF!</f>
        <v>#REF!</v>
      </c>
      <c r="C41" s="296" t="str">
        <f>_xll.ciqfunctions.udf.CIQ(B41,"IQ_COMPANY_NAME")</f>
        <v>#NA</v>
      </c>
      <c r="G41" s="294" t="s">
        <v>661</v>
      </c>
      <c r="H41" s="262" t="str">
        <f t="shared" si="29"/>
        <v>-</v>
      </c>
      <c r="I41" s="262" t="str">
        <f>IFERROR(IF(G41="y",IF(H41&lt;&gt;"-",H41,INDEX(Raw_Data,MATCH($A41,Look_Up2,0),MATCH(I$4,Component,0))/1000*(1+'Raw Data'!$G$13)),(INDEX(Raw_Data,MATCH($A41,Look_Up2,0),MATCH(I$4,Component,0))/1000)),"-")</f>
        <v>-</v>
      </c>
      <c r="J41" s="362"/>
      <c r="K41" s="362"/>
      <c r="L41" s="362"/>
      <c r="M41" s="262" t="str">
        <f>IFERROR(I41*#REF!,"-")</f>
        <v>-</v>
      </c>
      <c r="N41" s="362"/>
      <c r="O41" s="362"/>
      <c r="P41" s="262" t="str">
        <f t="shared" si="30"/>
        <v>-</v>
      </c>
      <c r="Q41" s="362"/>
      <c r="R41" s="362"/>
      <c r="S41" s="362"/>
      <c r="T41" s="262" t="str">
        <f>IFERROR(I41*#REF!,"-")</f>
        <v>-</v>
      </c>
      <c r="U41" s="362"/>
      <c r="V41" s="362"/>
      <c r="W41" s="262" t="str">
        <f t="shared" si="31"/>
        <v>-</v>
      </c>
      <c r="X41" s="362"/>
      <c r="Y41" s="362"/>
      <c r="Z41" s="362"/>
      <c r="AA41" s="262" t="str">
        <f>IFERROR(IF(SUM(W41,#REF!,#REF!)=0,"-",SUM(W41,#REF!,#REF!)),"-")</f>
        <v>-</v>
      </c>
      <c r="AB41" s="362"/>
    </row>
    <row r="42" spans="1:37" s="17" customFormat="1">
      <c r="A42" s="295" t="e">
        <f>#REF!</f>
        <v>#REF!</v>
      </c>
      <c r="B42" s="295" t="e">
        <f>#REF!</f>
        <v>#REF!</v>
      </c>
      <c r="C42" s="296" t="str">
        <f>_xll.ciqfunctions.udf.CIQ(B42,"IQ_COMPANY_NAME")</f>
        <v>#NA</v>
      </c>
      <c r="E42" s="22"/>
      <c r="F42" s="1175"/>
      <c r="G42" s="294" t="s">
        <v>661</v>
      </c>
      <c r="H42" s="262" t="str">
        <f t="shared" si="29"/>
        <v>-</v>
      </c>
      <c r="I42" s="262" t="str">
        <f>IFERROR(IF(G42="y",IF(H42&lt;&gt;"-",H42,INDEX(Raw_Data,MATCH($A42,Look_Up2,0),MATCH(I$4,Component,0))/1000*(1+'Raw Data'!$G$13)),(INDEX(Raw_Data,MATCH($A42,Look_Up2,0),MATCH(I$4,Component,0))/1000)),"-")</f>
        <v>-</v>
      </c>
      <c r="J42" s="22"/>
      <c r="K42" s="363"/>
      <c r="L42" s="363"/>
      <c r="M42" s="262" t="str">
        <f>IFERROR(I42*#REF!,"-")</f>
        <v>-</v>
      </c>
      <c r="N42" s="364"/>
      <c r="O42" s="22"/>
      <c r="P42" s="262" t="str">
        <f t="shared" si="30"/>
        <v>-</v>
      </c>
      <c r="Q42" s="21"/>
      <c r="R42" s="365"/>
      <c r="S42" s="365"/>
      <c r="T42" s="262" t="str">
        <f>IFERROR(I42*#REF!,"-")</f>
        <v>-</v>
      </c>
      <c r="U42" s="364"/>
      <c r="V42" s="22"/>
      <c r="W42" s="262" t="str">
        <f t="shared" si="31"/>
        <v>-</v>
      </c>
      <c r="X42" s="364"/>
      <c r="Y42" s="22"/>
      <c r="Z42" s="22"/>
      <c r="AA42" s="262" t="str">
        <f>IFERROR(IF(SUM(W42,#REF!,#REF!)=0,"-",SUM(W42,#REF!,#REF!)),"-")</f>
        <v>-</v>
      </c>
      <c r="AB42" s="364"/>
      <c r="AC42" s="19"/>
      <c r="AD42" s="19"/>
    </row>
    <row r="43" spans="1:37">
      <c r="A43" s="295" t="e">
        <f>#REF!</f>
        <v>#REF!</v>
      </c>
      <c r="B43" s="295" t="e">
        <f>#REF!</f>
        <v>#REF!</v>
      </c>
      <c r="C43" s="296" t="str">
        <f>_xll.ciqfunctions.udf.CIQ(B43,"IQ_COMPANY_NAME")</f>
        <v>#NA</v>
      </c>
      <c r="G43" s="294" t="s">
        <v>661</v>
      </c>
      <c r="H43" s="262" t="str">
        <f t="shared" si="29"/>
        <v>-</v>
      </c>
      <c r="I43" s="262" t="str">
        <f>IFERROR(IF(G43="y",IF(H43&lt;&gt;"-",H43,INDEX(Raw_Data,MATCH($A43,Look_Up2,0),MATCH(I$4,Component,0))/1000*(1+'Raw Data'!$G$13)),(INDEX(Raw_Data,MATCH($A43,Look_Up2,0),MATCH(I$4,Component,0))/1000)),"-")</f>
        <v>-</v>
      </c>
      <c r="J43" s="366"/>
      <c r="K43" s="366"/>
      <c r="L43" s="366"/>
      <c r="M43" s="262" t="str">
        <f>IFERROR(I43*#REF!,"-")</f>
        <v>-</v>
      </c>
      <c r="N43" s="362"/>
      <c r="O43" s="366"/>
      <c r="P43" s="262" t="str">
        <f t="shared" si="30"/>
        <v>-</v>
      </c>
      <c r="Q43" s="366"/>
      <c r="R43" s="366"/>
      <c r="S43" s="366"/>
      <c r="T43" s="262" t="str">
        <f>IFERROR(I43*#REF!,"-")</f>
        <v>-</v>
      </c>
      <c r="U43" s="362"/>
      <c r="V43" s="366"/>
      <c r="W43" s="262" t="str">
        <f t="shared" si="31"/>
        <v>-</v>
      </c>
      <c r="X43" s="362"/>
      <c r="Y43" s="366"/>
      <c r="Z43" s="366"/>
      <c r="AA43" s="262" t="str">
        <f>IFERROR(IF(SUM(W43,#REF!,#REF!)=0,"-",SUM(W43,#REF!,#REF!)),"-")</f>
        <v>-</v>
      </c>
      <c r="AB43" s="362"/>
    </row>
    <row r="44" spans="1:37" ht="26">
      <c r="A44" s="295" t="str">
        <f>A11</f>
        <v>TSX:ELD_2024_Region</v>
      </c>
      <c r="B44" s="295" t="str">
        <f>B11</f>
        <v>TSX:ELD</v>
      </c>
      <c r="C44" s="296" t="str">
        <f>_xll.ciqfunctions.udf.CIQ(B44,"IQ_COMPANY_NAME")</f>
        <v>Eldorado Gold Corporation</v>
      </c>
      <c r="G44" s="294" t="s">
        <v>661</v>
      </c>
      <c r="H44" s="262" t="str">
        <f t="shared" si="29"/>
        <v>-</v>
      </c>
      <c r="I44" s="262">
        <f>IFERROR(IF(G44="y",IF(H44&lt;&gt;"-",H44,INDEX(Raw_Data,MATCH($A44,Look_Up2,0),MATCH(I$4,Component,0))/1000*(1+'Raw Data'!$G$13)),(INDEX(Raw_Data,MATCH($A44,Look_Up2,0),MATCH(I$4,Component,0))/1000)),"-")</f>
        <v>799.68685000000005</v>
      </c>
      <c r="J44" s="362"/>
      <c r="K44" s="362"/>
      <c r="L44" s="362"/>
      <c r="M44" s="262">
        <f>IFERROR(I44*N11,"-")</f>
        <v>639.74948000000006</v>
      </c>
      <c r="N44" s="362"/>
      <c r="O44" s="362"/>
      <c r="P44" s="262">
        <f t="shared" si="30"/>
        <v>1439.43633</v>
      </c>
      <c r="Q44" s="362"/>
      <c r="R44" s="362"/>
      <c r="S44" s="362"/>
      <c r="T44" s="262">
        <f>IFERROR(I44*U11,"-")</f>
        <v>1199.5302750000001</v>
      </c>
      <c r="U44" s="362"/>
      <c r="V44" s="362"/>
      <c r="W44" s="262">
        <f t="shared" si="31"/>
        <v>2638.9666050000001</v>
      </c>
      <c r="X44" s="362"/>
      <c r="Y44" s="362"/>
      <c r="Z44" s="362"/>
      <c r="AA44" s="262">
        <f>IFERROR(IF(SUM(W44,X11,Y11)=0,"-",SUM(W44,X11,Y11)),"-")</f>
        <v>2730.3026049999999</v>
      </c>
      <c r="AB44" s="362"/>
    </row>
    <row r="45" spans="1:37">
      <c r="A45" s="295" t="e">
        <f>#REF!</f>
        <v>#REF!</v>
      </c>
      <c r="B45" s="295" t="e">
        <f>#REF!</f>
        <v>#REF!</v>
      </c>
      <c r="C45" s="296" t="str">
        <f>_xll.ciqfunctions.udf.CIQ(B45,"IQ_COMPANY_NAME")</f>
        <v>#NA</v>
      </c>
      <c r="G45" s="294" t="s">
        <v>661</v>
      </c>
      <c r="H45" s="262" t="str">
        <f t="shared" si="29"/>
        <v>-</v>
      </c>
      <c r="I45" s="262" t="str">
        <f>IFERROR(IF(G45="y",IF(H45&lt;&gt;"-",H45,INDEX(Raw_Data,MATCH($A45,Look_Up2,0),MATCH(I$4,Component,0))/1000*(1+'Raw Data'!$G$13)),(INDEX(Raw_Data,MATCH($A45,Look_Up2,0),MATCH(I$4,Component,0))/1000)),"-")</f>
        <v>-</v>
      </c>
      <c r="J45" s="362"/>
      <c r="K45" s="362"/>
      <c r="L45" s="362"/>
      <c r="M45" s="262" t="str">
        <f>IFERROR(I45*#REF!,"-")</f>
        <v>-</v>
      </c>
      <c r="N45" s="362"/>
      <c r="O45" s="362"/>
      <c r="P45" s="262" t="str">
        <f t="shared" si="30"/>
        <v>-</v>
      </c>
      <c r="Q45" s="362"/>
      <c r="R45" s="362"/>
      <c r="S45" s="362"/>
      <c r="T45" s="262" t="str">
        <f>IFERROR(I45*#REF!,"-")</f>
        <v>-</v>
      </c>
      <c r="U45" s="362"/>
      <c r="V45" s="362"/>
      <c r="W45" s="262" t="str">
        <f t="shared" si="31"/>
        <v>-</v>
      </c>
      <c r="X45" s="362"/>
      <c r="Y45" s="362"/>
      <c r="Z45" s="362"/>
      <c r="AA45" s="262" t="str">
        <f>IFERROR(IF(SUM(W45,#REF!,#REF!)=0,"-",SUM(W45,#REF!,#REF!)),"-")</f>
        <v>-</v>
      </c>
      <c r="AB45" s="362"/>
    </row>
    <row r="46" spans="1:37" ht="26">
      <c r="A46" s="295" t="str">
        <f>A12</f>
        <v>TSX:OGC
_2024_Region</v>
      </c>
      <c r="B46" s="295" t="str">
        <f>B12</f>
        <v xml:space="preserve">TSX:OGC
</v>
      </c>
      <c r="C46" s="296" t="str">
        <f>_xll.ciqfunctions.udf.CIQ(B46,"IQ_COMPANY_NAME")</f>
        <v>OceanaGold Corporation</v>
      </c>
      <c r="G46" s="294" t="s">
        <v>661</v>
      </c>
      <c r="H46" s="262" t="str">
        <f t="shared" si="29"/>
        <v>-</v>
      </c>
      <c r="I46" s="262">
        <f>IFERROR(IF(G46="y",IF(H46&lt;&gt;"-",H46,INDEX(Raw_Data,MATCH($A46,Look_Up2,0),MATCH(I$4,Component,0))/1000*(1+'Raw Data'!$G$13)),(INDEX(Raw_Data,MATCH($A46,Look_Up2,0),MATCH(I$4,Component,0))/1000)),"-")</f>
        <v>560.9705620492</v>
      </c>
      <c r="J46" s="362"/>
      <c r="K46" s="362"/>
      <c r="L46" s="362"/>
      <c r="M46" s="262">
        <f>IFERROR(I46*N12,"-")</f>
        <v>336.58233722951996</v>
      </c>
      <c r="N46" s="362"/>
      <c r="O46" s="362"/>
      <c r="P46" s="262">
        <f t="shared" si="30"/>
        <v>897.55289927871991</v>
      </c>
      <c r="Q46" s="362"/>
      <c r="R46" s="362"/>
      <c r="S46" s="362"/>
      <c r="T46" s="262">
        <f>IFERROR(I46*U12,"-")</f>
        <v>1029.2654065068293</v>
      </c>
      <c r="U46" s="362"/>
      <c r="V46" s="362"/>
      <c r="W46" s="262">
        <f t="shared" si="31"/>
        <v>1926.8183057855492</v>
      </c>
      <c r="X46" s="362"/>
      <c r="Y46" s="362"/>
      <c r="Z46" s="362"/>
      <c r="AA46" s="262">
        <f>IFERROR(IF(SUM(W46,X12,Y12)=0,"-",SUM(W46,X12,Y12)),"-")</f>
        <v>1952.7145187855492</v>
      </c>
      <c r="AB46" s="362"/>
    </row>
    <row r="47" spans="1:37" ht="26">
      <c r="A47" s="295" t="str">
        <f>A13</f>
        <v>TSX:OGC
_2024_Region2</v>
      </c>
      <c r="B47" s="295" t="str">
        <f>B13</f>
        <v xml:space="preserve">TSX:OGC
</v>
      </c>
      <c r="C47" s="296" t="str">
        <f>_xll.ciqfunctions.udf.CIQ(B47,"IQ_COMPANY_NAME")</f>
        <v>OceanaGold Corporation</v>
      </c>
      <c r="G47" s="294" t="s">
        <v>661</v>
      </c>
      <c r="H47" s="262" t="str">
        <f t="shared" si="29"/>
        <v>-</v>
      </c>
      <c r="I47" s="262">
        <f>IFERROR(IF(G47="y",IF(H47&lt;&gt;"-",H47,INDEX(Raw_Data,MATCH($A47,Look_Up2,0),MATCH(I$4,Component,0))/1000*(1+'Raw Data'!$G$13)),(INDEX(Raw_Data,MATCH($A47,Look_Up2,0),MATCH(I$4,Component,0))/1000)),"-")</f>
        <v>546.10983524620008</v>
      </c>
      <c r="J47" s="362"/>
      <c r="K47" s="362"/>
      <c r="L47" s="362"/>
      <c r="M47" s="262">
        <f>IFERROR(I47*N13,"-")</f>
        <v>327.66590114772004</v>
      </c>
      <c r="N47" s="362"/>
      <c r="O47" s="362"/>
      <c r="P47" s="262">
        <f t="shared" si="30"/>
        <v>873.77573639392017</v>
      </c>
      <c r="Q47" s="362"/>
      <c r="R47" s="362"/>
      <c r="S47" s="362"/>
      <c r="T47" s="262">
        <f>IFERROR(I47*U13,"-")</f>
        <v>911.0059272491427</v>
      </c>
      <c r="U47" s="362"/>
      <c r="V47" s="362"/>
      <c r="W47" s="262">
        <f t="shared" si="31"/>
        <v>1784.781663643063</v>
      </c>
      <c r="X47" s="362"/>
      <c r="Y47" s="362"/>
      <c r="Z47" s="362"/>
      <c r="AA47" s="262">
        <f>IFERROR(IF(SUM(W47,X13,Y13)=0,"-",SUM(W47,X13,Y13)),"-")</f>
        <v>1856.3785268230631</v>
      </c>
      <c r="AB47" s="362"/>
    </row>
    <row r="48" spans="1:37">
      <c r="A48" s="295" t="e">
        <f>#REF!</f>
        <v>#REF!</v>
      </c>
      <c r="B48" s="295" t="e">
        <f>#REF!</f>
        <v>#REF!</v>
      </c>
      <c r="C48" s="296" t="str">
        <f>_xll.ciqfunctions.udf.CIQ(B48,"IQ_COMPANY_NAME")</f>
        <v>#NA</v>
      </c>
      <c r="G48" s="294" t="s">
        <v>661</v>
      </c>
      <c r="H48" s="262" t="str">
        <f t="shared" si="29"/>
        <v>-</v>
      </c>
      <c r="I48" s="262" t="str">
        <f>IFERROR(IF(G48="y",IF(H48&lt;&gt;"-",H48,INDEX(Raw_Data,MATCH($A48,Look_Up2,0),MATCH(I$4,Component,0))/1000*(1+'Raw Data'!$G$13)),(INDEX(Raw_Data,MATCH($A48,Look_Up2,0),MATCH(I$4,Component,0))/1000)),"-")</f>
        <v>-</v>
      </c>
      <c r="J48" s="362"/>
      <c r="K48" s="362"/>
      <c r="L48" s="362"/>
      <c r="M48" s="262" t="str">
        <f>IFERROR(I48*#REF!,"-")</f>
        <v>-</v>
      </c>
      <c r="N48" s="362"/>
      <c r="O48" s="362"/>
      <c r="P48" s="262" t="str">
        <f t="shared" si="30"/>
        <v>-</v>
      </c>
      <c r="Q48" s="362"/>
      <c r="R48" s="362"/>
      <c r="S48" s="362"/>
      <c r="T48" s="262" t="str">
        <f>IFERROR(I48*#REF!,"-")</f>
        <v>-</v>
      </c>
      <c r="U48" s="362"/>
      <c r="V48" s="362"/>
      <c r="W48" s="262" t="str">
        <f t="shared" si="31"/>
        <v>-</v>
      </c>
      <c r="X48" s="362"/>
      <c r="Y48" s="362"/>
      <c r="Z48" s="362"/>
      <c r="AA48" s="262" t="str">
        <f>IFERROR(IF(SUM(W48,#REF!,#REF!)=0,"-",SUM(W48,#REF!,#REF!)),"-")</f>
        <v>-</v>
      </c>
      <c r="AB48" s="362"/>
    </row>
    <row r="49" spans="1:28">
      <c r="A49" s="295" t="e">
        <f>#REF!</f>
        <v>#REF!</v>
      </c>
      <c r="B49" s="295" t="e">
        <f>#REF!</f>
        <v>#REF!</v>
      </c>
      <c r="C49" s="296" t="str">
        <f>_xll.ciqfunctions.udf.CIQ(B49,"IQ_COMPANY_NAME")</f>
        <v>#NA</v>
      </c>
      <c r="G49" s="294" t="s">
        <v>661</v>
      </c>
      <c r="H49" s="262" t="str">
        <f t="shared" si="29"/>
        <v>-</v>
      </c>
      <c r="I49" s="262" t="str">
        <f>IFERROR(IF(G49="y",IF(H49&lt;&gt;"-",H49,INDEX(Raw_Data,MATCH($A49,Look_Up2,0),MATCH(I$4,Component,0))/1000*(1+'Raw Data'!$G$13)),(INDEX(Raw_Data,MATCH($A49,Look_Up2,0),MATCH(I$4,Component,0))/1000)),"-")</f>
        <v>-</v>
      </c>
      <c r="J49" s="362"/>
      <c r="K49" s="362"/>
      <c r="L49" s="362"/>
      <c r="M49" s="262" t="str">
        <f>IFERROR(I49*#REF!,"-")</f>
        <v>-</v>
      </c>
      <c r="N49" s="362"/>
      <c r="O49" s="362"/>
      <c r="P49" s="262" t="str">
        <f t="shared" si="30"/>
        <v>-</v>
      </c>
      <c r="Q49" s="362"/>
      <c r="R49" s="362"/>
      <c r="S49" s="362"/>
      <c r="T49" s="262" t="str">
        <f>IFERROR(I49*#REF!,"-")</f>
        <v>-</v>
      </c>
      <c r="U49" s="362"/>
      <c r="V49" s="362"/>
      <c r="W49" s="262" t="str">
        <f t="shared" si="31"/>
        <v>-</v>
      </c>
      <c r="X49" s="362"/>
      <c r="Y49" s="362"/>
      <c r="Z49" s="362"/>
      <c r="AA49" s="262" t="str">
        <f>IFERROR(IF(SUM(W49,#REF!,#REF!)=0,"-",SUM(W49,#REF!,#REF!)),"-")</f>
        <v>-</v>
      </c>
      <c r="AB49" s="362"/>
    </row>
    <row r="50" spans="1:28">
      <c r="A50" s="295" t="e">
        <f>#REF!</f>
        <v>#REF!</v>
      </c>
      <c r="B50" s="295" t="e">
        <f>#REF!</f>
        <v>#REF!</v>
      </c>
      <c r="C50" s="296" t="str">
        <f>_xll.ciqfunctions.udf.CIQ(B50,"IQ_COMPANY_NAME")</f>
        <v>#NA</v>
      </c>
      <c r="G50" s="294" t="s">
        <v>661</v>
      </c>
      <c r="H50" s="262" t="str">
        <f t="shared" si="29"/>
        <v>-</v>
      </c>
      <c r="I50" s="262" t="str">
        <f>IFERROR(IF(G50="y",IF(H50&lt;&gt;"-",H50,INDEX(Raw_Data,MATCH($A50,Look_Up2,0),MATCH(I$4,Component,0))/1000*(1+'Raw Data'!$G$13)),(INDEX(Raw_Data,MATCH($A50,Look_Up2,0),MATCH(I$4,Component,0))/1000)),"-")</f>
        <v>-</v>
      </c>
      <c r="J50" s="362"/>
      <c r="K50" s="362"/>
      <c r="L50" s="362"/>
      <c r="M50" s="262" t="str">
        <f>IFERROR(I50*#REF!,"-")</f>
        <v>-</v>
      </c>
      <c r="N50" s="362"/>
      <c r="O50" s="362"/>
      <c r="P50" s="262" t="str">
        <f t="shared" si="30"/>
        <v>-</v>
      </c>
      <c r="Q50" s="362"/>
      <c r="R50" s="362"/>
      <c r="S50" s="362"/>
      <c r="T50" s="262" t="str">
        <f>IFERROR(I50*#REF!,"-")</f>
        <v>-</v>
      </c>
      <c r="U50" s="362"/>
      <c r="V50" s="362"/>
      <c r="W50" s="262" t="str">
        <f t="shared" si="31"/>
        <v>-</v>
      </c>
      <c r="X50" s="362"/>
      <c r="Y50" s="362"/>
      <c r="Z50" s="362"/>
      <c r="AA50" s="262" t="str">
        <f>IFERROR(IF(SUM(W50,#REF!,#REF!)=0,"-",SUM(W50,#REF!,#REF!)),"-")</f>
        <v>-</v>
      </c>
      <c r="AB50" s="362"/>
    </row>
    <row r="51" spans="1:28">
      <c r="A51" s="295" t="e">
        <f>#REF!</f>
        <v>#REF!</v>
      </c>
      <c r="B51" s="295" t="e">
        <f>#REF!</f>
        <v>#REF!</v>
      </c>
      <c r="C51" s="296" t="str">
        <f>_xll.ciqfunctions.udf.CIQ(B51,"IQ_COMPANY_NAME")</f>
        <v>#NA</v>
      </c>
      <c r="G51" s="294" t="s">
        <v>661</v>
      </c>
      <c r="H51" s="262" t="str">
        <f t="shared" si="29"/>
        <v>-</v>
      </c>
      <c r="I51" s="262" t="str">
        <f>IFERROR(IF(G51="y",IF(H51&lt;&gt;"-",H51,INDEX(Raw_Data,MATCH($A51,Look_Up2,0),MATCH(I$4,Component,0))/1000*(1+'Raw Data'!$G$13)),(INDEX(Raw_Data,MATCH($A51,Look_Up2,0),MATCH(I$4,Component,0))/1000)),"-")</f>
        <v>-</v>
      </c>
      <c r="J51" s="362"/>
      <c r="K51" s="362"/>
      <c r="L51" s="362"/>
      <c r="M51" s="262" t="str">
        <f>IFERROR(I51*#REF!,"-")</f>
        <v>-</v>
      </c>
      <c r="N51" s="362"/>
      <c r="O51" s="362"/>
      <c r="P51" s="262" t="str">
        <f t="shared" si="30"/>
        <v>-</v>
      </c>
      <c r="Q51" s="362"/>
      <c r="R51" s="362"/>
      <c r="S51" s="362"/>
      <c r="T51" s="262" t="str">
        <f>IFERROR(I51*#REF!,"-")</f>
        <v>-</v>
      </c>
      <c r="U51" s="362"/>
      <c r="V51" s="362"/>
      <c r="W51" s="262" t="str">
        <f t="shared" si="31"/>
        <v>-</v>
      </c>
      <c r="X51" s="362"/>
      <c r="Y51" s="362"/>
      <c r="Z51" s="362"/>
      <c r="AA51" s="262" t="str">
        <f>IFERROR(IF(SUM(W51,#REF!,#REF!)=0,"-",SUM(W51,#REF!,#REF!)),"-")</f>
        <v>-</v>
      </c>
      <c r="AB51" s="362"/>
    </row>
    <row r="52" spans="1:28">
      <c r="A52" s="295" t="e">
        <f>#REF!</f>
        <v>#REF!</v>
      </c>
      <c r="B52" s="295" t="e">
        <f>#REF!</f>
        <v>#REF!</v>
      </c>
      <c r="C52" s="296" t="str">
        <f>_xll.ciqfunctions.udf.CIQ(B52,"IQ_COMPANY_NAME")</f>
        <v>#NA</v>
      </c>
      <c r="G52" s="294" t="s">
        <v>661</v>
      </c>
      <c r="H52" s="262" t="str">
        <f t="shared" si="29"/>
        <v>-</v>
      </c>
      <c r="I52" s="262" t="str">
        <f>IFERROR(IF(G52="y",IF(H52&lt;&gt;"-",H52,INDEX(Raw_Data,MATCH($A52,Look_Up2,0),MATCH(I$4,Component,0))/1000*(1+'Raw Data'!$G$13)),(INDEX(Raw_Data,MATCH($A52,Look_Up2,0),MATCH(I$4,Component,0))/1000)),"-")</f>
        <v>-</v>
      </c>
      <c r="J52" s="362"/>
      <c r="K52" s="362"/>
      <c r="L52" s="362"/>
      <c r="M52" s="262" t="str">
        <f>IFERROR(I52*#REF!,"-")</f>
        <v>-</v>
      </c>
      <c r="N52" s="362"/>
      <c r="O52" s="362"/>
      <c r="P52" s="262" t="str">
        <f t="shared" si="30"/>
        <v>-</v>
      </c>
      <c r="Q52" s="362"/>
      <c r="R52" s="362"/>
      <c r="S52" s="362"/>
      <c r="T52" s="262" t="str">
        <f>IFERROR(I52*#REF!,"-")</f>
        <v>-</v>
      </c>
      <c r="U52" s="362"/>
      <c r="V52" s="362"/>
      <c r="W52" s="262" t="str">
        <f t="shared" si="31"/>
        <v>-</v>
      </c>
      <c r="X52" s="362"/>
      <c r="Y52" s="362"/>
      <c r="Z52" s="362"/>
      <c r="AA52" s="262" t="str">
        <f>IFERROR(IF(SUM(W52,#REF!,#REF!)=0,"-",SUM(W52,#REF!,#REF!)),"-")</f>
        <v>-</v>
      </c>
      <c r="AB52" s="362"/>
    </row>
    <row r="53" spans="1:28">
      <c r="A53" s="295" t="e">
        <f>#REF!</f>
        <v>#REF!</v>
      </c>
      <c r="B53" s="295" t="e">
        <f>#REF!</f>
        <v>#REF!</v>
      </c>
      <c r="C53" s="296" t="str">
        <f>_xll.ciqfunctions.udf.CIQ(B53,"IQ_COMPANY_NAME")</f>
        <v>#NA</v>
      </c>
      <c r="G53" s="294" t="s">
        <v>661</v>
      </c>
      <c r="H53" s="262" t="str">
        <f t="shared" si="29"/>
        <v>-</v>
      </c>
      <c r="I53" s="262" t="str">
        <f>IFERROR(IF(G53="y",IF(H53&lt;&gt;"-",H53,INDEX(Raw_Data,MATCH($A53,Look_Up2,0),MATCH(I$4,Component,0))/1000*(1+'Raw Data'!$G$13)),(INDEX(Raw_Data,MATCH($A53,Look_Up2,0),MATCH(I$4,Component,0))/1000)),"-")</f>
        <v>-</v>
      </c>
      <c r="J53" s="362"/>
      <c r="K53" s="362"/>
      <c r="L53" s="362"/>
      <c r="M53" s="262" t="str">
        <f>IFERROR(I53*#REF!,"-")</f>
        <v>-</v>
      </c>
      <c r="N53" s="362"/>
      <c r="O53" s="362"/>
      <c r="P53" s="262" t="str">
        <f t="shared" si="30"/>
        <v>-</v>
      </c>
      <c r="Q53" s="362"/>
      <c r="R53" s="362"/>
      <c r="S53" s="362"/>
      <c r="T53" s="262" t="str">
        <f>IFERROR(I53*#REF!,"-")</f>
        <v>-</v>
      </c>
      <c r="U53" s="362"/>
      <c r="V53" s="362"/>
      <c r="W53" s="262" t="str">
        <f t="shared" si="31"/>
        <v>-</v>
      </c>
      <c r="X53" s="362"/>
      <c r="Y53" s="362"/>
      <c r="Z53" s="362"/>
      <c r="AA53" s="262" t="str">
        <f>IFERROR(IF(SUM(W53,#REF!,#REF!)=0,"-",SUM(W53,#REF!,#REF!)),"-")</f>
        <v>-</v>
      </c>
      <c r="AB53" s="362"/>
    </row>
    <row r="54" spans="1:28">
      <c r="A54" s="295" t="e">
        <f>#REF!</f>
        <v>#REF!</v>
      </c>
      <c r="B54" s="295" t="e">
        <f>#REF!</f>
        <v>#REF!</v>
      </c>
      <c r="C54" s="296" t="str">
        <f>_xll.ciqfunctions.udf.CIQ(B54,"IQ_COMPANY_NAME")</f>
        <v>#NA</v>
      </c>
      <c r="G54" s="294" t="s">
        <v>661</v>
      </c>
      <c r="H54" s="304" t="str">
        <f t="shared" si="29"/>
        <v>-</v>
      </c>
      <c r="I54" s="262" t="str">
        <f>IFERROR(IF(G54="y",IF(H54&lt;&gt;"-",H54,INDEX(Raw_Data,MATCH($A54,Look_Up2,0),MATCH(I$4,Component,0))/1000*(1+'Raw Data'!$G$13)),(INDEX(Raw_Data,MATCH($A54,Look_Up2,0),MATCH(I$4,Component,0))/1000)),"-")</f>
        <v>-</v>
      </c>
      <c r="J54" s="362"/>
      <c r="K54" s="362"/>
      <c r="L54" s="362"/>
      <c r="M54" s="262" t="str">
        <f>IFERROR(I54*#REF!,"-")</f>
        <v>-</v>
      </c>
      <c r="N54" s="362"/>
      <c r="O54" s="362"/>
      <c r="P54" s="304" t="str">
        <f t="shared" si="30"/>
        <v>-</v>
      </c>
      <c r="Q54" s="362"/>
      <c r="R54" s="362"/>
      <c r="S54" s="362"/>
      <c r="T54" s="262" t="str">
        <f>IFERROR(I54*#REF!,"-")</f>
        <v>-</v>
      </c>
      <c r="U54" s="362"/>
      <c r="V54" s="362"/>
      <c r="W54" s="304" t="str">
        <f t="shared" si="31"/>
        <v>-</v>
      </c>
      <c r="X54" s="362"/>
      <c r="Y54" s="362"/>
      <c r="Z54" s="362"/>
      <c r="AA54" s="304" t="str">
        <f>IFERROR(IF(SUM(W54,#REF!,#REF!)=0,"-",SUM(W54,#REF!,#REF!)),"-")</f>
        <v>-</v>
      </c>
      <c r="AB54" s="362"/>
    </row>
    <row r="55" spans="1:28">
      <c r="A55" s="15"/>
      <c r="B55" s="15"/>
      <c r="I55" s="288"/>
      <c r="M55" s="288"/>
      <c r="P55" s="288"/>
      <c r="T55" s="288"/>
      <c r="W55" s="288"/>
      <c r="AA55" s="288"/>
    </row>
    <row r="56" spans="1:28">
      <c r="A56" s="15"/>
      <c r="B56" s="15"/>
      <c r="I56" s="262">
        <f>PERCENTILE(I$35:I$54,$B15)</f>
        <v>750.09749999999997</v>
      </c>
      <c r="M56" s="262">
        <f>PERCENTILE(M$35:M$54,$B15)</f>
        <v>562.573125</v>
      </c>
      <c r="P56" s="262">
        <f>PERCENTILE(P$35:P$54,$B15)</f>
        <v>1312.670625</v>
      </c>
      <c r="T56" s="262">
        <f>PERCENTILE(T$35:T$54,$B15)</f>
        <v>1110.6358454711235</v>
      </c>
      <c r="W56" s="262">
        <f>PERCENTILE(W$35:W$54,$B15)</f>
        <v>2422.0738688444162</v>
      </c>
      <c r="AA56" s="262">
        <f>PERCENTILE(AA$35:AA$54,$B15)</f>
        <v>2531.4546655744161</v>
      </c>
    </row>
    <row r="57" spans="1:28">
      <c r="A57" s="15"/>
      <c r="B57" s="15"/>
      <c r="I57" s="266">
        <f>PERCENTILE(I$35:I$54,$B16)</f>
        <v>621.93028102459994</v>
      </c>
      <c r="M57" s="266">
        <f>PERCENTILE(M$35:M$54,$B16)</f>
        <v>424.37491861475996</v>
      </c>
      <c r="P57" s="266">
        <f>PERCENTILE(P$35:P$54,$B16)</f>
        <v>1046.3051996393599</v>
      </c>
      <c r="T57" s="266">
        <f>PERCENTILE(T$35:T$54,$B16)</f>
        <v>1026.8002032534146</v>
      </c>
      <c r="W57" s="266">
        <f>PERCENTILE(W$35:W$54,$B16)</f>
        <v>2073.1054028927747</v>
      </c>
      <c r="AA57" s="266">
        <f>PERCENTILE(AA$35:AA$54,$B16)</f>
        <v>2094.9900093927745</v>
      </c>
    </row>
    <row r="58" spans="1:28">
      <c r="A58" s="15"/>
      <c r="B58" s="15"/>
      <c r="I58" s="262">
        <f>PERCENTILE(I$35:I$54,$B17)</f>
        <v>549.82501694695009</v>
      </c>
      <c r="M58" s="262">
        <f>PERCENTILE(M$35:M$54,$B17)</f>
        <v>329.89501016817002</v>
      </c>
      <c r="P58" s="262">
        <f>PERCENTILE(P$35:P$54,$B17)</f>
        <v>879.72002711512005</v>
      </c>
      <c r="T58" s="262">
        <f>PERCENTILE(T$35:T$54,$B17)</f>
        <v>939.33819543685706</v>
      </c>
      <c r="W58" s="262">
        <f>PERCENTILE(W$35:W$54,$B17)</f>
        <v>1820.2908241786845</v>
      </c>
      <c r="AA58" s="262">
        <f>PERCENTILE(AA$35:AA$54,$B17)</f>
        <v>1880.4625248136847</v>
      </c>
    </row>
    <row r="59" spans="1:28">
      <c r="A59" s="15"/>
      <c r="B59" s="15"/>
      <c r="I59" s="270">
        <f>AVERAGE(I35:I54)</f>
        <v>641.04354995799997</v>
      </c>
      <c r="M59" s="270">
        <f>AVERAGE(M35:M54)</f>
        <v>447.66710830813332</v>
      </c>
      <c r="P59" s="270">
        <f>AVERAGE(P35:P54)</f>
        <v>1088.7106582661334</v>
      </c>
      <c r="T59" s="270">
        <f>AVERAGE(T35:T54)</f>
        <v>971.66088476424363</v>
      </c>
      <c r="W59" s="270">
        <f>AVERAGE(W35:W54)</f>
        <v>2060.3715430303769</v>
      </c>
      <c r="AA59" s="270">
        <f>AVERAGE(AA35:AA54)</f>
        <v>2124.4045444453773</v>
      </c>
    </row>
    <row r="60" spans="1:28">
      <c r="A60" s="15"/>
      <c r="B60" s="15"/>
    </row>
  </sheetData>
  <mergeCells count="17">
    <mergeCell ref="I6:I7"/>
    <mergeCell ref="X6:X7"/>
    <mergeCell ref="Y6:Y7"/>
    <mergeCell ref="Z6:AA6"/>
    <mergeCell ref="C6:C7"/>
    <mergeCell ref="D6:D7"/>
    <mergeCell ref="E6:E7"/>
    <mergeCell ref="F6:F7"/>
    <mergeCell ref="G6:G7"/>
    <mergeCell ref="H6:H7"/>
    <mergeCell ref="AW6:AW7"/>
    <mergeCell ref="AQ6:AQ7"/>
    <mergeCell ref="AP6:AP7"/>
    <mergeCell ref="AU6:AU7"/>
    <mergeCell ref="AR6:AR7"/>
    <mergeCell ref="AT6:AT7"/>
    <mergeCell ref="AS6:AS7"/>
  </mergeCells>
  <conditionalFormatting sqref="C15:W18 C20:W23 AP8:AU8 AP10:AU13">
    <cfRule type="expression" dxfId="23" priority="3">
      <formula>MOD(ROW(),2)=0</formula>
    </cfRule>
  </conditionalFormatting>
  <conditionalFormatting sqref="C8:AA8 C10:AA13">
    <cfRule type="expression" dxfId="22" priority="2">
      <formula>MOD(ROW(),2)=0</formula>
    </cfRule>
  </conditionalFormatting>
  <conditionalFormatting sqref="H35:I54">
    <cfRule type="expression" dxfId="21" priority="24">
      <formula>MOD(ROW(),2)=0</formula>
    </cfRule>
  </conditionalFormatting>
  <conditionalFormatting sqref="I56:I59">
    <cfRule type="expression" dxfId="20" priority="29">
      <formula>MOD(ROW(),2)=0</formula>
    </cfRule>
  </conditionalFormatting>
  <conditionalFormatting sqref="M35:M54">
    <cfRule type="expression" dxfId="19" priority="32">
      <formula>MOD(ROW(),2)=0</formula>
    </cfRule>
  </conditionalFormatting>
  <conditionalFormatting sqref="M56:M59">
    <cfRule type="expression" dxfId="18" priority="28">
      <formula>MOD(ROW(),2)=0</formula>
    </cfRule>
  </conditionalFormatting>
  <conditionalFormatting sqref="P35:P54">
    <cfRule type="expression" dxfId="17" priority="31">
      <formula>MOD(ROW(),2)=0</formula>
    </cfRule>
  </conditionalFormatting>
  <conditionalFormatting sqref="P56:P59">
    <cfRule type="expression" dxfId="16" priority="27">
      <formula>MOD(ROW(),2)=0</formula>
    </cfRule>
  </conditionalFormatting>
  <conditionalFormatting sqref="T35:T54">
    <cfRule type="expression" dxfId="15" priority="30">
      <formula>MOD(ROW(),2)=0</formula>
    </cfRule>
  </conditionalFormatting>
  <conditionalFormatting sqref="T56:T59">
    <cfRule type="expression" dxfId="14" priority="26">
      <formula>MOD(ROW(),2)=0</formula>
    </cfRule>
  </conditionalFormatting>
  <conditionalFormatting sqref="W35:W54">
    <cfRule type="expression" dxfId="13" priority="22">
      <formula>MOD(ROW(),2)=0</formula>
    </cfRule>
  </conditionalFormatting>
  <conditionalFormatting sqref="W56:W59">
    <cfRule type="expression" dxfId="12" priority="25">
      <formula>MOD(ROW(),2)=0</formula>
    </cfRule>
  </conditionalFormatting>
  <conditionalFormatting sqref="X15:AA23">
    <cfRule type="expression" dxfId="11" priority="18">
      <formula>MOD(ROW(),2)=0</formula>
    </cfRule>
  </conditionalFormatting>
  <conditionalFormatting sqref="AA35:AA54">
    <cfRule type="expression" dxfId="10" priority="19">
      <formula>MOD(ROW(),2)=0</formula>
    </cfRule>
  </conditionalFormatting>
  <conditionalFormatting sqref="AA56:AA59">
    <cfRule type="expression" dxfId="9" priority="20">
      <formula>MOD(ROW(),2)=0</formula>
    </cfRule>
  </conditionalFormatting>
  <conditionalFormatting sqref="AC8:AD8 AG8:AN8 AC10:AD13 AG10:AN13">
    <cfRule type="expression" dxfId="8" priority="17">
      <formula>MOD(ROW(),2)=0</formula>
    </cfRule>
  </conditionalFormatting>
  <conditionalFormatting sqref="AC15:AD23">
    <cfRule type="expression" dxfId="7" priority="21">
      <formula>MOD(ROW(),2)=0</formula>
    </cfRule>
  </conditionalFormatting>
  <conditionalFormatting sqref="AL15:AM23">
    <cfRule type="expression" dxfId="6" priority="16">
      <formula>MOD(ROW(),2)=0</formula>
    </cfRule>
  </conditionalFormatting>
  <dataValidations disablePrompts="1" count="1">
    <dataValidation type="list" allowBlank="1" showInputMessage="1" showErrorMessage="1" sqref="G35:G54" xr:uid="{4AED4033-C071-42BC-B42E-B59A09A9E397}">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BC0A-EE9F-4A33-BAFC-4071648B5B41}">
  <sheetPr>
    <tabColor theme="4"/>
    <pageSetUpPr autoPageBreaks="0"/>
  </sheetPr>
  <dimension ref="B2:I50"/>
  <sheetViews>
    <sheetView workbookViewId="0"/>
  </sheetViews>
  <sheetFormatPr defaultRowHeight="14.5" outlineLevelRow="1"/>
  <cols>
    <col min="2" max="2" width="26.26953125" bestFit="1" customWidth="1"/>
    <col min="3" max="5" width="15.7265625" customWidth="1"/>
    <col min="6" max="6" width="10.81640625" customWidth="1"/>
  </cols>
  <sheetData>
    <row r="2" spans="2:8" outlineLevel="1">
      <c r="B2" s="523" t="s">
        <v>662</v>
      </c>
      <c r="C2" s="741">
        <v>2023</v>
      </c>
      <c r="D2" s="525">
        <f>C2+1</f>
        <v>2024</v>
      </c>
      <c r="E2" s="525">
        <f>D2+1</f>
        <v>2025</v>
      </c>
    </row>
    <row r="3" spans="2:8" outlineLevel="1">
      <c r="B3" s="522" t="str">
        <f>B14</f>
        <v>75th Percentile</v>
      </c>
      <c r="C3" s="742" t="s">
        <v>663</v>
      </c>
      <c r="D3" s="157" t="s">
        <v>667</v>
      </c>
      <c r="E3" s="157" t="s">
        <v>668</v>
      </c>
    </row>
    <row r="4" spans="2:8" outlineLevel="1">
      <c r="B4" s="522" t="str">
        <f>B15</f>
        <v>Median</v>
      </c>
      <c r="C4" s="742" t="s">
        <v>664</v>
      </c>
      <c r="D4" s="157" t="s">
        <v>669</v>
      </c>
      <c r="E4" s="157" t="s">
        <v>670</v>
      </c>
    </row>
    <row r="5" spans="2:8" outlineLevel="1">
      <c r="B5" s="522" t="str">
        <f>B16</f>
        <v>25th Percentile</v>
      </c>
      <c r="C5" s="742" t="s">
        <v>665</v>
      </c>
      <c r="D5" s="157" t="s">
        <v>671</v>
      </c>
      <c r="E5" s="157" t="s">
        <v>672</v>
      </c>
    </row>
    <row r="6" spans="2:8" outlineLevel="1">
      <c r="B6" s="522" t="str">
        <f>B17</f>
        <v>Average</v>
      </c>
      <c r="C6" s="742" t="s">
        <v>666</v>
      </c>
      <c r="D6" s="157" t="s">
        <v>673</v>
      </c>
      <c r="E6" s="157" t="s">
        <v>674</v>
      </c>
    </row>
    <row r="7" spans="2:8" outlineLevel="1">
      <c r="B7" s="522" t="str">
        <f>B18</f>
        <v>Hudbay Minerals Inc.</v>
      </c>
      <c r="C7" s="742" t="s">
        <v>690</v>
      </c>
      <c r="D7" s="157" t="s">
        <v>675</v>
      </c>
      <c r="E7" s="157" t="s">
        <v>675</v>
      </c>
    </row>
    <row r="8" spans="2:8" outlineLevel="1"/>
    <row r="10" spans="2:8">
      <c r="C10" s="519" t="s">
        <v>79</v>
      </c>
    </row>
    <row r="11" spans="2:8" ht="15" customHeight="1">
      <c r="B11" s="76"/>
      <c r="C11" s="518" t="s">
        <v>68</v>
      </c>
      <c r="D11" s="78"/>
      <c r="E11" s="77"/>
    </row>
    <row r="12" spans="2:8" ht="30">
      <c r="B12" s="76"/>
      <c r="C12" s="75" t="s">
        <v>716</v>
      </c>
      <c r="D12" s="75" t="s">
        <v>717</v>
      </c>
      <c r="E12" s="75" t="s">
        <v>718</v>
      </c>
    </row>
    <row r="13" spans="2:8">
      <c r="B13" s="74" t="s">
        <v>67</v>
      </c>
      <c r="C13" s="73"/>
      <c r="D13" s="73"/>
      <c r="E13" s="73"/>
    </row>
    <row r="14" spans="2:8">
      <c r="B14" s="67" t="s">
        <v>9</v>
      </c>
      <c r="C14" s="737">
        <v>7275</v>
      </c>
      <c r="D14" s="72" cm="1">
        <f t="array" aca="1" ref="D14" ca="1">INDIRECT("'"&amp;$C$10&amp;"'!"&amp;D3)</f>
        <v>7095.4449833333338</v>
      </c>
      <c r="E14" s="72" cm="1">
        <f t="array" aca="1" ref="E14" ca="1">INDIRECT("'"&amp;$C$10&amp;"'!"&amp;E3)</f>
        <v>7308.3083328333332</v>
      </c>
      <c r="F14" t="s">
        <v>713</v>
      </c>
      <c r="G14" s="732" t="s">
        <v>721</v>
      </c>
      <c r="H14" s="732" t="s">
        <v>713</v>
      </c>
    </row>
    <row r="15" spans="2:8">
      <c r="B15" s="65" t="s">
        <v>8</v>
      </c>
      <c r="C15" s="738">
        <v>4614.4799999999996</v>
      </c>
      <c r="D15" s="64" cm="1">
        <f t="array" aca="1" ref="D15" ca="1">INDIRECT("'"&amp;$C$10&amp;"'!"&amp;D4)</f>
        <v>5021.26</v>
      </c>
      <c r="E15" s="64" cm="1">
        <f t="array" aca="1" ref="E15" ca="1">INDIRECT("'"&amp;$C$10&amp;"'!"&amp;E4)</f>
        <v>5171.8977999999997</v>
      </c>
      <c r="F15" s="571">
        <f ca="1">D15/C15-1</f>
        <v>8.8152944643816955E-2</v>
      </c>
      <c r="G15" s="732">
        <f>H50</f>
        <v>4248.1137596379995</v>
      </c>
      <c r="H15" s="743">
        <f>G15/C15-1</f>
        <v>-7.939491348147576E-2</v>
      </c>
    </row>
    <row r="16" spans="2:8">
      <c r="B16" s="63" t="s">
        <v>7</v>
      </c>
      <c r="C16" s="738">
        <v>4156.25</v>
      </c>
      <c r="D16" s="64" cm="1">
        <f t="array" aca="1" ref="D16" ca="1">INDIRECT("'"&amp;$C$10&amp;"'!"&amp;D5)</f>
        <v>4314.703125</v>
      </c>
      <c r="E16" s="64" cm="1">
        <f t="array" aca="1" ref="E16" ca="1">INDIRECT("'"&amp;$C$10&amp;"'!"&amp;E5)</f>
        <v>4412.0242187500007</v>
      </c>
      <c r="F16" s="732" t="s">
        <v>62</v>
      </c>
    </row>
    <row r="17" spans="2:6">
      <c r="B17" s="61" t="s">
        <v>6</v>
      </c>
      <c r="C17" s="739">
        <v>5340.9506219963378</v>
      </c>
      <c r="D17" s="64" cm="1">
        <f t="array" aca="1" ref="D17" ca="1">INDIRECT("'"&amp;$C$10&amp;"'!"&amp;D6)</f>
        <v>5578.1621173485619</v>
      </c>
      <c r="E17" s="60" cm="1">
        <f t="array" aca="1" ref="E17" ca="1">INDIRECT("'"&amp;$C$10&amp;"'!"&amp;E6)</f>
        <v>5748.5394797901872</v>
      </c>
      <c r="F17" s="744">
        <f ca="1">D18/D15-1</f>
        <v>1.1797088778513709E-2</v>
      </c>
    </row>
    <row r="18" spans="2:6">
      <c r="B18" s="59" t="str">
        <f>CEO!C39</f>
        <v>Hudbay Minerals Inc.</v>
      </c>
      <c r="C18" s="740">
        <v>4779.9705000000004</v>
      </c>
      <c r="D18" s="58" cm="1">
        <f t="array" aca="1" ref="D18" ca="1">INDIRECT("'"&amp;$C$10&amp;"'!"&amp;D7)</f>
        <v>5080.4962500000001</v>
      </c>
      <c r="E18" s="58" cm="1">
        <f t="array" aca="1" ref="E18" ca="1">INDIRECT("'"&amp;$C$10&amp;"'!"&amp;E7)</f>
        <v>5080.4962500000001</v>
      </c>
      <c r="F18" s="745">
        <f ca="1">D18/C18-1</f>
        <v>6.2871883832755771E-2</v>
      </c>
    </row>
    <row r="19" spans="2:6">
      <c r="B19" s="71"/>
      <c r="C19" s="70"/>
      <c r="D19" s="70"/>
      <c r="E19" s="573"/>
    </row>
    <row r="20" spans="2:6">
      <c r="B20" s="69" t="s">
        <v>66</v>
      </c>
      <c r="C20" s="68"/>
      <c r="D20" s="68"/>
      <c r="E20" s="68"/>
    </row>
    <row r="21" spans="2:6">
      <c r="B21" s="67" t="s">
        <v>65</v>
      </c>
      <c r="C21" s="66">
        <f>C16</f>
        <v>4156.25</v>
      </c>
      <c r="D21" s="66">
        <f ca="1">D16</f>
        <v>4314.703125</v>
      </c>
      <c r="E21" s="66">
        <f ca="1">E16</f>
        <v>4412.0242187500007</v>
      </c>
    </row>
    <row r="22" spans="2:6">
      <c r="B22" s="65" t="s">
        <v>64</v>
      </c>
      <c r="C22" s="64">
        <f>(C15-C16)</f>
        <v>458.22999999999956</v>
      </c>
      <c r="D22" s="64">
        <f ca="1">(D15-D16)</f>
        <v>706.55687500000022</v>
      </c>
      <c r="E22" s="64">
        <f ca="1">(E15-E16)</f>
        <v>759.87358124999901</v>
      </c>
    </row>
    <row r="23" spans="2:6">
      <c r="B23" s="63" t="s">
        <v>63</v>
      </c>
      <c r="C23" s="62">
        <f>(C14-C15)</f>
        <v>2660.5200000000004</v>
      </c>
      <c r="D23" s="62">
        <f ca="1">(D14-D15)</f>
        <v>2074.1849833333335</v>
      </c>
      <c r="E23" s="62">
        <f ca="1">(E14-E15)</f>
        <v>2136.4105328333335</v>
      </c>
    </row>
    <row r="24" spans="2:6">
      <c r="B24" s="61" t="s">
        <v>6</v>
      </c>
      <c r="C24" s="60">
        <f t="shared" ref="C24:E25" si="0">C17</f>
        <v>5340.9506219963378</v>
      </c>
      <c r="D24" s="60">
        <f t="shared" ca="1" si="0"/>
        <v>5578.1621173485619</v>
      </c>
      <c r="E24" s="60">
        <f t="shared" ca="1" si="0"/>
        <v>5748.5394797901872</v>
      </c>
    </row>
    <row r="25" spans="2:6">
      <c r="B25" s="59" t="str">
        <f>B18</f>
        <v>Hudbay Minerals Inc.</v>
      </c>
      <c r="C25" s="58">
        <f t="shared" si="0"/>
        <v>4779.9705000000004</v>
      </c>
      <c r="D25" s="58">
        <f t="shared" ca="1" si="0"/>
        <v>5080.4962500000001</v>
      </c>
      <c r="E25" s="58">
        <f t="shared" ca="1" si="0"/>
        <v>5080.4962500000001</v>
      </c>
    </row>
    <row r="27" spans="2:6">
      <c r="B27" s="57" t="s">
        <v>62</v>
      </c>
      <c r="C27" s="56">
        <f>C18-C15</f>
        <v>165.49050000000079</v>
      </c>
      <c r="D27" s="56">
        <f ca="1">D18-D15</f>
        <v>59.236249999999927</v>
      </c>
      <c r="E27" s="56">
        <f ca="1">E18-E15</f>
        <v>-91.401549999999588</v>
      </c>
    </row>
    <row r="29" spans="2:6">
      <c r="B29" s="520" t="s">
        <v>695</v>
      </c>
      <c r="C29" s="521"/>
      <c r="D29" s="521"/>
      <c r="E29" s="521"/>
    </row>
    <row r="30" spans="2:6">
      <c r="B30" t="s">
        <v>691</v>
      </c>
    </row>
    <row r="31" spans="2:6">
      <c r="B31" t="s">
        <v>692</v>
      </c>
      <c r="C31" s="54"/>
      <c r="E31" s="54"/>
    </row>
    <row r="32" spans="2:6">
      <c r="B32" t="s">
        <v>693</v>
      </c>
      <c r="C32" s="54"/>
      <c r="E32" s="54"/>
    </row>
    <row r="33" spans="2:9">
      <c r="B33" t="s">
        <v>694</v>
      </c>
    </row>
    <row r="34" spans="2:9">
      <c r="C34" s="602">
        <f>C14-C15</f>
        <v>2660.5200000000004</v>
      </c>
      <c r="D34" s="602">
        <f ca="1">D14-D15</f>
        <v>2074.1849833333335</v>
      </c>
    </row>
    <row r="38" spans="2:9">
      <c r="B38" s="495" t="s">
        <v>657</v>
      </c>
      <c r="C38" s="496"/>
      <c r="D38" s="496"/>
      <c r="E38" s="496"/>
      <c r="F38" s="496"/>
      <c r="G38" s="496"/>
      <c r="H38" s="496"/>
      <c r="I38" s="497"/>
    </row>
    <row r="39" spans="2:9" ht="43.5">
      <c r="B39" s="498" t="s">
        <v>22</v>
      </c>
      <c r="C39" s="499" t="s">
        <v>19</v>
      </c>
      <c r="D39" s="499" t="s">
        <v>660</v>
      </c>
      <c r="E39" s="500" t="s">
        <v>658</v>
      </c>
      <c r="F39" s="499" t="s">
        <v>18</v>
      </c>
      <c r="G39" s="501" t="s">
        <v>40</v>
      </c>
      <c r="H39" s="501" t="s">
        <v>42</v>
      </c>
      <c r="I39" s="502" t="s">
        <v>659</v>
      </c>
    </row>
    <row r="40" spans="2:9">
      <c r="B40" s="493" t="s">
        <v>493</v>
      </c>
      <c r="C40" s="512" t="s">
        <v>347</v>
      </c>
      <c r="D40" s="513" t="s">
        <v>720</v>
      </c>
      <c r="E40" s="513" t="s">
        <v>720</v>
      </c>
      <c r="F40" s="512" t="s">
        <v>506</v>
      </c>
      <c r="G40" s="514">
        <v>9041.3336491799982</v>
      </c>
      <c r="H40" s="514">
        <v>8608.1221931975215</v>
      </c>
      <c r="I40" s="515">
        <v>1.051685940219671E-2</v>
      </c>
    </row>
    <row r="41" spans="2:9">
      <c r="B41" s="503" t="s">
        <v>494</v>
      </c>
      <c r="C41" s="316" t="s">
        <v>385</v>
      </c>
      <c r="D41" s="504" t="s">
        <v>720</v>
      </c>
      <c r="E41" s="504" t="s">
        <v>720</v>
      </c>
      <c r="F41" s="316" t="s">
        <v>506</v>
      </c>
      <c r="G41" s="12">
        <v>7497.2</v>
      </c>
      <c r="H41" s="12">
        <v>7395</v>
      </c>
      <c r="I41" s="505">
        <v>4.0000000000000036E-2</v>
      </c>
    </row>
    <row r="42" spans="2:9">
      <c r="B42" s="503" t="s">
        <v>497</v>
      </c>
      <c r="C42" s="316" t="s">
        <v>394</v>
      </c>
      <c r="D42" s="504" t="s">
        <v>720</v>
      </c>
      <c r="E42" s="504" t="s">
        <v>720</v>
      </c>
      <c r="F42" s="316" t="s">
        <v>508</v>
      </c>
      <c r="G42" s="12">
        <v>4059.8739999999998</v>
      </c>
      <c r="H42" s="12">
        <v>4186</v>
      </c>
      <c r="I42" s="505">
        <v>5.4945054945054972E-2</v>
      </c>
    </row>
    <row r="43" spans="2:9">
      <c r="B43" s="503" t="s">
        <v>501</v>
      </c>
      <c r="C43" s="316" t="s">
        <v>286</v>
      </c>
      <c r="D43" s="504" t="s">
        <v>720</v>
      </c>
      <c r="E43" s="504" t="s">
        <v>720</v>
      </c>
      <c r="F43" s="316" t="s">
        <v>506</v>
      </c>
      <c r="G43" s="12">
        <v>3647.4524817518245</v>
      </c>
      <c r="H43" s="12">
        <v>4156.25</v>
      </c>
      <c r="I43" s="505">
        <v>3.0000000000000027E-2</v>
      </c>
    </row>
    <row r="44" spans="2:9">
      <c r="B44" s="503" t="s">
        <v>496</v>
      </c>
      <c r="C44" s="316" t="s">
        <v>512</v>
      </c>
      <c r="D44" s="504" t="s">
        <v>720</v>
      </c>
      <c r="E44" s="504" t="s">
        <v>720</v>
      </c>
      <c r="F44" s="316" t="s">
        <v>507</v>
      </c>
      <c r="G44" s="12">
        <v>5600</v>
      </c>
      <c r="H44" s="12">
        <v>7275</v>
      </c>
      <c r="I44" s="505">
        <v>-1.2218403970981284E-2</v>
      </c>
    </row>
    <row r="45" spans="2:9">
      <c r="B45" s="503" t="s">
        <v>503</v>
      </c>
      <c r="C45" s="316" t="s">
        <v>517</v>
      </c>
      <c r="D45" s="504" t="s">
        <v>720</v>
      </c>
      <c r="E45" s="504" t="s">
        <v>720</v>
      </c>
      <c r="F45" s="316" t="s">
        <v>506</v>
      </c>
      <c r="G45" s="12">
        <v>3605.0003834772247</v>
      </c>
      <c r="H45" s="12">
        <v>3325</v>
      </c>
      <c r="I45" s="505">
        <v>0.22706766917293231</v>
      </c>
    </row>
    <row r="46" spans="2:9">
      <c r="B46" s="503" t="s">
        <v>500</v>
      </c>
      <c r="C46" s="316" t="s">
        <v>515</v>
      </c>
      <c r="D46" s="504" t="s">
        <v>720</v>
      </c>
      <c r="E46" s="504" t="s">
        <v>720</v>
      </c>
      <c r="F46" s="316" t="s">
        <v>506</v>
      </c>
      <c r="G46" s="12">
        <v>4870.6540000000005</v>
      </c>
      <c r="H46" s="12">
        <v>4614.4799999999996</v>
      </c>
      <c r="I46" s="505">
        <v>1.1494252873563315E-2</v>
      </c>
    </row>
    <row r="47" spans="2:9">
      <c r="B47" s="503" t="s">
        <v>502</v>
      </c>
      <c r="C47" s="316" t="s">
        <v>516</v>
      </c>
      <c r="D47" s="504" t="s">
        <v>720</v>
      </c>
      <c r="E47" s="504" t="s">
        <v>720</v>
      </c>
      <c r="F47" s="316" t="s">
        <v>509</v>
      </c>
      <c r="G47" s="12">
        <v>4467.6643158599991</v>
      </c>
      <c r="H47" s="12">
        <v>4310.2275192759998</v>
      </c>
      <c r="I47" s="505">
        <v>0.26041108069426233</v>
      </c>
    </row>
    <row r="48" spans="2:9">
      <c r="B48" s="503" t="s">
        <v>505</v>
      </c>
      <c r="C48" s="316" t="s">
        <v>519</v>
      </c>
      <c r="D48" s="504" t="s">
        <v>720</v>
      </c>
      <c r="E48" s="504" t="s">
        <v>720</v>
      </c>
      <c r="F48" s="316" t="s">
        <v>510</v>
      </c>
      <c r="G48" s="12">
        <v>4183.8007227199996</v>
      </c>
      <c r="H48" s="12">
        <v>4017.2353488372091</v>
      </c>
      <c r="I48" s="505">
        <v>-1.6726854008445979E-2</v>
      </c>
    </row>
    <row r="49" spans="2:9">
      <c r="B49" s="494" t="s">
        <v>504</v>
      </c>
      <c r="C49" s="506" t="s">
        <v>518</v>
      </c>
      <c r="D49" s="507" t="s">
        <v>720</v>
      </c>
      <c r="E49" s="507" t="s">
        <v>720</v>
      </c>
      <c r="F49" s="506" t="s">
        <v>509</v>
      </c>
      <c r="G49" s="508">
        <v>2868.8441311475412</v>
      </c>
      <c r="H49" s="508">
        <v>3487.5</v>
      </c>
      <c r="I49" s="509">
        <v>0</v>
      </c>
    </row>
    <row r="50" spans="2:9">
      <c r="H50">
        <f>MEDIAN(H40:H49)</f>
        <v>4248.1137596379995</v>
      </c>
    </row>
  </sheetData>
  <phoneticPr fontId="67" type="noConversion"/>
  <conditionalFormatting sqref="B40:I49">
    <cfRule type="expression" dxfId="5" priority="1">
      <formula>MOD(ROW(),2)=0</formula>
    </cfRule>
  </conditionalFormatting>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6EA6-42F6-4487-B4D6-05205AC8A131}">
  <sheetPr>
    <tabColor theme="4"/>
    <pageSetUpPr autoPageBreaks="0"/>
  </sheetPr>
  <dimension ref="B2:I48"/>
  <sheetViews>
    <sheetView workbookViewId="0"/>
  </sheetViews>
  <sheetFormatPr defaultRowHeight="14.5" outlineLevelRow="1"/>
  <cols>
    <col min="2" max="2" width="26.26953125" bestFit="1" customWidth="1"/>
    <col min="3" max="5" width="15.7265625" customWidth="1"/>
    <col min="6" max="6" width="11.453125" customWidth="1"/>
  </cols>
  <sheetData>
    <row r="2" spans="2:8" outlineLevel="1">
      <c r="B2" s="523" t="s">
        <v>662</v>
      </c>
      <c r="C2" s="525">
        <v>2023</v>
      </c>
      <c r="D2" s="525">
        <f>C2+1</f>
        <v>2024</v>
      </c>
      <c r="E2" s="525">
        <f>D2+1</f>
        <v>2025</v>
      </c>
    </row>
    <row r="3" spans="2:8" outlineLevel="1">
      <c r="B3" s="522" t="str">
        <f>B14</f>
        <v>75th Percentile</v>
      </c>
      <c r="C3" s="742" t="s">
        <v>663</v>
      </c>
      <c r="D3" s="157" t="s">
        <v>667</v>
      </c>
      <c r="E3" s="157" t="s">
        <v>668</v>
      </c>
    </row>
    <row r="4" spans="2:8" outlineLevel="1">
      <c r="B4" s="522" t="str">
        <f>B15</f>
        <v>Median</v>
      </c>
      <c r="C4" s="742" t="s">
        <v>664</v>
      </c>
      <c r="D4" s="157" t="s">
        <v>669</v>
      </c>
      <c r="E4" s="157" t="s">
        <v>670</v>
      </c>
    </row>
    <row r="5" spans="2:8" outlineLevel="1">
      <c r="B5" s="522" t="str">
        <f>B16</f>
        <v>25th Percentile</v>
      </c>
      <c r="C5" s="742" t="s">
        <v>665</v>
      </c>
      <c r="D5" s="157" t="s">
        <v>671</v>
      </c>
      <c r="E5" s="157" t="s">
        <v>672</v>
      </c>
    </row>
    <row r="6" spans="2:8" outlineLevel="1">
      <c r="B6" s="522" t="str">
        <f>B17</f>
        <v>Average</v>
      </c>
      <c r="C6" s="742" t="s">
        <v>666</v>
      </c>
      <c r="D6" s="157" t="s">
        <v>673</v>
      </c>
      <c r="E6" s="157" t="s">
        <v>674</v>
      </c>
    </row>
    <row r="7" spans="2:8" outlineLevel="1">
      <c r="B7" s="522" t="str">
        <f>B18</f>
        <v>Hudbay Minerals Inc.</v>
      </c>
      <c r="C7" s="742" t="s">
        <v>690</v>
      </c>
      <c r="D7" s="157" t="s">
        <v>675</v>
      </c>
      <c r="E7" s="157" t="s">
        <v>675</v>
      </c>
    </row>
    <row r="8" spans="2:8" outlineLevel="1">
      <c r="C8" s="732"/>
    </row>
    <row r="10" spans="2:8">
      <c r="C10" s="519" t="s">
        <v>106</v>
      </c>
    </row>
    <row r="11" spans="2:8" ht="15" customHeight="1">
      <c r="B11" s="76"/>
      <c r="C11" s="518" t="s">
        <v>68</v>
      </c>
      <c r="D11" s="78"/>
      <c r="E11" s="77"/>
    </row>
    <row r="12" spans="2:8" ht="30">
      <c r="B12" s="76"/>
      <c r="C12" s="75" t="s">
        <v>716</v>
      </c>
      <c r="D12" s="75" t="s">
        <v>717</v>
      </c>
      <c r="E12" s="75" t="s">
        <v>718</v>
      </c>
    </row>
    <row r="13" spans="2:8">
      <c r="B13" s="74" t="s">
        <v>67</v>
      </c>
      <c r="C13" s="73"/>
      <c r="D13" s="73"/>
      <c r="E13" s="73"/>
    </row>
    <row r="14" spans="2:8">
      <c r="B14" s="67" t="s">
        <v>9</v>
      </c>
      <c r="C14" s="737">
        <v>2293.7646553845962</v>
      </c>
      <c r="D14" s="72" cm="1">
        <f t="array" aca="1" ref="D14" ca="1">INDIRECT("'"&amp;$C$10&amp;"'!"&amp;D3)</f>
        <v>2444.054430566538</v>
      </c>
      <c r="E14" s="72" cm="1">
        <f t="array" aca="1" ref="E14" ca="1">INDIRECT("'"&amp;$C$10&amp;"'!"&amp;E3)</f>
        <v>2606.1398881547925</v>
      </c>
      <c r="F14" t="s">
        <v>713</v>
      </c>
      <c r="G14" s="732" t="s">
        <v>722</v>
      </c>
      <c r="H14" s="732" t="s">
        <v>713</v>
      </c>
    </row>
    <row r="15" spans="2:8">
      <c r="B15" s="65" t="s">
        <v>8</v>
      </c>
      <c r="C15" s="738">
        <v>1837.1100000000001</v>
      </c>
      <c r="D15" s="64" cm="1">
        <f t="array" aca="1" ref="D15" ca="1">INDIRECT("'"&amp;$C$10&amp;"'!"&amp;D4)</f>
        <v>1947.2020750000001</v>
      </c>
      <c r="E15" s="64" cm="1">
        <f t="array" aca="1" ref="E15" ca="1">INDIRECT("'"&amp;$C$10&amp;"'!"&amp;E4)</f>
        <v>2005.61813725</v>
      </c>
      <c r="F15" s="572">
        <f ca="1">D15/C15-1</f>
        <v>5.992677357371079E-2</v>
      </c>
      <c r="G15" s="732">
        <f>H48</f>
        <v>1916.3398968984243</v>
      </c>
      <c r="H15" s="743">
        <f>G15/C15-1</f>
        <v>4.3127464821608008E-2</v>
      </c>
    </row>
    <row r="16" spans="2:8">
      <c r="B16" s="63" t="s">
        <v>7</v>
      </c>
      <c r="C16" s="738">
        <v>1761.625</v>
      </c>
      <c r="D16" s="64" cm="1">
        <f t="array" aca="1" ref="D16" ca="1">INDIRECT("'"&amp;$C$10&amp;"'!"&amp;D5)</f>
        <v>1781.652112491556</v>
      </c>
      <c r="E16" s="64" cm="1">
        <f t="array" aca="1" ref="E16" ca="1">INDIRECT("'"&amp;$C$10&amp;"'!"&amp;E5)</f>
        <v>1835.1016758663027</v>
      </c>
      <c r="F16" s="732" t="s">
        <v>62</v>
      </c>
    </row>
    <row r="17" spans="2:6">
      <c r="B17" s="61" t="s">
        <v>6</v>
      </c>
      <c r="C17" s="739">
        <v>1978.0361971963932</v>
      </c>
      <c r="D17" s="64" cm="1">
        <f t="array" aca="1" ref="D17" ca="1">INDIRECT("'"&amp;$C$10&amp;"'!"&amp;D6)</f>
        <v>2080.8100143840697</v>
      </c>
      <c r="E17" s="60" cm="1">
        <f t="array" aca="1" ref="E17" ca="1">INDIRECT("'"&amp;$C$10&amp;"'!"&amp;E6)</f>
        <v>2155.0188331924646</v>
      </c>
      <c r="F17" s="744">
        <f ca="1">D18/D15-1</f>
        <v>6.0625205013711714E-2</v>
      </c>
    </row>
    <row r="18" spans="2:6">
      <c r="B18" s="59" t="str">
        <f>CEO!C39</f>
        <v>Hudbay Minerals Inc.</v>
      </c>
      <c r="C18" s="740">
        <v>1930.6559999999999</v>
      </c>
      <c r="D18" s="58" cm="1">
        <f t="array" aca="1" ref="D18" ca="1">INDIRECT("'"&amp;$C$10&amp;"'!"&amp;D7)</f>
        <v>2065.2516000000001</v>
      </c>
      <c r="E18" s="58" cm="1">
        <f t="array" aca="1" ref="E18" ca="1">INDIRECT("'"&amp;$C$10&amp;"'!"&amp;E7)</f>
        <v>2065.2516000000001</v>
      </c>
      <c r="F18" s="744">
        <f ca="1">D18/C18-1</f>
        <v>6.9714956988712773E-2</v>
      </c>
    </row>
    <row r="19" spans="2:6">
      <c r="B19" s="71"/>
      <c r="C19" s="70"/>
      <c r="D19" s="70"/>
      <c r="E19" s="70"/>
    </row>
    <row r="20" spans="2:6">
      <c r="B20" s="69" t="s">
        <v>66</v>
      </c>
      <c r="C20" s="68"/>
      <c r="D20" s="68"/>
      <c r="E20" s="68"/>
    </row>
    <row r="21" spans="2:6">
      <c r="B21" s="67" t="s">
        <v>65</v>
      </c>
      <c r="C21" s="66">
        <f>C16</f>
        <v>1761.625</v>
      </c>
      <c r="D21" s="66">
        <f ca="1">D16</f>
        <v>1781.652112491556</v>
      </c>
      <c r="E21" s="66">
        <f ca="1">E16</f>
        <v>1835.1016758663027</v>
      </c>
    </row>
    <row r="22" spans="2:6">
      <c r="B22" s="65" t="s">
        <v>64</v>
      </c>
      <c r="C22" s="64">
        <f>(C15-C16)</f>
        <v>75.485000000000127</v>
      </c>
      <c r="D22" s="64">
        <f ca="1">(D15-D16)</f>
        <v>165.5499625084442</v>
      </c>
      <c r="E22" s="64">
        <f ca="1">(E15-E16)</f>
        <v>170.51646138369733</v>
      </c>
    </row>
    <row r="23" spans="2:6">
      <c r="B23" s="63" t="s">
        <v>63</v>
      </c>
      <c r="C23" s="62">
        <f>(C14-C15)</f>
        <v>456.65465538459603</v>
      </c>
      <c r="D23" s="62">
        <f ca="1">(D14-D15)</f>
        <v>496.85235556653788</v>
      </c>
      <c r="E23" s="62">
        <f ca="1">(E14-E15)</f>
        <v>600.5217509047925</v>
      </c>
    </row>
    <row r="24" spans="2:6">
      <c r="B24" s="61" t="s">
        <v>6</v>
      </c>
      <c r="C24" s="60">
        <f t="shared" ref="C24:E25" si="0">C17</f>
        <v>1978.0361971963932</v>
      </c>
      <c r="D24" s="60">
        <f t="shared" ca="1" si="0"/>
        <v>2080.8100143840697</v>
      </c>
      <c r="E24" s="60">
        <f t="shared" ca="1" si="0"/>
        <v>2155.0188331924646</v>
      </c>
    </row>
    <row r="25" spans="2:6">
      <c r="B25" s="59" t="str">
        <f>B18</f>
        <v>Hudbay Minerals Inc.</v>
      </c>
      <c r="C25" s="58">
        <f t="shared" si="0"/>
        <v>1930.6559999999999</v>
      </c>
      <c r="D25" s="58">
        <f t="shared" ca="1" si="0"/>
        <v>2065.2516000000001</v>
      </c>
      <c r="E25" s="58">
        <f t="shared" ca="1" si="0"/>
        <v>2065.2516000000001</v>
      </c>
    </row>
    <row r="27" spans="2:6">
      <c r="B27" s="57" t="s">
        <v>62</v>
      </c>
      <c r="C27" s="56">
        <f>C18-C15</f>
        <v>93.545999999999822</v>
      </c>
      <c r="D27" s="56">
        <f ca="1">D18-D15</f>
        <v>118.0495249999999</v>
      </c>
      <c r="E27" s="56">
        <f ca="1">E18-E15</f>
        <v>59.633462750000035</v>
      </c>
    </row>
    <row r="29" spans="2:6">
      <c r="B29" s="520" t="s">
        <v>695</v>
      </c>
      <c r="C29" s="521"/>
      <c r="D29" s="521"/>
      <c r="E29" s="521"/>
    </row>
    <row r="30" spans="2:6">
      <c r="B30" t="s">
        <v>691</v>
      </c>
    </row>
    <row r="31" spans="2:6">
      <c r="B31" t="s">
        <v>692</v>
      </c>
      <c r="C31" s="54"/>
      <c r="E31" s="54"/>
    </row>
    <row r="32" spans="2:6">
      <c r="B32" t="s">
        <v>693</v>
      </c>
      <c r="C32" s="54"/>
      <c r="E32" s="54"/>
    </row>
    <row r="33" spans="2:9">
      <c r="B33" t="s">
        <v>694</v>
      </c>
    </row>
    <row r="38" spans="2:9">
      <c r="B38" s="495" t="s">
        <v>657</v>
      </c>
      <c r="C38" s="496"/>
      <c r="D38" s="496"/>
      <c r="E38" s="496"/>
      <c r="F38" s="496"/>
      <c r="G38" s="496"/>
      <c r="H38" s="496"/>
      <c r="I38" s="497"/>
    </row>
    <row r="39" spans="2:9" ht="43.5">
      <c r="B39" s="498" t="s">
        <v>22</v>
      </c>
      <c r="C39" s="499" t="s">
        <v>19</v>
      </c>
      <c r="D39" s="499" t="s">
        <v>660</v>
      </c>
      <c r="E39" s="500" t="s">
        <v>658</v>
      </c>
      <c r="F39" s="499" t="s">
        <v>18</v>
      </c>
      <c r="G39" s="501" t="s">
        <v>40</v>
      </c>
      <c r="H39" s="501" t="s">
        <v>42</v>
      </c>
      <c r="I39" s="502" t="s">
        <v>659</v>
      </c>
    </row>
    <row r="40" spans="2:9">
      <c r="B40" s="493" t="s">
        <v>493</v>
      </c>
      <c r="C40" s="512" t="s">
        <v>348</v>
      </c>
      <c r="D40" s="513" t="s">
        <v>720</v>
      </c>
      <c r="E40" s="513" t="s">
        <v>720</v>
      </c>
      <c r="F40" s="512" t="s">
        <v>535</v>
      </c>
      <c r="G40" s="514">
        <v>2504.0633727599998</v>
      </c>
      <c r="H40" s="514">
        <v>2405.7995411421284</v>
      </c>
      <c r="I40" s="515">
        <v>6.2454100382429711E-3</v>
      </c>
    </row>
    <row r="41" spans="2:9">
      <c r="B41" s="503" t="s">
        <v>534</v>
      </c>
      <c r="C41" s="316" t="s">
        <v>360</v>
      </c>
      <c r="D41" s="504" t="s">
        <v>720</v>
      </c>
      <c r="E41" s="504" t="s">
        <v>720</v>
      </c>
      <c r="F41" s="316" t="s">
        <v>106</v>
      </c>
      <c r="G41" s="12">
        <v>2440.1167694000001</v>
      </c>
      <c r="H41" s="12">
        <v>2478.811495908838</v>
      </c>
      <c r="I41" s="505">
        <v>-1.0897898897716862E-2</v>
      </c>
    </row>
    <row r="42" spans="2:9">
      <c r="B42" s="503" t="s">
        <v>495</v>
      </c>
      <c r="C42" s="316" t="s">
        <v>378</v>
      </c>
      <c r="D42" s="504" t="s">
        <v>720</v>
      </c>
      <c r="E42" s="504" t="s">
        <v>720</v>
      </c>
      <c r="F42" s="316" t="s">
        <v>106</v>
      </c>
      <c r="G42" s="12">
        <v>1408.50680076</v>
      </c>
      <c r="H42" s="12">
        <v>1367.626804988</v>
      </c>
      <c r="I42" s="505">
        <v>0.29275032746635365</v>
      </c>
    </row>
    <row r="43" spans="2:9">
      <c r="B43" s="503" t="s">
        <v>494</v>
      </c>
      <c r="C43" s="316" t="s">
        <v>387</v>
      </c>
      <c r="D43" s="504" t="s">
        <v>720</v>
      </c>
      <c r="E43" s="504" t="s">
        <v>720</v>
      </c>
      <c r="F43" s="316" t="s">
        <v>106</v>
      </c>
      <c r="G43" s="12">
        <v>1792.39</v>
      </c>
      <c r="H43" s="12">
        <v>1795.5</v>
      </c>
      <c r="I43" s="505">
        <v>0.1528822055137844</v>
      </c>
    </row>
    <row r="44" spans="2:9">
      <c r="B44" s="503" t="s">
        <v>496</v>
      </c>
      <c r="C44" s="316" t="s">
        <v>408</v>
      </c>
      <c r="D44" s="504" t="s">
        <v>720</v>
      </c>
      <c r="E44" s="504" t="s">
        <v>720</v>
      </c>
      <c r="F44" s="316" t="s">
        <v>536</v>
      </c>
      <c r="G44" s="12">
        <v>2887.5</v>
      </c>
      <c r="H44" s="12">
        <v>2887.5</v>
      </c>
      <c r="I44" s="505">
        <v>0</v>
      </c>
    </row>
    <row r="45" spans="2:9">
      <c r="B45" s="503" t="s">
        <v>498</v>
      </c>
      <c r="C45" s="316" t="s">
        <v>300</v>
      </c>
      <c r="D45" s="504" t="s">
        <v>720</v>
      </c>
      <c r="E45" s="504" t="s">
        <v>720</v>
      </c>
      <c r="F45" s="316" t="s">
        <v>536</v>
      </c>
      <c r="G45" s="12">
        <v>1557.47577366</v>
      </c>
      <c r="H45" s="12">
        <v>1875.0197956848485</v>
      </c>
      <c r="I45" s="505">
        <v>9.2470679357187002E-2</v>
      </c>
    </row>
    <row r="46" spans="2:9">
      <c r="B46" s="503" t="s">
        <v>502</v>
      </c>
      <c r="C46" s="316" t="s">
        <v>541</v>
      </c>
      <c r="D46" s="504" t="s">
        <v>720</v>
      </c>
      <c r="E46" s="504" t="s">
        <v>720</v>
      </c>
      <c r="F46" s="316" t="s">
        <v>535</v>
      </c>
      <c r="G46" s="12">
        <v>2637.7159398917647</v>
      </c>
      <c r="H46" s="12">
        <v>1957.6599981120003</v>
      </c>
      <c r="I46" s="505">
        <v>0.30329878491927942</v>
      </c>
    </row>
    <row r="47" spans="2:9">
      <c r="B47" s="503" t="s">
        <v>505</v>
      </c>
      <c r="C47" s="316" t="s">
        <v>445</v>
      </c>
      <c r="D47" s="504" t="s">
        <v>720</v>
      </c>
      <c r="E47" s="504" t="s">
        <v>720</v>
      </c>
      <c r="F47" s="316" t="s">
        <v>106</v>
      </c>
      <c r="G47" s="12">
        <v>1951.0758623600002</v>
      </c>
      <c r="H47" s="12">
        <v>1718.0663749136897</v>
      </c>
      <c r="I47" s="505">
        <v>6.0848682320428837E-2</v>
      </c>
    </row>
    <row r="48" spans="2:9">
      <c r="H48">
        <f>MEDIAN(H40:H47)</f>
        <v>1916.3398968984243</v>
      </c>
    </row>
  </sheetData>
  <conditionalFormatting sqref="B40:I47">
    <cfRule type="expression" dxfId="4" priority="1">
      <formula>MOD(ROW(),2)=0</formula>
    </cfRule>
  </conditionalFormatting>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AA16-97F6-4C6B-86B2-E738B3E7682E}">
  <sheetPr>
    <tabColor theme="4"/>
    <pageSetUpPr autoPageBreaks="0"/>
  </sheetPr>
  <dimension ref="B2:F34"/>
  <sheetViews>
    <sheetView workbookViewId="0"/>
  </sheetViews>
  <sheetFormatPr defaultRowHeight="14.5" outlineLevelRow="1"/>
  <cols>
    <col min="2" max="2" width="26.26953125" bestFit="1" customWidth="1"/>
    <col min="3" max="5" width="15.7265625" customWidth="1"/>
    <col min="6" max="6" width="10.81640625" customWidth="1"/>
  </cols>
  <sheetData>
    <row r="2" spans="2:6" outlineLevel="1">
      <c r="B2" s="523" t="s">
        <v>662</v>
      </c>
      <c r="C2" s="741">
        <v>2023</v>
      </c>
      <c r="D2" s="525">
        <f>C2+1</f>
        <v>2024</v>
      </c>
      <c r="E2" s="525">
        <f>D2+1</f>
        <v>2025</v>
      </c>
    </row>
    <row r="3" spans="2:6" outlineLevel="1">
      <c r="B3" s="522" t="str">
        <f>B14</f>
        <v>75th Percentile</v>
      </c>
      <c r="C3" s="742" t="s">
        <v>663</v>
      </c>
      <c r="D3" s="157" t="s">
        <v>780</v>
      </c>
      <c r="E3" s="157" t="s">
        <v>782</v>
      </c>
    </row>
    <row r="4" spans="2:6" outlineLevel="1">
      <c r="B4" s="522" t="str">
        <f>B15</f>
        <v>Median</v>
      </c>
      <c r="C4" s="742" t="s">
        <v>664</v>
      </c>
      <c r="D4" s="157" t="s">
        <v>667</v>
      </c>
      <c r="E4" s="157" t="s">
        <v>668</v>
      </c>
    </row>
    <row r="5" spans="2:6" outlineLevel="1">
      <c r="B5" s="522" t="str">
        <f>B16</f>
        <v>25th Percentile</v>
      </c>
      <c r="C5" s="742" t="s">
        <v>665</v>
      </c>
      <c r="D5" s="157" t="s">
        <v>669</v>
      </c>
      <c r="E5" s="157" t="s">
        <v>670</v>
      </c>
    </row>
    <row r="6" spans="2:6" outlineLevel="1">
      <c r="B6" s="522" t="str">
        <f>B17</f>
        <v>Average</v>
      </c>
      <c r="C6" s="742" t="s">
        <v>666</v>
      </c>
      <c r="D6" s="157" t="s">
        <v>671</v>
      </c>
      <c r="E6" s="157" t="s">
        <v>672</v>
      </c>
    </row>
    <row r="7" spans="2:6" outlineLevel="1">
      <c r="B7" s="522" t="str">
        <f>B18</f>
        <v>Hudbay Minerals Inc.</v>
      </c>
      <c r="C7" s="742" t="s">
        <v>690</v>
      </c>
      <c r="D7" s="157" t="s">
        <v>781</v>
      </c>
      <c r="E7" s="157" t="s">
        <v>781</v>
      </c>
    </row>
    <row r="8" spans="2:6" outlineLevel="1"/>
    <row r="10" spans="2:6">
      <c r="C10" s="519" t="s">
        <v>277</v>
      </c>
    </row>
    <row r="11" spans="2:6" ht="15" customHeight="1">
      <c r="B11" s="76"/>
      <c r="C11" s="518" t="s">
        <v>68</v>
      </c>
      <c r="D11" s="78"/>
      <c r="E11" s="77"/>
    </row>
    <row r="12" spans="2:6" ht="30">
      <c r="B12" s="76"/>
      <c r="C12" s="75" t="s">
        <v>716</v>
      </c>
      <c r="D12" s="75" t="s">
        <v>717</v>
      </c>
      <c r="E12" s="75" t="s">
        <v>718</v>
      </c>
    </row>
    <row r="13" spans="2:6">
      <c r="B13" s="74" t="s">
        <v>67</v>
      </c>
      <c r="C13" s="73"/>
      <c r="D13" s="73"/>
      <c r="E13" s="73"/>
    </row>
    <row r="14" spans="2:6">
      <c r="B14" s="67" t="s">
        <v>9</v>
      </c>
      <c r="C14" s="737">
        <v>2479.994840788167</v>
      </c>
      <c r="D14" s="72" cm="1">
        <f t="array" aca="1" ref="D14" ca="1">INDIRECT("'"&amp;$C$10&amp;"'!"&amp;D3)</f>
        <v>2699.7048683100002</v>
      </c>
      <c r="E14" s="72" cm="1">
        <f t="array" aca="1" ref="E14" ca="1">INDIRECT("'"&amp;$C$10&amp;"'!"&amp;E3)</f>
        <v>2780.6960143592996</v>
      </c>
      <c r="F14" t="s">
        <v>713</v>
      </c>
    </row>
    <row r="15" spans="2:6">
      <c r="B15" s="65" t="s">
        <v>8</v>
      </c>
      <c r="C15" s="738">
        <v>2156.25</v>
      </c>
      <c r="D15" s="64" cm="1">
        <f t="array" aca="1" ref="D15" ca="1">INDIRECT("'"&amp;$C$10&amp;"'!"&amp;D4)</f>
        <v>2471.4075624090606</v>
      </c>
      <c r="E15" s="64" cm="1">
        <f t="array" aca="1" ref="E15" ca="1">INDIRECT("'"&amp;$C$10&amp;"'!"&amp;E4)</f>
        <v>2603.8725688303662</v>
      </c>
      <c r="F15" s="572">
        <f ca="1">D15/C15-1</f>
        <v>0.14616002894333247</v>
      </c>
    </row>
    <row r="16" spans="2:6">
      <c r="B16" s="63" t="s">
        <v>7</v>
      </c>
      <c r="C16" s="738">
        <v>2005.41</v>
      </c>
      <c r="D16" s="64" cm="1">
        <f t="array" aca="1" ref="D16" ca="1">INDIRECT("'"&amp;$C$10&amp;"'!"&amp;D5)</f>
        <v>2127.4594999999999</v>
      </c>
      <c r="E16" s="64" cm="1">
        <f t="array" aca="1" ref="E16" ca="1">INDIRECT("'"&amp;$C$10&amp;"'!"&amp;E5)</f>
        <v>2191.283285</v>
      </c>
      <c r="F16" s="732" t="s">
        <v>62</v>
      </c>
    </row>
    <row r="17" spans="2:6">
      <c r="B17" s="61" t="s">
        <v>6</v>
      </c>
      <c r="C17" s="739">
        <v>2259.9220784689046</v>
      </c>
      <c r="D17" s="64" cm="1">
        <f t="array" aca="1" ref="D17" ca="1">INDIRECT("'"&amp;$C$10&amp;"'!"&amp;D6)</f>
        <v>2426.1705153423964</v>
      </c>
      <c r="E17" s="60" cm="1">
        <f t="array" aca="1" ref="E17" ca="1">INDIRECT("'"&amp;$C$10&amp;"'!"&amp;E6)</f>
        <v>2516.0841360159611</v>
      </c>
      <c r="F17" s="744">
        <f ca="1">D18/D15-1</f>
        <v>-5.1714482205629131E-2</v>
      </c>
    </row>
    <row r="18" spans="2:6">
      <c r="B18" s="59" t="str">
        <f>CEO!C39</f>
        <v>Hudbay Minerals Inc.</v>
      </c>
      <c r="C18" s="740">
        <v>2232</v>
      </c>
      <c r="D18" s="58" cm="1">
        <f t="array" aca="1" ref="D18" ca="1">INDIRECT("'"&amp;$C$10&amp;"'!"&amp;D7)</f>
        <v>2343.6</v>
      </c>
      <c r="E18" s="58" cm="1">
        <f t="array" aca="1" ref="E18" ca="1">INDIRECT("'"&amp;$C$10&amp;"'!"&amp;E7)</f>
        <v>2343.6</v>
      </c>
      <c r="F18" s="744">
        <f ca="1">D18/C18-1</f>
        <v>5.0000000000000044E-2</v>
      </c>
    </row>
    <row r="19" spans="2:6">
      <c r="B19" s="71"/>
      <c r="C19" s="70"/>
      <c r="D19" s="70"/>
      <c r="E19" s="70"/>
    </row>
    <row r="20" spans="2:6">
      <c r="B20" s="69" t="s">
        <v>66</v>
      </c>
      <c r="C20" s="68"/>
      <c r="D20" s="68"/>
      <c r="E20" s="68"/>
    </row>
    <row r="21" spans="2:6">
      <c r="B21" s="67" t="s">
        <v>65</v>
      </c>
      <c r="C21" s="66">
        <f>C16</f>
        <v>2005.41</v>
      </c>
      <c r="D21" s="66">
        <f ca="1">D16</f>
        <v>2127.4594999999999</v>
      </c>
      <c r="E21" s="66">
        <f ca="1">E16</f>
        <v>2191.283285</v>
      </c>
    </row>
    <row r="22" spans="2:6">
      <c r="B22" s="65" t="s">
        <v>64</v>
      </c>
      <c r="C22" s="64">
        <f>(C15-C16)</f>
        <v>150.83999999999992</v>
      </c>
      <c r="D22" s="64">
        <f ca="1">(D15-D16)</f>
        <v>343.94806240906064</v>
      </c>
      <c r="E22" s="64">
        <f ca="1">(E15-E16)</f>
        <v>412.58928383036618</v>
      </c>
    </row>
    <row r="23" spans="2:6">
      <c r="B23" s="63" t="s">
        <v>63</v>
      </c>
      <c r="C23" s="62">
        <f>(C14-C15)</f>
        <v>323.74484078816704</v>
      </c>
      <c r="D23" s="62">
        <f ca="1">(D14-D15)</f>
        <v>228.29730590093959</v>
      </c>
      <c r="E23" s="62">
        <f ca="1">(E14-E15)</f>
        <v>176.82344552893346</v>
      </c>
    </row>
    <row r="24" spans="2:6">
      <c r="B24" s="61" t="s">
        <v>6</v>
      </c>
      <c r="C24" s="60">
        <f t="shared" ref="C24:E25" si="0">C17</f>
        <v>2259.9220784689046</v>
      </c>
      <c r="D24" s="60">
        <f t="shared" ca="1" si="0"/>
        <v>2426.1705153423964</v>
      </c>
      <c r="E24" s="60">
        <f t="shared" ca="1" si="0"/>
        <v>2516.0841360159611</v>
      </c>
    </row>
    <row r="25" spans="2:6">
      <c r="B25" s="59" t="str">
        <f>B18</f>
        <v>Hudbay Minerals Inc.</v>
      </c>
      <c r="C25" s="58">
        <f t="shared" si="0"/>
        <v>2232</v>
      </c>
      <c r="D25" s="58">
        <f t="shared" ca="1" si="0"/>
        <v>2343.6</v>
      </c>
      <c r="E25" s="58">
        <f t="shared" ca="1" si="0"/>
        <v>2343.6</v>
      </c>
    </row>
    <row r="27" spans="2:6">
      <c r="B27" s="57" t="s">
        <v>62</v>
      </c>
      <c r="C27" s="56">
        <f>C18-C15</f>
        <v>75.75</v>
      </c>
      <c r="D27" s="56">
        <f ca="1">D18-D15</f>
        <v>-127.80756240906067</v>
      </c>
      <c r="E27" s="56">
        <f ca="1">E18-E15</f>
        <v>-260.27256883036625</v>
      </c>
    </row>
    <row r="29" spans="2:6">
      <c r="B29" s="520" t="s">
        <v>695</v>
      </c>
      <c r="C29" s="521"/>
      <c r="D29" s="521"/>
      <c r="E29" s="521"/>
    </row>
    <row r="30" spans="2:6">
      <c r="B30" t="s">
        <v>691</v>
      </c>
    </row>
    <row r="31" spans="2:6">
      <c r="B31" t="s">
        <v>692</v>
      </c>
      <c r="C31" s="54"/>
      <c r="E31" s="54"/>
    </row>
    <row r="32" spans="2:6">
      <c r="B32" t="s">
        <v>693</v>
      </c>
      <c r="C32" s="54"/>
      <c r="E32" s="54"/>
    </row>
    <row r="33" spans="2:4">
      <c r="B33" t="s">
        <v>694</v>
      </c>
    </row>
    <row r="34" spans="2:4">
      <c r="C34" s="602">
        <f>C14-C15</f>
        <v>323.74484078816704</v>
      </c>
      <c r="D34" s="602">
        <f ca="1">D14-D15</f>
        <v>228.29730590093959</v>
      </c>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36F9-0ADB-43D2-841D-13D0E075CF39}">
  <sheetPr>
    <tabColor theme="4"/>
    <pageSetUpPr autoPageBreaks="0"/>
  </sheetPr>
  <dimension ref="B2:N59"/>
  <sheetViews>
    <sheetView topLeftCell="A2" workbookViewId="0">
      <selection activeCell="F18" sqref="F18"/>
    </sheetView>
  </sheetViews>
  <sheetFormatPr defaultRowHeight="14.5" outlineLevelRow="1"/>
  <cols>
    <col min="2" max="2" width="26.26953125" bestFit="1" customWidth="1"/>
    <col min="3" max="8" width="15.7265625" customWidth="1"/>
    <col min="14" max="14" width="11.1796875" bestFit="1" customWidth="1"/>
  </cols>
  <sheetData>
    <row r="2" spans="2:14" outlineLevel="1">
      <c r="B2" s="112" t="s">
        <v>662</v>
      </c>
      <c r="C2" s="530">
        <v>2023</v>
      </c>
      <c r="D2" s="530">
        <f>C2+1</f>
        <v>2024</v>
      </c>
      <c r="E2" s="530">
        <f>D2+1</f>
        <v>2025</v>
      </c>
      <c r="F2" s="531">
        <v>2023</v>
      </c>
      <c r="G2" s="530">
        <f>F2+1</f>
        <v>2024</v>
      </c>
      <c r="H2" s="532">
        <f>G2+1</f>
        <v>2025</v>
      </c>
    </row>
    <row r="3" spans="2:14" outlineLevel="1">
      <c r="B3" s="533" t="str">
        <f>B14</f>
        <v>75th Percentile</v>
      </c>
      <c r="C3" s="742" t="s">
        <v>663</v>
      </c>
      <c r="D3" s="157" t="s">
        <v>792</v>
      </c>
      <c r="E3" s="157" t="s">
        <v>796</v>
      </c>
      <c r="F3" s="747" t="s">
        <v>663</v>
      </c>
      <c r="G3" s="157" t="s">
        <v>667</v>
      </c>
      <c r="H3" s="534" t="s">
        <v>668</v>
      </c>
    </row>
    <row r="4" spans="2:14" outlineLevel="1">
      <c r="B4" s="533" t="str">
        <f>B15</f>
        <v>Median</v>
      </c>
      <c r="C4" s="742" t="s">
        <v>664</v>
      </c>
      <c r="D4" s="157" t="s">
        <v>793</v>
      </c>
      <c r="E4" s="157" t="s">
        <v>798</v>
      </c>
      <c r="F4" s="747" t="s">
        <v>664</v>
      </c>
      <c r="G4" s="157" t="s">
        <v>669</v>
      </c>
      <c r="H4" s="534" t="s">
        <v>670</v>
      </c>
    </row>
    <row r="5" spans="2:14" outlineLevel="1">
      <c r="B5" s="533" t="str">
        <f>B16</f>
        <v>25th Percentile</v>
      </c>
      <c r="C5" s="742" t="s">
        <v>665</v>
      </c>
      <c r="D5" s="157" t="s">
        <v>794</v>
      </c>
      <c r="E5" s="157" t="s">
        <v>799</v>
      </c>
      <c r="F5" s="747" t="s">
        <v>665</v>
      </c>
      <c r="G5" s="157" t="s">
        <v>671</v>
      </c>
      <c r="H5" s="534" t="s">
        <v>672</v>
      </c>
    </row>
    <row r="6" spans="2:14" outlineLevel="1">
      <c r="B6" s="533" t="str">
        <f>B17</f>
        <v>Average</v>
      </c>
      <c r="C6" s="742" t="s">
        <v>666</v>
      </c>
      <c r="D6" s="157" t="s">
        <v>795</v>
      </c>
      <c r="E6" s="157" t="s">
        <v>800</v>
      </c>
      <c r="F6" s="747" t="s">
        <v>666</v>
      </c>
      <c r="G6" s="157" t="s">
        <v>673</v>
      </c>
      <c r="H6" s="534" t="s">
        <v>674</v>
      </c>
    </row>
    <row r="7" spans="2:14" outlineLevel="1">
      <c r="B7" s="535" t="str">
        <f>B18</f>
        <v>Hudbay Minerals Inc.</v>
      </c>
      <c r="C7" s="746" t="s">
        <v>690</v>
      </c>
      <c r="D7" s="524" t="s">
        <v>797</v>
      </c>
      <c r="E7" s="524" t="s">
        <v>797</v>
      </c>
      <c r="F7" s="748" t="s">
        <v>690</v>
      </c>
      <c r="G7" s="524" t="s">
        <v>675</v>
      </c>
      <c r="H7" s="536" t="s">
        <v>675</v>
      </c>
    </row>
    <row r="8" spans="2:14" outlineLevel="1"/>
    <row r="10" spans="2:14">
      <c r="C10" s="519" t="s">
        <v>468</v>
      </c>
      <c r="F10" s="519" t="s">
        <v>449</v>
      </c>
    </row>
    <row r="11" spans="2:14" ht="15" customHeight="1">
      <c r="B11" s="76"/>
      <c r="C11" s="518" t="s">
        <v>696</v>
      </c>
      <c r="D11" s="78"/>
      <c r="E11" s="78"/>
      <c r="F11" s="544" t="s">
        <v>697</v>
      </c>
      <c r="G11" s="528"/>
      <c r="H11" s="528"/>
    </row>
    <row r="12" spans="2:14" ht="30">
      <c r="B12" s="76"/>
      <c r="C12" s="75" t="s">
        <v>716</v>
      </c>
      <c r="D12" s="75" t="s">
        <v>717</v>
      </c>
      <c r="E12" s="75" t="s">
        <v>718</v>
      </c>
      <c r="F12" s="545" t="str">
        <f>C12</f>
        <v>2023 Target TDC</v>
      </c>
      <c r="G12" s="75" t="str">
        <f>D12</f>
        <v>2024 Target TDC</v>
      </c>
      <c r="H12" s="75" t="str">
        <f>E12</f>
        <v>2025E Target TDC</v>
      </c>
    </row>
    <row r="13" spans="2:14">
      <c r="B13" s="74" t="s">
        <v>67</v>
      </c>
      <c r="C13" s="73"/>
      <c r="D13" s="73"/>
      <c r="E13" s="73"/>
      <c r="F13" s="546"/>
      <c r="G13" s="73"/>
      <c r="H13" s="73"/>
      <c r="I13" s="529" t="s">
        <v>714</v>
      </c>
      <c r="J13" s="529"/>
      <c r="K13" s="529"/>
      <c r="L13" s="529" t="s">
        <v>715</v>
      </c>
      <c r="M13" s="529"/>
      <c r="N13" s="529"/>
    </row>
    <row r="14" spans="2:14">
      <c r="B14" s="67" t="s">
        <v>9</v>
      </c>
      <c r="C14" s="737">
        <v>1980.7227840480905</v>
      </c>
      <c r="D14" s="72" cm="1">
        <f t="array" aca="1" ref="D14" ca="1">INDIRECT("'"&amp;$C$10&amp;"'!"&amp;D3)</f>
        <v>2099.7557683374544</v>
      </c>
      <c r="E14" s="537" cm="1">
        <f t="array" aca="1" ref="E14" ca="1">INDIRECT("'"&amp;$C$10&amp;"'!"&amp;E3)</f>
        <v>2154.5281529310505</v>
      </c>
      <c r="F14" s="749">
        <v>2379.4356749999997</v>
      </c>
      <c r="G14" s="72" cm="1">
        <f t="array" aca="1" ref="G14" ca="1">INDIRECT("'"&amp;$F$10&amp;"'!"&amp;G3)</f>
        <v>2486.1915196150203</v>
      </c>
      <c r="H14" s="72" cm="1">
        <f t="array" aca="1" ref="H14" ca="1">INDIRECT("'"&amp;$F$10&amp;"'!"&amp;H3)</f>
        <v>2582.7045812814722</v>
      </c>
      <c r="I14" s="754" t="s">
        <v>726</v>
      </c>
      <c r="J14" s="742" t="s">
        <v>727</v>
      </c>
      <c r="K14" s="742" t="s">
        <v>728</v>
      </c>
      <c r="L14" s="754" t="s">
        <v>726</v>
      </c>
      <c r="M14" s="742" t="s">
        <v>727</v>
      </c>
      <c r="N14" s="742" t="s">
        <v>728</v>
      </c>
    </row>
    <row r="15" spans="2:14">
      <c r="B15" s="65" t="s">
        <v>8</v>
      </c>
      <c r="C15" s="738">
        <v>1476.6326545805</v>
      </c>
      <c r="D15" s="64" cm="1">
        <f t="array" aca="1" ref="D15" ca="1">INDIRECT("'"&amp;$C$10&amp;"'!"&amp;D4)</f>
        <v>1674.3244472631341</v>
      </c>
      <c r="E15" s="538" cm="1">
        <f t="array" aca="1" ref="E15" ca="1">INDIRECT("'"&amp;$C$10&amp;"'!"&amp;E4)</f>
        <v>1724.5541806810281</v>
      </c>
      <c r="F15" s="750">
        <v>1612.5354807714634</v>
      </c>
      <c r="G15" s="64" cm="1">
        <f t="array" aca="1" ref="G15" ca="1">INDIRECT("'"&amp;$F$10&amp;"'!"&amp;G4)</f>
        <v>1880.3622243831342</v>
      </c>
      <c r="H15" s="64" cm="1">
        <f t="array" aca="1" ref="H15" ca="1">INDIRECT("'"&amp;$F$10&amp;"'!"&amp;H4)</f>
        <v>1936.7730911146282</v>
      </c>
      <c r="I15" s="755">
        <f ca="1">D15/C15-1</f>
        <v>0.13388014417085792</v>
      </c>
      <c r="J15" s="744">
        <f ca="1">E15/D15-1</f>
        <v>3.0000000000000027E-2</v>
      </c>
      <c r="K15" s="753">
        <f>H48</f>
        <v>1486.9168072812499</v>
      </c>
      <c r="L15" s="755">
        <f ca="1">G15/F15-1</f>
        <v>0.16609044998100631</v>
      </c>
      <c r="M15" s="744">
        <f ca="1">H15/G15-1</f>
        <v>3.0000000000000027E-2</v>
      </c>
      <c r="N15" s="753">
        <f>H59</f>
        <v>1956.55</v>
      </c>
    </row>
    <row r="16" spans="2:14">
      <c r="B16" s="63" t="s">
        <v>7</v>
      </c>
      <c r="C16" s="738">
        <v>1380.5025000000001</v>
      </c>
      <c r="D16" s="64" cm="1">
        <f t="array" aca="1" ref="D16" ca="1">INDIRECT("'"&amp;$C$10&amp;"'!"&amp;D5)</f>
        <v>1462.2595000000001</v>
      </c>
      <c r="E16" s="538" cm="1">
        <f t="array" aca="1" ref="E16" ca="1">INDIRECT("'"&amp;$C$10&amp;"'!"&amp;E5)</f>
        <v>1506.127285</v>
      </c>
      <c r="F16" s="750">
        <v>1455.9375</v>
      </c>
      <c r="G16" s="64" cm="1">
        <f t="array" aca="1" ref="G16" ca="1">INDIRECT("'"&amp;$F$10&amp;"'!"&amp;G5)</f>
        <v>1621.8000000000002</v>
      </c>
      <c r="H16" s="64" cm="1">
        <f t="array" aca="1" ref="H16" ca="1">INDIRECT("'"&amp;$F$10&amp;"'!"&amp;H5)</f>
        <v>1670.454</v>
      </c>
      <c r="I16" s="732" t="s">
        <v>62</v>
      </c>
      <c r="J16" s="732"/>
      <c r="K16" s="732" t="s">
        <v>713</v>
      </c>
      <c r="L16" s="732" t="s">
        <v>62</v>
      </c>
      <c r="M16" s="732"/>
      <c r="N16" s="732" t="s">
        <v>729</v>
      </c>
    </row>
    <row r="17" spans="2:14">
      <c r="B17" s="61" t="s">
        <v>6</v>
      </c>
      <c r="C17" s="739">
        <v>1683.0830305862385</v>
      </c>
      <c r="D17" s="64" cm="1">
        <f t="array" aca="1" ref="D17" ca="1">INDIRECT("'"&amp;$C$10&amp;"'!"&amp;D6)</f>
        <v>1858.9752553086805</v>
      </c>
      <c r="E17" s="539" cm="1">
        <f t="array" aca="1" ref="E17" ca="1">INDIRECT("'"&amp;$C$10&amp;"'!"&amp;E6)</f>
        <v>1913.374464891853</v>
      </c>
      <c r="F17" s="751">
        <v>1863.5116129900366</v>
      </c>
      <c r="G17" s="64" cm="1">
        <f t="array" aca="1" ref="G17" ca="1">INDIRECT("'"&amp;$F$10&amp;"'!"&amp;G6)</f>
        <v>2012.1751832934981</v>
      </c>
      <c r="H17" s="60" cm="1">
        <f t="array" aca="1" ref="H17" ca="1">INDIRECT("'"&amp;$F$10&amp;"'!"&amp;H6)</f>
        <v>2081.9385066605696</v>
      </c>
      <c r="I17" s="744">
        <f ca="1">D18/D15-1</f>
        <v>-2.6239058585656339E-2</v>
      </c>
      <c r="J17" s="744">
        <f ca="1">E18/E15-1</f>
        <v>-5.4601027753064413E-2</v>
      </c>
      <c r="K17" s="744">
        <f>K15/C15-1</f>
        <v>6.9645979105559253E-3</v>
      </c>
      <c r="L17" s="744">
        <f ca="1">G18/G15-1</f>
        <v>-0.1329374049008768</v>
      </c>
      <c r="M17" s="744">
        <f ca="1">H18/H15-1</f>
        <v>-0.15819165524356971</v>
      </c>
      <c r="N17" s="744">
        <f>N15/F15-1</f>
        <v>0.21333764331433769</v>
      </c>
    </row>
    <row r="18" spans="2:14">
      <c r="B18" s="59" t="str">
        <f>CEO!C39</f>
        <v>Hudbay Minerals Inc.</v>
      </c>
      <c r="C18" s="740">
        <v>1582.9059999999999</v>
      </c>
      <c r="D18" s="58" cm="1">
        <f t="array" aca="1" ref="D18" ca="1">INDIRECT("'"&amp;$C$10&amp;"'!"&amp;D7)</f>
        <v>1630.39175</v>
      </c>
      <c r="E18" s="540" cm="1">
        <f t="array" aca="1" ref="E18" ca="1">INDIRECT("'"&amp;$C$10&amp;"'!"&amp;E7)</f>
        <v>1630.39175</v>
      </c>
      <c r="F18" s="752">
        <v>1582.9059999999999</v>
      </c>
      <c r="G18" s="58" cm="1">
        <f t="array" aca="1" ref="G18" ca="1">INDIRECT("'"&amp;$F$10&amp;"'!"&amp;G7)</f>
        <v>1630.39175</v>
      </c>
      <c r="H18" s="58" cm="1">
        <f t="array" aca="1" ref="H18" ca="1">INDIRECT("'"&amp;$F$10&amp;"'!"&amp;H7)</f>
        <v>1630.39175</v>
      </c>
      <c r="I18" s="744">
        <f ca="1">D18/C18-1</f>
        <v>2.9999096598281927E-2</v>
      </c>
      <c r="J18" s="732"/>
      <c r="K18" s="732"/>
      <c r="L18" s="732"/>
      <c r="M18" s="732"/>
    </row>
    <row r="19" spans="2:14">
      <c r="B19" s="71"/>
      <c r="C19" s="70"/>
      <c r="D19" s="70"/>
      <c r="E19" s="70"/>
      <c r="F19" s="550"/>
      <c r="G19" s="70"/>
      <c r="H19" s="70"/>
    </row>
    <row r="20" spans="2:14">
      <c r="B20" s="69" t="s">
        <v>66</v>
      </c>
      <c r="C20" s="68"/>
      <c r="D20" s="68"/>
      <c r="E20" s="68"/>
      <c r="F20" s="551"/>
      <c r="G20" s="68"/>
      <c r="H20" s="68"/>
    </row>
    <row r="21" spans="2:14">
      <c r="B21" s="67" t="s">
        <v>65</v>
      </c>
      <c r="C21" s="66">
        <f t="shared" ref="C21:H21" si="0">C16</f>
        <v>1380.5025000000001</v>
      </c>
      <c r="D21" s="66">
        <f t="shared" ca="1" si="0"/>
        <v>1462.2595000000001</v>
      </c>
      <c r="E21" s="541">
        <f t="shared" ca="1" si="0"/>
        <v>1506.127285</v>
      </c>
      <c r="F21" s="552">
        <f t="shared" si="0"/>
        <v>1455.9375</v>
      </c>
      <c r="G21" s="66">
        <f t="shared" ca="1" si="0"/>
        <v>1621.8000000000002</v>
      </c>
      <c r="H21" s="66">
        <f t="shared" ca="1" si="0"/>
        <v>1670.454</v>
      </c>
    </row>
    <row r="22" spans="2:14">
      <c r="B22" s="65" t="s">
        <v>64</v>
      </c>
      <c r="C22" s="64">
        <f t="shared" ref="C22:H22" si="1">(C15-C16)</f>
        <v>96.130154580499948</v>
      </c>
      <c r="D22" s="64">
        <f t="shared" ca="1" si="1"/>
        <v>212.06494726313394</v>
      </c>
      <c r="E22" s="538">
        <f t="shared" ca="1" si="1"/>
        <v>218.4268956810281</v>
      </c>
      <c r="F22" s="547">
        <f t="shared" si="1"/>
        <v>156.59798077146343</v>
      </c>
      <c r="G22" s="64">
        <f t="shared" ca="1" si="1"/>
        <v>258.56222438313398</v>
      </c>
      <c r="H22" s="64">
        <f t="shared" ca="1" si="1"/>
        <v>266.31909111462824</v>
      </c>
    </row>
    <row r="23" spans="2:14">
      <c r="B23" s="63" t="s">
        <v>63</v>
      </c>
      <c r="C23" s="62">
        <f t="shared" ref="C23:H23" si="2">(C14-C15)</f>
        <v>504.09012946759049</v>
      </c>
      <c r="D23" s="62">
        <f t="shared" ca="1" si="2"/>
        <v>425.43132107432029</v>
      </c>
      <c r="E23" s="542">
        <f t="shared" ca="1" si="2"/>
        <v>429.97397225002237</v>
      </c>
      <c r="F23" s="553">
        <f t="shared" si="2"/>
        <v>766.90019422853629</v>
      </c>
      <c r="G23" s="62">
        <f t="shared" ca="1" si="2"/>
        <v>605.82929523188614</v>
      </c>
      <c r="H23" s="62">
        <f t="shared" ca="1" si="2"/>
        <v>645.93149016684401</v>
      </c>
    </row>
    <row r="24" spans="2:14">
      <c r="B24" s="61" t="s">
        <v>6</v>
      </c>
      <c r="C24" s="60">
        <f t="shared" ref="C24:E25" si="3">C17</f>
        <v>1683.0830305862385</v>
      </c>
      <c r="D24" s="60">
        <f t="shared" ca="1" si="3"/>
        <v>1858.9752553086805</v>
      </c>
      <c r="E24" s="539">
        <f t="shared" ca="1" si="3"/>
        <v>1913.374464891853</v>
      </c>
      <c r="F24" s="548">
        <f t="shared" ref="F24:H25" si="4">F17</f>
        <v>1863.5116129900366</v>
      </c>
      <c r="G24" s="60">
        <f t="shared" ca="1" si="4"/>
        <v>2012.1751832934981</v>
      </c>
      <c r="H24" s="60">
        <f t="shared" ca="1" si="4"/>
        <v>2081.9385066605696</v>
      </c>
    </row>
    <row r="25" spans="2:14">
      <c r="B25" s="59" t="str">
        <f>B18</f>
        <v>Hudbay Minerals Inc.</v>
      </c>
      <c r="C25" s="58">
        <f t="shared" si="3"/>
        <v>1582.9059999999999</v>
      </c>
      <c r="D25" s="58">
        <f t="shared" ca="1" si="3"/>
        <v>1630.39175</v>
      </c>
      <c r="E25" s="540">
        <f t="shared" ca="1" si="3"/>
        <v>1630.39175</v>
      </c>
      <c r="F25" s="549">
        <f t="shared" si="4"/>
        <v>1582.9059999999999</v>
      </c>
      <c r="G25" s="58">
        <f t="shared" ca="1" si="4"/>
        <v>1630.39175</v>
      </c>
      <c r="H25" s="58">
        <f t="shared" ca="1" si="4"/>
        <v>1630.39175</v>
      </c>
    </row>
    <row r="26" spans="2:14">
      <c r="F26" s="554"/>
    </row>
    <row r="27" spans="2:14">
      <c r="B27" s="57" t="s">
        <v>62</v>
      </c>
      <c r="C27" s="56">
        <f t="shared" ref="C27:H27" si="5">C18-C15</f>
        <v>106.27334541949995</v>
      </c>
      <c r="D27" s="56">
        <f t="shared" ca="1" si="5"/>
        <v>-43.93269726313406</v>
      </c>
      <c r="E27" s="543">
        <f t="shared" ca="1" si="5"/>
        <v>-94.162430681028127</v>
      </c>
      <c r="F27" s="555">
        <f t="shared" si="5"/>
        <v>-29.629480771463477</v>
      </c>
      <c r="G27" s="56">
        <f t="shared" ca="1" si="5"/>
        <v>-249.97047438313416</v>
      </c>
      <c r="H27" s="56">
        <f t="shared" ca="1" si="5"/>
        <v>-306.38134111462819</v>
      </c>
    </row>
    <row r="29" spans="2:14">
      <c r="B29" s="520" t="s">
        <v>695</v>
      </c>
      <c r="C29" s="521"/>
      <c r="D29" s="521"/>
      <c r="E29" s="521"/>
      <c r="F29" s="529"/>
      <c r="G29" s="529"/>
      <c r="H29" s="529"/>
    </row>
    <row r="30" spans="2:14">
      <c r="B30" t="s">
        <v>691</v>
      </c>
    </row>
    <row r="31" spans="2:14">
      <c r="B31" t="s">
        <v>692</v>
      </c>
      <c r="C31" s="54"/>
      <c r="E31" s="54"/>
      <c r="F31" s="54"/>
      <c r="G31" s="54"/>
      <c r="H31" s="54"/>
    </row>
    <row r="32" spans="2:14">
      <c r="B32" t="s">
        <v>693</v>
      </c>
      <c r="C32" s="54"/>
      <c r="E32" s="54"/>
      <c r="F32" s="54"/>
      <c r="G32" s="54"/>
      <c r="H32" s="54"/>
    </row>
    <row r="33" spans="2:9">
      <c r="B33" t="s">
        <v>694</v>
      </c>
    </row>
    <row r="38" spans="2:9">
      <c r="B38" s="495" t="s">
        <v>657</v>
      </c>
      <c r="C38" s="496"/>
      <c r="D38" s="496"/>
      <c r="E38" s="496"/>
      <c r="F38" s="496"/>
      <c r="G38" s="496"/>
      <c r="H38" s="496"/>
      <c r="I38" s="497"/>
    </row>
    <row r="39" spans="2:9" ht="43.5">
      <c r="B39" s="498" t="s">
        <v>22</v>
      </c>
      <c r="C39" s="499" t="s">
        <v>19</v>
      </c>
      <c r="D39" s="499" t="s">
        <v>660</v>
      </c>
      <c r="E39" s="500" t="s">
        <v>658</v>
      </c>
      <c r="F39" s="499" t="s">
        <v>18</v>
      </c>
      <c r="G39" s="501" t="s">
        <v>40</v>
      </c>
      <c r="H39" s="501" t="s">
        <v>42</v>
      </c>
      <c r="I39" s="502" t="s">
        <v>659</v>
      </c>
    </row>
    <row r="40" spans="2:9">
      <c r="B40" s="503" t="s">
        <v>534</v>
      </c>
      <c r="C40" s="316" t="s">
        <v>363</v>
      </c>
      <c r="D40" s="504" t="s">
        <v>720</v>
      </c>
      <c r="E40" s="504" t="s">
        <v>720</v>
      </c>
      <c r="F40" s="316" t="s">
        <v>586</v>
      </c>
      <c r="G40" s="12">
        <v>1940.0917381925253</v>
      </c>
      <c r="H40" s="12">
        <v>1851.4828120641209</v>
      </c>
      <c r="I40" s="505">
        <v>5.5266448268244117E-2</v>
      </c>
    </row>
    <row r="41" spans="2:9">
      <c r="B41" s="503" t="s">
        <v>494</v>
      </c>
      <c r="C41" s="316" t="s">
        <v>388</v>
      </c>
      <c r="D41" s="504" t="s">
        <v>720</v>
      </c>
      <c r="E41" s="504" t="s">
        <v>720</v>
      </c>
      <c r="F41" s="316" t="s">
        <v>586</v>
      </c>
      <c r="G41" s="12">
        <v>2497.875</v>
      </c>
      <c r="H41" s="12">
        <v>2383.1</v>
      </c>
      <c r="I41" s="505">
        <v>6.4831521967185557E-2</v>
      </c>
    </row>
    <row r="42" spans="2:9">
      <c r="B42" s="503" t="s">
        <v>497</v>
      </c>
      <c r="C42" s="316" t="s">
        <v>398</v>
      </c>
      <c r="D42" s="504" t="s">
        <v>720</v>
      </c>
      <c r="E42" s="504" t="s">
        <v>720</v>
      </c>
      <c r="F42" s="316" t="s">
        <v>589</v>
      </c>
      <c r="G42" s="12">
        <v>1365.885</v>
      </c>
      <c r="H42" s="12">
        <v>1411.15</v>
      </c>
      <c r="I42" s="505">
        <v>4.0000000000000036E-2</v>
      </c>
    </row>
    <row r="43" spans="2:9">
      <c r="B43" s="503" t="s">
        <v>501</v>
      </c>
      <c r="C43" s="316" t="s">
        <v>295</v>
      </c>
      <c r="D43" s="504" t="s">
        <v>720</v>
      </c>
      <c r="E43" s="504" t="s">
        <v>720</v>
      </c>
      <c r="F43" s="316" t="s">
        <v>593</v>
      </c>
      <c r="G43" s="12">
        <v>1301.413</v>
      </c>
      <c r="H43" s="12">
        <v>1288.56</v>
      </c>
      <c r="I43" s="505">
        <v>3.0000000000000249E-2</v>
      </c>
    </row>
    <row r="44" spans="2:9">
      <c r="B44" s="503" t="s">
        <v>496</v>
      </c>
      <c r="C44" s="316" t="s">
        <v>579</v>
      </c>
      <c r="D44" s="504" t="s">
        <v>720</v>
      </c>
      <c r="E44" s="504" t="s">
        <v>720</v>
      </c>
      <c r="F44" s="316" t="s">
        <v>588</v>
      </c>
      <c r="G44" s="12">
        <v>2295</v>
      </c>
      <c r="H44" s="12">
        <v>2677.5830258302585</v>
      </c>
      <c r="I44" s="505">
        <v>4.2239448751076658E-2</v>
      </c>
    </row>
    <row r="45" spans="2:9">
      <c r="B45" s="503" t="s">
        <v>498</v>
      </c>
      <c r="C45" s="316" t="s">
        <v>580</v>
      </c>
      <c r="D45" s="504" t="s">
        <v>720</v>
      </c>
      <c r="E45" s="504" t="s">
        <v>720</v>
      </c>
      <c r="F45" s="316" t="s">
        <v>590</v>
      </c>
      <c r="G45" s="12">
        <v>1230.68871128</v>
      </c>
      <c r="H45" s="12">
        <v>1488.8336145624999</v>
      </c>
      <c r="I45" s="505">
        <v>0.20010649749556797</v>
      </c>
    </row>
    <row r="46" spans="2:9">
      <c r="B46" s="503" t="s">
        <v>500</v>
      </c>
      <c r="C46" s="316" t="s">
        <v>582</v>
      </c>
      <c r="D46" s="504" t="s">
        <v>720</v>
      </c>
      <c r="E46" s="504" t="s">
        <v>720</v>
      </c>
      <c r="F46" s="316" t="s">
        <v>592</v>
      </c>
      <c r="G46" s="12">
        <v>1560.5719999999999</v>
      </c>
      <c r="H46" s="12">
        <v>1485</v>
      </c>
      <c r="I46" s="505">
        <v>5.1777777777777922E-2</v>
      </c>
    </row>
    <row r="47" spans="2:9">
      <c r="B47" s="494" t="s">
        <v>504</v>
      </c>
      <c r="C47" s="506" t="s">
        <v>584</v>
      </c>
      <c r="D47" s="507" t="s">
        <v>720</v>
      </c>
      <c r="E47" s="507" t="s">
        <v>720</v>
      </c>
      <c r="F47" s="506" t="s">
        <v>595</v>
      </c>
      <c r="G47" s="508">
        <v>1448.8530000000001</v>
      </c>
      <c r="H47" s="508">
        <v>1446.25</v>
      </c>
      <c r="I47" s="509">
        <v>0</v>
      </c>
    </row>
    <row r="48" spans="2:9">
      <c r="G48" t="s">
        <v>8</v>
      </c>
      <c r="H48" s="609">
        <f>MEDIAN(H40:H47)</f>
        <v>1486.9168072812499</v>
      </c>
    </row>
    <row r="51" spans="2:9">
      <c r="B51" s="495" t="s">
        <v>657</v>
      </c>
      <c r="C51" s="496"/>
      <c r="D51" s="496"/>
      <c r="E51" s="496"/>
      <c r="F51" s="496"/>
      <c r="G51" s="496"/>
      <c r="H51" s="496"/>
      <c r="I51" s="497"/>
    </row>
    <row r="52" spans="2:9" ht="43.5">
      <c r="B52" s="498" t="s">
        <v>22</v>
      </c>
      <c r="C52" s="499" t="s">
        <v>19</v>
      </c>
      <c r="D52" s="499" t="s">
        <v>660</v>
      </c>
      <c r="E52" s="500" t="s">
        <v>658</v>
      </c>
      <c r="F52" s="499" t="s">
        <v>18</v>
      </c>
      <c r="G52" s="501" t="s">
        <v>40</v>
      </c>
      <c r="H52" s="501" t="s">
        <v>42</v>
      </c>
      <c r="I52" s="502" t="s">
        <v>659</v>
      </c>
    </row>
    <row r="53" spans="2:9">
      <c r="B53" s="493" t="s">
        <v>493</v>
      </c>
      <c r="C53" s="512" t="s">
        <v>350</v>
      </c>
      <c r="D53" s="513" t="s">
        <v>720</v>
      </c>
      <c r="E53" s="513" t="s">
        <v>720</v>
      </c>
      <c r="F53" s="512" t="s">
        <v>557</v>
      </c>
      <c r="G53" s="514">
        <v>2606.57982932</v>
      </c>
      <c r="H53" s="514">
        <v>2479.994840788167</v>
      </c>
      <c r="I53" s="515">
        <v>1.1782397103966336E-2</v>
      </c>
    </row>
    <row r="54" spans="2:9">
      <c r="B54" s="503" t="s">
        <v>534</v>
      </c>
      <c r="C54" s="316" t="s">
        <v>362</v>
      </c>
      <c r="D54" s="504" t="s">
        <v>720</v>
      </c>
      <c r="E54" s="504" t="s">
        <v>720</v>
      </c>
      <c r="F54" s="316" t="s">
        <v>614</v>
      </c>
      <c r="G54" s="12">
        <v>2456.0345937000002</v>
      </c>
      <c r="H54" s="12">
        <v>2417.4689965964399</v>
      </c>
      <c r="I54" s="505">
        <v>-0.15245498264707913</v>
      </c>
    </row>
    <row r="55" spans="2:9">
      <c r="B55" s="503" t="s">
        <v>494</v>
      </c>
      <c r="C55" s="316" t="s">
        <v>388</v>
      </c>
      <c r="D55" s="504" t="s">
        <v>720</v>
      </c>
      <c r="E55" s="504" t="s">
        <v>720</v>
      </c>
      <c r="F55" s="316" t="s">
        <v>586</v>
      </c>
      <c r="G55" s="12">
        <v>2497.875</v>
      </c>
      <c r="H55" s="12">
        <v>2383.1</v>
      </c>
      <c r="I55" s="505">
        <v>6.4831521967185557E-2</v>
      </c>
    </row>
    <row r="56" spans="2:9">
      <c r="B56" s="503" t="s">
        <v>501</v>
      </c>
      <c r="C56" s="316" t="s">
        <v>295</v>
      </c>
      <c r="D56" s="504" t="s">
        <v>720</v>
      </c>
      <c r="E56" s="504" t="s">
        <v>720</v>
      </c>
      <c r="F56" s="316" t="s">
        <v>593</v>
      </c>
      <c r="G56" s="12">
        <v>1301.413</v>
      </c>
      <c r="H56" s="12">
        <v>1288.56</v>
      </c>
      <c r="I56" s="505">
        <v>3.0000000000000249E-2</v>
      </c>
    </row>
    <row r="57" spans="2:9">
      <c r="B57" s="503" t="s">
        <v>503</v>
      </c>
      <c r="C57" s="316" t="s">
        <v>420</v>
      </c>
      <c r="D57" s="504" t="s">
        <v>720</v>
      </c>
      <c r="E57" s="504" t="s">
        <v>720</v>
      </c>
      <c r="F57" s="316" t="s">
        <v>617</v>
      </c>
      <c r="G57" s="12">
        <v>1470.5920000000001</v>
      </c>
      <c r="H57" s="12">
        <v>1530</v>
      </c>
      <c r="I57" s="505">
        <v>8.2352941176470518E-2</v>
      </c>
    </row>
    <row r="58" spans="2:9">
      <c r="B58" s="494" t="s">
        <v>504</v>
      </c>
      <c r="C58" s="506" t="s">
        <v>584</v>
      </c>
      <c r="D58" s="507" t="s">
        <v>720</v>
      </c>
      <c r="E58" s="507" t="s">
        <v>720</v>
      </c>
      <c r="F58" s="506" t="s">
        <v>595</v>
      </c>
      <c r="G58" s="508">
        <v>1448.8530000000001</v>
      </c>
      <c r="H58" s="508">
        <v>1446.25</v>
      </c>
      <c r="I58" s="509">
        <v>0</v>
      </c>
    </row>
    <row r="59" spans="2:9">
      <c r="H59">
        <f>MEDIAN(H53:H58)</f>
        <v>1956.55</v>
      </c>
    </row>
  </sheetData>
  <conditionalFormatting sqref="B40:I47 B53:I58">
    <cfRule type="expression" dxfId="3" priority="2">
      <formula>MOD(ROW(),2)=0</formula>
    </cfRule>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ED884-703B-41A9-A45A-DF4C583C1022}">
  <sheetPr>
    <tabColor theme="4"/>
    <pageSetUpPr autoPageBreaks="0"/>
  </sheetPr>
  <dimension ref="B2:F35"/>
  <sheetViews>
    <sheetView zoomScaleNormal="100" workbookViewId="0">
      <selection activeCell="F18" sqref="F18"/>
    </sheetView>
  </sheetViews>
  <sheetFormatPr defaultRowHeight="14.5" outlineLevelRow="1"/>
  <cols>
    <col min="2" max="2" width="26.26953125" bestFit="1" customWidth="1"/>
    <col min="3" max="5" width="15.7265625" customWidth="1"/>
  </cols>
  <sheetData>
    <row r="2" spans="2:6" outlineLevel="1">
      <c r="B2" s="523" t="s">
        <v>662</v>
      </c>
      <c r="C2" s="741">
        <v>2023</v>
      </c>
      <c r="D2" s="525">
        <f>C2+1</f>
        <v>2024</v>
      </c>
      <c r="E2" s="525">
        <f>D2+1</f>
        <v>2025</v>
      </c>
    </row>
    <row r="3" spans="2:6" outlineLevel="1">
      <c r="B3" s="522" t="str">
        <f>B14</f>
        <v>75th Percentile</v>
      </c>
      <c r="C3" s="742" t="s">
        <v>663</v>
      </c>
      <c r="D3" s="157" t="s">
        <v>667</v>
      </c>
      <c r="E3" s="157" t="s">
        <v>668</v>
      </c>
    </row>
    <row r="4" spans="2:6" outlineLevel="1">
      <c r="B4" s="522" t="str">
        <f>B15</f>
        <v>Median</v>
      </c>
      <c r="C4" s="742" t="s">
        <v>664</v>
      </c>
      <c r="D4" s="157" t="s">
        <v>669</v>
      </c>
      <c r="E4" s="157" t="s">
        <v>670</v>
      </c>
    </row>
    <row r="5" spans="2:6" outlineLevel="1">
      <c r="B5" s="522" t="str">
        <f>B16</f>
        <v>25th Percentile</v>
      </c>
      <c r="C5" s="742" t="s">
        <v>665</v>
      </c>
      <c r="D5" s="157" t="s">
        <v>671</v>
      </c>
      <c r="E5" s="157" t="s">
        <v>672</v>
      </c>
    </row>
    <row r="6" spans="2:6" outlineLevel="1">
      <c r="B6" s="522" t="str">
        <f>B17</f>
        <v>Average</v>
      </c>
      <c r="C6" s="742" t="s">
        <v>666</v>
      </c>
      <c r="D6" s="157" t="s">
        <v>673</v>
      </c>
      <c r="E6" s="157" t="s">
        <v>674</v>
      </c>
    </row>
    <row r="7" spans="2:6" outlineLevel="1">
      <c r="B7" s="522" t="str">
        <f>B18</f>
        <v>Hudbay Minerals Inc.</v>
      </c>
      <c r="C7" s="742" t="s">
        <v>690</v>
      </c>
      <c r="D7" s="157" t="s">
        <v>675</v>
      </c>
      <c r="E7" s="157" t="s">
        <v>675</v>
      </c>
    </row>
    <row r="8" spans="2:6" outlineLevel="1"/>
    <row r="10" spans="2:6">
      <c r="C10" s="519" t="s">
        <v>450</v>
      </c>
    </row>
    <row r="11" spans="2:6" ht="15" customHeight="1">
      <c r="B11" s="76"/>
      <c r="C11" s="518" t="s">
        <v>68</v>
      </c>
      <c r="D11" s="78"/>
      <c r="E11" s="77"/>
    </row>
    <row r="12" spans="2:6" ht="30">
      <c r="B12" s="76"/>
      <c r="C12" s="75" t="s">
        <v>716</v>
      </c>
      <c r="D12" s="75" t="s">
        <v>717</v>
      </c>
      <c r="E12" s="75" t="s">
        <v>718</v>
      </c>
    </row>
    <row r="13" spans="2:6">
      <c r="B13" s="74" t="s">
        <v>67</v>
      </c>
      <c r="C13" s="73"/>
      <c r="D13" s="73"/>
      <c r="E13" s="73"/>
    </row>
    <row r="14" spans="2:6">
      <c r="B14" s="67" t="s">
        <v>9</v>
      </c>
      <c r="C14" s="737">
        <v>1927.9014840480907</v>
      </c>
      <c r="D14" s="72" cm="1">
        <f t="array" aca="1" ref="D14" ca="1">INDIRECT("'"&amp;$C$10&amp;"'!"&amp;D3)</f>
        <v>1935.2286802512044</v>
      </c>
      <c r="E14" s="72" cm="1">
        <f t="array" aca="1" ref="E14" ca="1">INDIRECT("'"&amp;$C$10&amp;"'!"&amp;E3)</f>
        <v>2053.2028843103499</v>
      </c>
      <c r="F14" t="s">
        <v>713</v>
      </c>
    </row>
    <row r="15" spans="2:6">
      <c r="B15" s="65" t="s">
        <v>8</v>
      </c>
      <c r="C15" s="738">
        <v>1432.8826545805</v>
      </c>
      <c r="D15" s="64" cm="1">
        <f t="array" aca="1" ref="D15" ca="1">INDIRECT("'"&amp;$C$10&amp;"'!"&amp;D4)</f>
        <v>1545.257864490181</v>
      </c>
      <c r="E15" s="64" cm="1">
        <f t="array" aca="1" ref="E15" ca="1">INDIRECT("'"&amp;$C$10&amp;"'!"&amp;E4)</f>
        <v>1591.6156004248865</v>
      </c>
      <c r="F15" s="571">
        <f ca="1">D15/C15-1</f>
        <v>7.8425968484195696E-2</v>
      </c>
    </row>
    <row r="16" spans="2:6">
      <c r="B16" s="63" t="s">
        <v>7</v>
      </c>
      <c r="C16" s="738">
        <v>1305.9778587325</v>
      </c>
      <c r="D16" s="64" cm="1">
        <f t="array" aca="1" ref="D16" ca="1">INDIRECT("'"&amp;$C$10&amp;"'!"&amp;D5)</f>
        <v>1415.0239999999999</v>
      </c>
      <c r="E16" s="64" cm="1">
        <f t="array" aca="1" ref="E16" ca="1">INDIRECT("'"&amp;$C$10&amp;"'!"&amp;E5)</f>
        <v>1457.4747200000002</v>
      </c>
      <c r="F16" t="s">
        <v>62</v>
      </c>
    </row>
    <row r="17" spans="2:6">
      <c r="B17" s="61" t="s">
        <v>6</v>
      </c>
      <c r="C17" s="739">
        <v>1626.2010226289901</v>
      </c>
      <c r="D17" s="64" cm="1">
        <f t="array" aca="1" ref="D17" ca="1">INDIRECT("'"&amp;$C$10&amp;"'!"&amp;D6)</f>
        <v>1702.093364541762</v>
      </c>
      <c r="E17" s="60" cm="1">
        <f t="array" aca="1" ref="E17" ca="1">INDIRECT("'"&amp;$C$10&amp;"'!"&amp;E6)</f>
        <v>1761.9856810713468</v>
      </c>
      <c r="F17" s="572">
        <f ca="1">D18/D15-1</f>
        <v>9.9442398595730008E-2</v>
      </c>
    </row>
    <row r="18" spans="2:6">
      <c r="B18" s="59" t="str">
        <f>CEO!C39</f>
        <v>Hudbay Minerals Inc.</v>
      </c>
      <c r="C18" s="740">
        <v>1532</v>
      </c>
      <c r="D18" s="64" cm="1">
        <f t="array" aca="1" ref="D18" ca="1">INDIRECT("'"&amp;$C$10&amp;"'!"&amp;D7)</f>
        <v>1698.922012984</v>
      </c>
      <c r="E18" s="60" cm="1">
        <f t="array" aca="1" ref="E18" ca="1">INDIRECT("'"&amp;$C$10&amp;"'!"&amp;E7)</f>
        <v>1698.922012984</v>
      </c>
      <c r="F18" s="571">
        <f ca="1">D18/C18-1</f>
        <v>0.10895692753524799</v>
      </c>
    </row>
    <row r="19" spans="2:6">
      <c r="B19" s="71"/>
      <c r="C19" s="70"/>
      <c r="D19" s="70"/>
      <c r="E19" s="70"/>
    </row>
    <row r="20" spans="2:6">
      <c r="B20" s="69" t="s">
        <v>66</v>
      </c>
      <c r="C20" s="68"/>
      <c r="D20" s="68"/>
      <c r="E20" s="68"/>
    </row>
    <row r="21" spans="2:6">
      <c r="B21" s="67" t="s">
        <v>65</v>
      </c>
      <c r="C21" s="66">
        <f>C16</f>
        <v>1305.9778587325</v>
      </c>
      <c r="D21" s="66">
        <f ca="1">D16</f>
        <v>1415.0239999999999</v>
      </c>
      <c r="E21" s="66">
        <f ca="1">E16</f>
        <v>1457.4747200000002</v>
      </c>
    </row>
    <row r="22" spans="2:6">
      <c r="B22" s="65" t="s">
        <v>64</v>
      </c>
      <c r="C22" s="64">
        <f>(C15-C16)</f>
        <v>126.90479584800005</v>
      </c>
      <c r="D22" s="64">
        <f ca="1">(D15-D16)</f>
        <v>130.23386449018108</v>
      </c>
      <c r="E22" s="64">
        <f ca="1">(E15-E16)</f>
        <v>134.14088042488629</v>
      </c>
    </row>
    <row r="23" spans="2:6">
      <c r="B23" s="63" t="s">
        <v>63</v>
      </c>
      <c r="C23" s="62">
        <f>(C14-C15)</f>
        <v>495.01882946759065</v>
      </c>
      <c r="D23" s="62">
        <f ca="1">(D14-D15)</f>
        <v>389.97081576102346</v>
      </c>
      <c r="E23" s="62">
        <f ca="1">(E14-E15)</f>
        <v>461.58728388546342</v>
      </c>
    </row>
    <row r="24" spans="2:6">
      <c r="B24" s="61" t="s">
        <v>6</v>
      </c>
      <c r="C24" s="60">
        <f t="shared" ref="C24:E25" si="0">C17</f>
        <v>1626.2010226289901</v>
      </c>
      <c r="D24" s="60">
        <f t="shared" ca="1" si="0"/>
        <v>1702.093364541762</v>
      </c>
      <c r="E24" s="60">
        <f t="shared" ca="1" si="0"/>
        <v>1761.9856810713468</v>
      </c>
    </row>
    <row r="25" spans="2:6">
      <c r="B25" s="59" t="str">
        <f>B18</f>
        <v>Hudbay Minerals Inc.</v>
      </c>
      <c r="C25" s="58">
        <f t="shared" si="0"/>
        <v>1532</v>
      </c>
      <c r="D25" s="58">
        <f t="shared" ca="1" si="0"/>
        <v>1698.922012984</v>
      </c>
      <c r="E25" s="58">
        <f t="shared" ca="1" si="0"/>
        <v>1698.922012984</v>
      </c>
    </row>
    <row r="27" spans="2:6">
      <c r="B27" s="57" t="s">
        <v>62</v>
      </c>
      <c r="C27" s="56">
        <f>C18-C15</f>
        <v>99.117345419499998</v>
      </c>
      <c r="D27" s="56">
        <f ca="1">D18-D15</f>
        <v>153.66414849381908</v>
      </c>
      <c r="E27" s="56">
        <f ca="1">E18-E15</f>
        <v>107.3064125591136</v>
      </c>
    </row>
    <row r="29" spans="2:6">
      <c r="B29" s="520" t="s">
        <v>695</v>
      </c>
      <c r="C29" s="521"/>
      <c r="D29" s="521"/>
      <c r="E29" s="521"/>
    </row>
    <row r="30" spans="2:6">
      <c r="B30" t="s">
        <v>735</v>
      </c>
      <c r="E30" s="54">
        <f>Region!W36</f>
        <v>2489.6343251258886</v>
      </c>
    </row>
    <row r="31" spans="2:6">
      <c r="B31" t="s">
        <v>731</v>
      </c>
      <c r="C31" s="54"/>
      <c r="E31" s="54">
        <f>Region!W37</f>
        <v>1302.6358586277611</v>
      </c>
    </row>
    <row r="32" spans="2:6">
      <c r="B32" t="s">
        <v>736</v>
      </c>
      <c r="C32" s="54"/>
      <c r="E32" s="54">
        <f>Region!W39</f>
        <v>2219.3924999999999</v>
      </c>
    </row>
    <row r="33" spans="2:5">
      <c r="B33" t="s">
        <v>734</v>
      </c>
      <c r="E33" s="54">
        <f>Region!W44</f>
        <v>2638.9666050000001</v>
      </c>
    </row>
    <row r="34" spans="2:5">
      <c r="B34" t="s">
        <v>785</v>
      </c>
      <c r="E34" s="54">
        <f>Region!W46</f>
        <v>1926.8183057855492</v>
      </c>
    </row>
    <row r="35" spans="2:5">
      <c r="B35" t="s">
        <v>786</v>
      </c>
      <c r="E35" s="54">
        <f>Region!W47</f>
        <v>1784.781663643063</v>
      </c>
    </row>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6508-D98D-453E-8D02-A9818AF9E81C}">
  <sheetPr>
    <tabColor theme="4"/>
    <pageSetUpPr autoPageBreaks="0"/>
  </sheetPr>
  <dimension ref="B2:G35"/>
  <sheetViews>
    <sheetView zoomScaleNormal="100" workbookViewId="0">
      <selection activeCell="D18" sqref="D18"/>
    </sheetView>
  </sheetViews>
  <sheetFormatPr defaultRowHeight="14.5" outlineLevelRow="1"/>
  <cols>
    <col min="2" max="2" width="26.26953125" bestFit="1" customWidth="1"/>
    <col min="3" max="5" width="15.7265625" customWidth="1"/>
  </cols>
  <sheetData>
    <row r="2" spans="2:7" outlineLevel="1">
      <c r="B2" s="523" t="s">
        <v>662</v>
      </c>
      <c r="C2" s="525">
        <v>2023</v>
      </c>
      <c r="D2" s="525">
        <f>C2+1</f>
        <v>2024</v>
      </c>
      <c r="E2" s="525">
        <f>D2+1</f>
        <v>2025</v>
      </c>
    </row>
    <row r="3" spans="2:7" outlineLevel="1">
      <c r="B3" s="522" t="str">
        <f>B14</f>
        <v>75th Percentile</v>
      </c>
      <c r="C3" s="742" t="s">
        <v>663</v>
      </c>
      <c r="D3" s="157" t="s">
        <v>667</v>
      </c>
      <c r="E3" s="157" t="s">
        <v>668</v>
      </c>
    </row>
    <row r="4" spans="2:7" outlineLevel="1">
      <c r="B4" s="522" t="str">
        <f>B15</f>
        <v>Median</v>
      </c>
      <c r="C4" s="742" t="s">
        <v>664</v>
      </c>
      <c r="D4" s="157" t="s">
        <v>669</v>
      </c>
      <c r="E4" s="157" t="s">
        <v>670</v>
      </c>
    </row>
    <row r="5" spans="2:7" outlineLevel="1">
      <c r="B5" s="522" t="str">
        <f>B16</f>
        <v>25th Percentile</v>
      </c>
      <c r="C5" s="742" t="s">
        <v>665</v>
      </c>
      <c r="D5" s="157" t="s">
        <v>671</v>
      </c>
      <c r="E5" s="157" t="s">
        <v>672</v>
      </c>
    </row>
    <row r="6" spans="2:7" outlineLevel="1">
      <c r="B6" s="522" t="str">
        <f>B17</f>
        <v>Average</v>
      </c>
      <c r="C6" s="742" t="s">
        <v>666</v>
      </c>
      <c r="D6" s="157" t="s">
        <v>673</v>
      </c>
      <c r="E6" s="157" t="s">
        <v>674</v>
      </c>
    </row>
    <row r="7" spans="2:7" outlineLevel="1">
      <c r="B7" s="522" t="str">
        <f>B18</f>
        <v>Hudbay Minerals Inc.</v>
      </c>
      <c r="C7" s="742" t="s">
        <v>690</v>
      </c>
      <c r="D7" s="157" t="s">
        <v>675</v>
      </c>
      <c r="E7" s="157" t="s">
        <v>675</v>
      </c>
    </row>
    <row r="8" spans="2:7" outlineLevel="1"/>
    <row r="10" spans="2:7">
      <c r="C10" s="519" t="s">
        <v>450</v>
      </c>
    </row>
    <row r="11" spans="2:7" ht="15" customHeight="1">
      <c r="B11" s="76"/>
      <c r="C11" s="518" t="s">
        <v>68</v>
      </c>
      <c r="D11" s="78"/>
      <c r="E11" s="77"/>
    </row>
    <row r="12" spans="2:7" ht="30">
      <c r="B12" s="76"/>
      <c r="C12" s="75" t="s">
        <v>716</v>
      </c>
      <c r="D12" s="75" t="s">
        <v>717</v>
      </c>
      <c r="E12" s="75" t="s">
        <v>718</v>
      </c>
    </row>
    <row r="13" spans="2:7">
      <c r="B13" s="74" t="s">
        <v>67</v>
      </c>
      <c r="C13" s="73"/>
      <c r="D13" s="73"/>
      <c r="E13" s="73"/>
    </row>
    <row r="14" spans="2:7">
      <c r="B14" s="67" t="s">
        <v>9</v>
      </c>
      <c r="C14" s="737">
        <v>1927.9014840480907</v>
      </c>
      <c r="D14" s="72" cm="1">
        <f t="array" aca="1" ref="D14" ca="1">INDIRECT("'"&amp;$C$10&amp;"'!"&amp;D3)</f>
        <v>1935.2286802512044</v>
      </c>
      <c r="E14" s="72" cm="1">
        <f t="array" aca="1" ref="E14" ca="1">INDIRECT("'"&amp;$C$10&amp;"'!"&amp;E3)</f>
        <v>2053.2028843103499</v>
      </c>
      <c r="F14" t="s">
        <v>713</v>
      </c>
    </row>
    <row r="15" spans="2:7">
      <c r="B15" s="65" t="s">
        <v>8</v>
      </c>
      <c r="C15" s="738">
        <v>1432.8826545805</v>
      </c>
      <c r="D15" s="64" cm="1">
        <f t="array" aca="1" ref="D15" ca="1">INDIRECT("'"&amp;$C$10&amp;"'!"&amp;D4)</f>
        <v>1545.257864490181</v>
      </c>
      <c r="E15" s="64" cm="1">
        <f t="array" aca="1" ref="E15" ca="1">INDIRECT("'"&amp;$C$10&amp;"'!"&amp;E4)</f>
        <v>1591.6156004248865</v>
      </c>
      <c r="F15" s="571">
        <f ca="1">D15/C15-1</f>
        <v>7.8425968484195696E-2</v>
      </c>
    </row>
    <row r="16" spans="2:7">
      <c r="B16" s="63" t="s">
        <v>7</v>
      </c>
      <c r="C16" s="738">
        <v>1305.9778587325</v>
      </c>
      <c r="D16" s="64" cm="1">
        <f t="array" aca="1" ref="D16" ca="1">INDIRECT("'"&amp;$C$10&amp;"'!"&amp;D5)</f>
        <v>1415.0239999999999</v>
      </c>
      <c r="E16" s="64" cm="1">
        <f t="array" aca="1" ref="E16" ca="1">INDIRECT("'"&amp;$C$10&amp;"'!"&amp;E5)</f>
        <v>1457.4747200000002</v>
      </c>
      <c r="F16" t="s">
        <v>62</v>
      </c>
      <c r="G16">
        <f ca="1">D16/C16</f>
        <v>1.0834976952621029</v>
      </c>
    </row>
    <row r="17" spans="2:6">
      <c r="B17" s="61" t="s">
        <v>6</v>
      </c>
      <c r="C17" s="739">
        <v>1626.2010226289901</v>
      </c>
      <c r="D17" s="64" cm="1">
        <f t="array" aca="1" ref="D17" ca="1">INDIRECT("'"&amp;$C$10&amp;"'!"&amp;D6)</f>
        <v>1702.093364541762</v>
      </c>
      <c r="E17" s="60" cm="1">
        <f t="array" aca="1" ref="E17" ca="1">INDIRECT("'"&amp;$C$10&amp;"'!"&amp;E6)</f>
        <v>1761.9856810713468</v>
      </c>
      <c r="F17" s="572">
        <f ca="1">D18/D15-1</f>
        <v>-0.17826012785319911</v>
      </c>
    </row>
    <row r="18" spans="2:6">
      <c r="B18" s="59" t="str">
        <f>CEO!C39</f>
        <v>Hudbay Minerals Inc.</v>
      </c>
      <c r="C18" s="756">
        <v>1101</v>
      </c>
      <c r="D18" s="58">
        <f>'NEO5'!W43</f>
        <v>1269.8</v>
      </c>
      <c r="E18" s="58">
        <f>D18</f>
        <v>1269.8</v>
      </c>
      <c r="F18" s="571">
        <f>D18/C18-1</f>
        <v>0.15331516802906453</v>
      </c>
    </row>
    <row r="19" spans="2:6">
      <c r="B19" s="71"/>
      <c r="C19" s="70"/>
      <c r="D19" s="70"/>
      <c r="E19" s="70"/>
    </row>
    <row r="20" spans="2:6">
      <c r="B20" s="69" t="s">
        <v>66</v>
      </c>
      <c r="C20" s="68"/>
      <c r="D20" s="68"/>
      <c r="E20" s="68"/>
    </row>
    <row r="21" spans="2:6">
      <c r="B21" s="67" t="s">
        <v>65</v>
      </c>
      <c r="C21" s="66">
        <f>C16</f>
        <v>1305.9778587325</v>
      </c>
      <c r="D21" s="66">
        <f ca="1">D16</f>
        <v>1415.0239999999999</v>
      </c>
      <c r="E21" s="66">
        <f ca="1">E16</f>
        <v>1457.4747200000002</v>
      </c>
    </row>
    <row r="22" spans="2:6">
      <c r="B22" s="65" t="s">
        <v>64</v>
      </c>
      <c r="C22" s="64">
        <f>(C15-C16)</f>
        <v>126.90479584800005</v>
      </c>
      <c r="D22" s="64">
        <f ca="1">(D15-D16)</f>
        <v>130.23386449018108</v>
      </c>
      <c r="E22" s="64">
        <f ca="1">(E15-E16)</f>
        <v>134.14088042488629</v>
      </c>
    </row>
    <row r="23" spans="2:6">
      <c r="B23" s="63" t="s">
        <v>63</v>
      </c>
      <c r="C23" s="62">
        <f>(C14-C15)</f>
        <v>495.01882946759065</v>
      </c>
      <c r="D23" s="62">
        <f ca="1">(D14-D15)</f>
        <v>389.97081576102346</v>
      </c>
      <c r="E23" s="62">
        <f ca="1">(E14-E15)</f>
        <v>461.58728388546342</v>
      </c>
    </row>
    <row r="24" spans="2:6">
      <c r="B24" s="61" t="s">
        <v>6</v>
      </c>
      <c r="C24" s="60">
        <f t="shared" ref="C24:E25" si="0">C17</f>
        <v>1626.2010226289901</v>
      </c>
      <c r="D24" s="60">
        <f t="shared" ca="1" si="0"/>
        <v>1702.093364541762</v>
      </c>
      <c r="E24" s="60">
        <f t="shared" ca="1" si="0"/>
        <v>1761.9856810713468</v>
      </c>
    </row>
    <row r="25" spans="2:6">
      <c r="B25" s="59" t="str">
        <f>B18</f>
        <v>Hudbay Minerals Inc.</v>
      </c>
      <c r="C25" s="58">
        <f t="shared" si="0"/>
        <v>1101</v>
      </c>
      <c r="D25" s="58">
        <f t="shared" si="0"/>
        <v>1269.8</v>
      </c>
      <c r="E25" s="58">
        <f t="shared" si="0"/>
        <v>1269.8</v>
      </c>
    </row>
    <row r="27" spans="2:6">
      <c r="B27" s="57" t="s">
        <v>62</v>
      </c>
      <c r="C27" s="56">
        <f>C18-C15</f>
        <v>-331.8826545805</v>
      </c>
      <c r="D27" s="56">
        <f ca="1">D18-D15</f>
        <v>-275.45786449018101</v>
      </c>
      <c r="E27" s="56">
        <f ca="1">E18-E15</f>
        <v>-321.8156004248865</v>
      </c>
    </row>
    <row r="28" spans="2:6">
      <c r="B28" s="57" t="s">
        <v>784</v>
      </c>
      <c r="C28" s="56">
        <f>C18-C16</f>
        <v>-204.97785873249995</v>
      </c>
      <c r="D28" s="56">
        <f ca="1">D18-D16</f>
        <v>-145.22399999999993</v>
      </c>
      <c r="E28" s="56">
        <f ca="1">E18-E16</f>
        <v>-187.67472000000021</v>
      </c>
      <c r="F28">
        <f ca="1">E28/E16</f>
        <v>-0.12876704990121557</v>
      </c>
    </row>
    <row r="29" spans="2:6">
      <c r="B29" s="520" t="s">
        <v>695</v>
      </c>
      <c r="C29" s="521"/>
      <c r="D29" s="521"/>
      <c r="E29" s="521"/>
    </row>
    <row r="30" spans="2:6">
      <c r="B30" t="s">
        <v>730</v>
      </c>
      <c r="E30" s="54">
        <f>Tech!W46</f>
        <v>2070.4499999999998</v>
      </c>
    </row>
    <row r="31" spans="2:6">
      <c r="B31" t="s">
        <v>731</v>
      </c>
      <c r="C31" s="54"/>
      <c r="E31" s="54">
        <f>Tech!W48</f>
        <v>1489.6375</v>
      </c>
    </row>
    <row r="32" spans="2:6">
      <c r="B32" t="s">
        <v>732</v>
      </c>
      <c r="C32" s="54"/>
      <c r="E32" s="54">
        <v>2500</v>
      </c>
      <c r="F32">
        <f>Tech!W52</f>
        <v>2850.5</v>
      </c>
    </row>
    <row r="33" spans="2:5">
      <c r="B33" t="s">
        <v>733</v>
      </c>
      <c r="E33" s="54">
        <f>Tech!W54</f>
        <v>1314.28</v>
      </c>
    </row>
    <row r="34" spans="2:5">
      <c r="B34" t="s">
        <v>734</v>
      </c>
      <c r="E34" s="54" t="str">
        <f>Tech!W55</f>
        <v>-</v>
      </c>
    </row>
    <row r="35" spans="2:5">
      <c r="E35" s="54"/>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A45C-DB27-474C-974F-FA652AAFEF4E}">
  <sheetPr>
    <tabColor theme="4"/>
  </sheetPr>
  <dimension ref="A1:B11"/>
  <sheetViews>
    <sheetView workbookViewId="0"/>
  </sheetViews>
  <sheetFormatPr defaultRowHeight="14.5"/>
  <sheetData>
    <row r="1" spans="1:2">
      <c r="A1" t="s">
        <v>816</v>
      </c>
      <c r="B1" s="566">
        <v>45916.845833333333</v>
      </c>
    </row>
    <row r="2" spans="1:2">
      <c r="A2" t="s">
        <v>817</v>
      </c>
      <c r="B2" s="566">
        <v>45916.845833333333</v>
      </c>
    </row>
    <row r="3" spans="1:2">
      <c r="A3" t="s">
        <v>818</v>
      </c>
      <c r="B3" s="566">
        <v>45916.845833333333</v>
      </c>
    </row>
    <row r="4" spans="1:2">
      <c r="A4" t="s">
        <v>823</v>
      </c>
      <c r="B4" s="566">
        <v>45916.845833333333</v>
      </c>
    </row>
    <row r="5" spans="1:2">
      <c r="A5" t="s">
        <v>824</v>
      </c>
      <c r="B5" s="566">
        <v>45916.845833333333</v>
      </c>
    </row>
    <row r="6" spans="1:2">
      <c r="A6" t="s">
        <v>825</v>
      </c>
      <c r="B6" s="566">
        <v>45916.845833333333</v>
      </c>
    </row>
    <row r="7" spans="1:2">
      <c r="A7" t="s">
        <v>859</v>
      </c>
      <c r="B7" s="566">
        <v>45961.896539351852</v>
      </c>
    </row>
    <row r="8" spans="1:2">
      <c r="A8" t="s">
        <v>861</v>
      </c>
      <c r="B8" s="566">
        <v>45964.606874999998</v>
      </c>
    </row>
    <row r="9" spans="1:2">
      <c r="A9" t="s">
        <v>862</v>
      </c>
      <c r="B9" s="566">
        <v>45964.607407407406</v>
      </c>
    </row>
    <row r="10" spans="1:2">
      <c r="A10" t="s">
        <v>863</v>
      </c>
      <c r="B10" s="566">
        <v>45964.607685185183</v>
      </c>
    </row>
    <row r="11" spans="1:2">
      <c r="A11" t="s">
        <v>864</v>
      </c>
      <c r="B11" s="566">
        <v>45964.607916666668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1E34-6047-4EF5-9903-6C0CBCA415D4}">
  <sheetPr>
    <tabColor theme="4"/>
    <pageSetUpPr autoPageBreaks="0"/>
  </sheetPr>
  <dimension ref="B2:G35"/>
  <sheetViews>
    <sheetView workbookViewId="0">
      <selection activeCell="S33" sqref="S33"/>
    </sheetView>
  </sheetViews>
  <sheetFormatPr defaultRowHeight="14.5" outlineLevelRow="1"/>
  <cols>
    <col min="2" max="2" width="26.26953125" bestFit="1" customWidth="1"/>
    <col min="3" max="5" width="15.7265625" customWidth="1"/>
  </cols>
  <sheetData>
    <row r="2" spans="2:7" outlineLevel="1">
      <c r="B2" s="523" t="s">
        <v>662</v>
      </c>
      <c r="C2" s="741">
        <v>2023</v>
      </c>
      <c r="D2" s="525">
        <f>C2+1</f>
        <v>2024</v>
      </c>
      <c r="E2" s="525">
        <f>D2+1</f>
        <v>2025</v>
      </c>
    </row>
    <row r="3" spans="2:7" outlineLevel="1">
      <c r="B3" s="522" t="str">
        <f>B14</f>
        <v>75th Percentile</v>
      </c>
      <c r="C3" s="742" t="s">
        <v>663</v>
      </c>
      <c r="D3" s="157" t="s">
        <v>667</v>
      </c>
      <c r="E3" s="157" t="s">
        <v>668</v>
      </c>
    </row>
    <row r="4" spans="2:7" outlineLevel="1">
      <c r="B4" s="522" t="str">
        <f>B15</f>
        <v>Median</v>
      </c>
      <c r="C4" s="742" t="s">
        <v>664</v>
      </c>
      <c r="D4" s="157" t="s">
        <v>669</v>
      </c>
      <c r="E4" s="157" t="s">
        <v>670</v>
      </c>
    </row>
    <row r="5" spans="2:7" outlineLevel="1">
      <c r="B5" s="522" t="str">
        <f>B16</f>
        <v>25th Percentile</v>
      </c>
      <c r="C5" s="742" t="s">
        <v>665</v>
      </c>
      <c r="D5" s="157" t="s">
        <v>671</v>
      </c>
      <c r="E5" s="157" t="s">
        <v>672</v>
      </c>
    </row>
    <row r="6" spans="2:7" outlineLevel="1">
      <c r="B6" s="522" t="str">
        <f>B17</f>
        <v>Average</v>
      </c>
      <c r="C6" s="742" t="s">
        <v>666</v>
      </c>
      <c r="D6" s="157" t="s">
        <v>673</v>
      </c>
      <c r="E6" s="157" t="s">
        <v>674</v>
      </c>
    </row>
    <row r="7" spans="2:7" outlineLevel="1">
      <c r="B7" s="522" t="str">
        <f>B18</f>
        <v>Hudbay Minerals Inc.</v>
      </c>
      <c r="C7" s="742" t="s">
        <v>690</v>
      </c>
      <c r="D7" s="157" t="s">
        <v>675</v>
      </c>
      <c r="E7" s="157" t="s">
        <v>675</v>
      </c>
    </row>
    <row r="8" spans="2:7" outlineLevel="1"/>
    <row r="10" spans="2:7">
      <c r="C10" s="519" t="s">
        <v>450</v>
      </c>
    </row>
    <row r="11" spans="2:7" ht="15" customHeight="1">
      <c r="B11" s="76"/>
      <c r="C11" s="518" t="s">
        <v>68</v>
      </c>
      <c r="D11" s="78"/>
      <c r="E11" s="77"/>
    </row>
    <row r="12" spans="2:7" ht="30">
      <c r="B12" s="76"/>
      <c r="C12" s="75" t="s">
        <v>716</v>
      </c>
      <c r="D12" s="75" t="s">
        <v>717</v>
      </c>
      <c r="E12" s="75" t="s">
        <v>718</v>
      </c>
    </row>
    <row r="13" spans="2:7">
      <c r="B13" s="74" t="s">
        <v>67</v>
      </c>
      <c r="C13" s="73"/>
      <c r="D13" s="73"/>
      <c r="E13" s="73"/>
    </row>
    <row r="14" spans="2:7">
      <c r="B14" s="67" t="s">
        <v>9</v>
      </c>
      <c r="C14" s="737">
        <v>1927.9014840480907</v>
      </c>
      <c r="D14" s="72" cm="1">
        <f t="array" aca="1" ref="D14" ca="1">INDIRECT("'"&amp;$C$10&amp;"'!"&amp;D3)</f>
        <v>1935.2286802512044</v>
      </c>
      <c r="E14" s="72" cm="1">
        <f t="array" aca="1" ref="E14" ca="1">INDIRECT("'"&amp;$C$10&amp;"'!"&amp;E3)</f>
        <v>2053.2028843103499</v>
      </c>
      <c r="F14" t="s">
        <v>713</v>
      </c>
    </row>
    <row r="15" spans="2:7">
      <c r="B15" s="65" t="s">
        <v>8</v>
      </c>
      <c r="C15" s="738">
        <v>1432.8826545805</v>
      </c>
      <c r="D15" s="64" cm="1">
        <f t="array" aca="1" ref="D15" ca="1">INDIRECT("'"&amp;$C$10&amp;"'!"&amp;D4)</f>
        <v>1545.257864490181</v>
      </c>
      <c r="E15" s="64" cm="1">
        <f t="array" aca="1" ref="E15" ca="1">INDIRECT("'"&amp;$C$10&amp;"'!"&amp;E4)</f>
        <v>1591.6156004248865</v>
      </c>
      <c r="F15" s="571">
        <f ca="1">D15/C15-1</f>
        <v>7.8425968484195696E-2</v>
      </c>
    </row>
    <row r="16" spans="2:7">
      <c r="B16" s="63" t="s">
        <v>7</v>
      </c>
      <c r="C16" s="738">
        <v>1305.9778587325</v>
      </c>
      <c r="D16" s="64" cm="1">
        <f t="array" aca="1" ref="D16" ca="1">INDIRECT("'"&amp;$C$10&amp;"'!"&amp;D5)</f>
        <v>1415.0239999999999</v>
      </c>
      <c r="E16" s="64" cm="1">
        <f t="array" aca="1" ref="E16" ca="1">INDIRECT("'"&amp;$C$10&amp;"'!"&amp;E5)</f>
        <v>1457.4747200000002</v>
      </c>
      <c r="F16" t="s">
        <v>62</v>
      </c>
      <c r="G16">
        <f ca="1">D16/C16-1</f>
        <v>8.3497695262102933E-2</v>
      </c>
    </row>
    <row r="17" spans="2:6">
      <c r="B17" s="61" t="s">
        <v>6</v>
      </c>
      <c r="C17" s="739">
        <v>1626.2010226289901</v>
      </c>
      <c r="D17" s="64" cm="1">
        <f t="array" aca="1" ref="D17" ca="1">INDIRECT("'"&amp;$C$10&amp;"'!"&amp;D6)</f>
        <v>1702.093364541762</v>
      </c>
      <c r="E17" s="60" cm="1">
        <f t="array" aca="1" ref="E17" ca="1">INDIRECT("'"&amp;$C$10&amp;"'!"&amp;E6)</f>
        <v>1761.9856810713468</v>
      </c>
      <c r="F17" s="572">
        <f ca="1">D18/D15-1</f>
        <v>-0.15588198580024859</v>
      </c>
    </row>
    <row r="18" spans="2:6">
      <c r="B18" s="59" t="str">
        <f>CEO!C39</f>
        <v>Hudbay Minerals Inc.</v>
      </c>
      <c r="C18" s="740">
        <v>954</v>
      </c>
      <c r="D18" s="58">
        <f>'NEO5'!W41</f>
        <v>1304.3800000000001</v>
      </c>
      <c r="E18" s="58">
        <f>D18</f>
        <v>1304.3800000000001</v>
      </c>
      <c r="F18" s="571">
        <f>D18/C18-1</f>
        <v>0.3672746331236898</v>
      </c>
    </row>
    <row r="19" spans="2:6">
      <c r="B19" s="71"/>
      <c r="C19" s="70"/>
      <c r="D19" s="70"/>
      <c r="E19" s="70"/>
    </row>
    <row r="20" spans="2:6">
      <c r="B20" s="69" t="s">
        <v>66</v>
      </c>
      <c r="C20" s="68"/>
      <c r="D20" s="68"/>
      <c r="E20" s="68"/>
    </row>
    <row r="21" spans="2:6">
      <c r="B21" s="67" t="s">
        <v>65</v>
      </c>
      <c r="C21" s="66">
        <f>C16</f>
        <v>1305.9778587325</v>
      </c>
      <c r="D21" s="66">
        <f ca="1">D16</f>
        <v>1415.0239999999999</v>
      </c>
      <c r="E21" s="66">
        <f ca="1">E16</f>
        <v>1457.4747200000002</v>
      </c>
    </row>
    <row r="22" spans="2:6">
      <c r="B22" s="65" t="s">
        <v>64</v>
      </c>
      <c r="C22" s="64">
        <f>(C15-C16)</f>
        <v>126.90479584800005</v>
      </c>
      <c r="D22" s="64">
        <f ca="1">(D15-D16)</f>
        <v>130.23386449018108</v>
      </c>
      <c r="E22" s="64">
        <f ca="1">(E15-E16)</f>
        <v>134.14088042488629</v>
      </c>
    </row>
    <row r="23" spans="2:6">
      <c r="B23" s="63" t="s">
        <v>63</v>
      </c>
      <c r="C23" s="62">
        <f>(C14-C15)</f>
        <v>495.01882946759065</v>
      </c>
      <c r="D23" s="62">
        <f ca="1">(D14-D15)</f>
        <v>389.97081576102346</v>
      </c>
      <c r="E23" s="62">
        <f ca="1">(E14-E15)</f>
        <v>461.58728388546342</v>
      </c>
    </row>
    <row r="24" spans="2:6">
      <c r="B24" s="61" t="s">
        <v>6</v>
      </c>
      <c r="C24" s="60">
        <f t="shared" ref="C24:E25" si="0">C17</f>
        <v>1626.2010226289901</v>
      </c>
      <c r="D24" s="60">
        <f t="shared" ca="1" si="0"/>
        <v>1702.093364541762</v>
      </c>
      <c r="E24" s="60">
        <f t="shared" ca="1" si="0"/>
        <v>1761.9856810713468</v>
      </c>
    </row>
    <row r="25" spans="2:6">
      <c r="B25" s="59" t="str">
        <f>B18</f>
        <v>Hudbay Minerals Inc.</v>
      </c>
      <c r="C25" s="58">
        <f t="shared" si="0"/>
        <v>954</v>
      </c>
      <c r="D25" s="58">
        <f t="shared" si="0"/>
        <v>1304.3800000000001</v>
      </c>
      <c r="E25" s="58">
        <f t="shared" si="0"/>
        <v>1304.3800000000001</v>
      </c>
    </row>
    <row r="27" spans="2:6">
      <c r="B27" s="57" t="s">
        <v>62</v>
      </c>
      <c r="C27" s="56">
        <f>C18-C15</f>
        <v>-478.8826545805</v>
      </c>
      <c r="D27" s="56">
        <f ca="1">D18-D15</f>
        <v>-240.87786449018085</v>
      </c>
      <c r="E27" s="56">
        <f ca="1">E18-E15</f>
        <v>-287.23560042488634</v>
      </c>
    </row>
    <row r="29" spans="2:6">
      <c r="B29" s="520" t="s">
        <v>695</v>
      </c>
      <c r="C29" s="521"/>
      <c r="D29" s="521"/>
      <c r="E29" s="521"/>
    </row>
    <row r="30" spans="2:6">
      <c r="B30" t="s">
        <v>735</v>
      </c>
      <c r="E30" s="54">
        <f>Region!W36</f>
        <v>2489.6343251258886</v>
      </c>
    </row>
    <row r="31" spans="2:6">
      <c r="B31" t="s">
        <v>731</v>
      </c>
      <c r="C31" s="54"/>
      <c r="E31" s="54">
        <f>Region!W37</f>
        <v>1302.6358586277611</v>
      </c>
    </row>
    <row r="32" spans="2:6">
      <c r="B32" t="s">
        <v>736</v>
      </c>
      <c r="C32" s="54"/>
      <c r="E32" s="54">
        <f>Region!W39</f>
        <v>2219.3924999999999</v>
      </c>
    </row>
    <row r="33" spans="2:5">
      <c r="B33" t="s">
        <v>734</v>
      </c>
      <c r="E33" s="54">
        <f>Region!W44</f>
        <v>2638.9666050000001</v>
      </c>
    </row>
    <row r="34" spans="2:5">
      <c r="B34" t="s">
        <v>785</v>
      </c>
      <c r="E34" s="54">
        <f>Region!W46</f>
        <v>1926.8183057855492</v>
      </c>
    </row>
    <row r="35" spans="2:5">
      <c r="B35" t="s">
        <v>786</v>
      </c>
      <c r="E35" s="54">
        <f>Region!W47</f>
        <v>1784.781663643063</v>
      </c>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168A-2B90-4E22-846C-F44CDB2FB0EC}">
  <sheetPr>
    <tabColor theme="4"/>
  </sheetPr>
  <dimension ref="B2:P16"/>
  <sheetViews>
    <sheetView topLeftCell="A42" zoomScaleNormal="100" workbookViewId="0">
      <selection activeCell="F13" sqref="F13"/>
    </sheetView>
  </sheetViews>
  <sheetFormatPr defaultRowHeight="14.5" outlineLevelRow="2"/>
  <cols>
    <col min="1" max="2" width="2.7265625" customWidth="1"/>
    <col min="4" max="4" width="19.26953125" bestFit="1" customWidth="1"/>
    <col min="5" max="5" width="40.26953125" bestFit="1" customWidth="1"/>
  </cols>
  <sheetData>
    <row r="2" spans="2:16" outlineLevel="1">
      <c r="D2" t="s">
        <v>709</v>
      </c>
      <c r="E2" t="s">
        <v>711</v>
      </c>
      <c r="H2" s="157" t="s">
        <v>707</v>
      </c>
      <c r="I2" s="157" t="s">
        <v>706</v>
      </c>
    </row>
    <row r="3" spans="2:16" outlineLevel="2">
      <c r="D3" t="s">
        <v>708</v>
      </c>
      <c r="E3" t="s">
        <v>710</v>
      </c>
      <c r="F3" s="157" t="s">
        <v>701</v>
      </c>
      <c r="G3" s="157" t="s">
        <v>702</v>
      </c>
      <c r="H3" s="157" t="s">
        <v>703</v>
      </c>
      <c r="I3" s="157" t="s">
        <v>705</v>
      </c>
    </row>
    <row r="4" spans="2:16" ht="15" customHeight="1">
      <c r="B4" s="55" t="s">
        <v>476</v>
      </c>
      <c r="C4" s="1136" t="s">
        <v>466</v>
      </c>
      <c r="D4" s="1138" t="s">
        <v>19</v>
      </c>
      <c r="E4" s="1138" t="s">
        <v>18</v>
      </c>
      <c r="F4" s="556" t="s">
        <v>8</v>
      </c>
      <c r="G4" s="556"/>
      <c r="H4" s="556" t="s">
        <v>700</v>
      </c>
      <c r="I4" s="557"/>
    </row>
    <row r="5" spans="2:16" ht="15" customHeight="1">
      <c r="C5" s="1137"/>
      <c r="D5" s="1139"/>
      <c r="E5" s="1139"/>
      <c r="F5" s="558" t="s">
        <v>698</v>
      </c>
      <c r="G5" s="558" t="s">
        <v>699</v>
      </c>
      <c r="H5" s="558" t="s">
        <v>698</v>
      </c>
      <c r="I5" s="559" t="s">
        <v>699</v>
      </c>
      <c r="J5" s="560" t="s">
        <v>704</v>
      </c>
      <c r="K5" s="561"/>
    </row>
    <row r="6" spans="2:16">
      <c r="C6" s="569" t="s">
        <v>79</v>
      </c>
      <c r="D6" s="562" t="str" cm="1">
        <f t="array" aca="1" ref="D6" ca="1">INDIRECT("'"&amp;$C6&amp;"'!"&amp;D$3)</f>
        <v>Peter Kukielski</v>
      </c>
      <c r="E6" s="563" t="str" cm="1">
        <f t="array" aca="1" ref="E6" ca="1">INDIRECT("'"&amp;$C6&amp;"'!"&amp;E$3)</f>
        <v>President &amp; CEO</v>
      </c>
      <c r="F6" s="562" cm="1">
        <f t="array" aca="1" ref="F6" ca="1">INDIRECT("'"&amp;$C6&amp;"'!"&amp;F$3)</f>
        <v>0.44699999999999995</v>
      </c>
      <c r="G6" s="563" cm="1">
        <f t="array" aca="1" ref="G6" ca="1">INDIRECT("'"&amp;$C6&amp;"'!"&amp;G$3)</f>
        <v>0.55300000000000005</v>
      </c>
      <c r="H6" s="562" cm="1">
        <f t="array" aca="1" ref="H6" ca="1">INDIRECT("'"&amp;$C6&amp;"'!"&amp;H$3)</f>
        <v>0.45360824742268036</v>
      </c>
      <c r="I6" s="563" cm="1">
        <f t="array" aca="1" ref="I6" ca="1">INDIRECT("'"&amp;$C6&amp;"'!"&amp;I$3)</f>
        <v>0.54639175257731953</v>
      </c>
      <c r="J6" t="b">
        <f t="shared" ref="J6:J16" ca="1" si="0">SUM(F6:G6)=1</f>
        <v>1</v>
      </c>
      <c r="K6" t="b">
        <f ca="1">SUM(H6:I6)=1</f>
        <v>1</v>
      </c>
    </row>
    <row r="7" spans="2:16">
      <c r="C7" s="533" t="s">
        <v>106</v>
      </c>
      <c r="D7" s="564" t="str" cm="1">
        <f t="array" aca="1" ref="D7" ca="1">INDIRECT("'"&amp;$C7&amp;"'!"&amp;D$3)</f>
        <v>Eugene Lei</v>
      </c>
      <c r="E7" s="565" t="str" cm="1">
        <f t="array" aca="1" ref="E7" ca="1">INDIRECT("'"&amp;$C7&amp;"'!"&amp;E$3)</f>
        <v>CFO</v>
      </c>
      <c r="F7" s="564" cm="1">
        <f t="array" aca="1" ref="F7" ca="1">INDIRECT("'"&amp;$C7&amp;"'!"&amp;F$3)</f>
        <v>0.50714431516636049</v>
      </c>
      <c r="G7" s="565" cm="1">
        <f t="array" aca="1" ref="G7" ca="1">INDIRECT("'"&amp;$C7&amp;"'!"&amp;G$3)</f>
        <v>0.49285568483363951</v>
      </c>
      <c r="H7" s="564" cm="1">
        <f t="array" aca="1" ref="H7" ca="1">INDIRECT("'"&amp;$C7&amp;"'!"&amp;H$3)</f>
        <v>0.52777777777777779</v>
      </c>
      <c r="I7" s="565" cm="1">
        <f t="array" aca="1" ref="I7" ca="1">INDIRECT("'"&amp;$C7&amp;"'!"&amp;I$3)</f>
        <v>0.47222222222222221</v>
      </c>
      <c r="J7" t="b">
        <f t="shared" ca="1" si="0"/>
        <v>1</v>
      </c>
      <c r="K7" t="b">
        <f t="shared" ref="K7:K16" ca="1" si="1">SUM(H7:I7)=1</f>
        <v>1</v>
      </c>
    </row>
    <row r="8" spans="2:16">
      <c r="C8" s="533" t="s">
        <v>109</v>
      </c>
      <c r="D8" s="564" t="str" cm="1">
        <f t="array" aca="1" ref="D8" ca="1">INDIRECT("'"&amp;$C8&amp;"'!"&amp;D$3)</f>
        <v>Andre Lauzon</v>
      </c>
      <c r="E8" s="565" t="str" cm="1">
        <f t="array" aca="1" ref="E8" ca="1">INDIRECT("'"&amp;$C8&amp;"'!"&amp;E$3)</f>
        <v>COO</v>
      </c>
      <c r="F8" s="564" cm="1">
        <f t="array" aca="1" ref="F8" ca="1">INDIRECT("'"&amp;$C8&amp;"'!"&amp;F$3)</f>
        <v>0.50062656641604009</v>
      </c>
      <c r="G8" s="565" cm="1">
        <f t="array" aca="1" ref="G8" ca="1">INDIRECT("'"&amp;$C8&amp;"'!"&amp;G$3)</f>
        <v>0.49937343358395991</v>
      </c>
      <c r="H8" s="564" cm="1">
        <f t="array" aca="1" ref="H8" ca="1">INDIRECT("'"&amp;$C8&amp;"'!"&amp;H$3)</f>
        <v>0.52777777777777779</v>
      </c>
      <c r="I8" s="565" cm="1">
        <f t="array" aca="1" ref="I8" ca="1">INDIRECT("'"&amp;$C8&amp;"'!"&amp;I$3)</f>
        <v>0.47222222222222227</v>
      </c>
      <c r="J8" t="b">
        <f t="shared" ca="1" si="0"/>
        <v>1</v>
      </c>
      <c r="K8" t="b">
        <f t="shared" ca="1" si="1"/>
        <v>1</v>
      </c>
    </row>
    <row r="9" spans="2:16">
      <c r="C9" s="533" t="s">
        <v>449</v>
      </c>
      <c r="D9" s="564" t="str" cm="1">
        <f t="array" aca="1" ref="D9" ca="1">INDIRECT("'"&amp;$C9&amp;"'!"&amp;D$3)</f>
        <v>Patrick Donnelly</v>
      </c>
      <c r="E9" s="565" t="str" cm="1">
        <f t="array" aca="1" ref="E9" ca="1">INDIRECT("'"&amp;$C9&amp;"'!"&amp;E$3)</f>
        <v>SVP, Legal and Organizational Effectiveness</v>
      </c>
      <c r="F9" s="564" cm="1">
        <f t="array" aca="1" ref="F9" ca="1">INDIRECT("'"&amp;$C9&amp;"'!"&amp;F$3)</f>
        <v>0.51538461538461533</v>
      </c>
      <c r="G9" s="565" cm="1">
        <f t="array" aca="1" ref="G9" ca="1">INDIRECT("'"&amp;$C9&amp;"'!"&amp;G$3)</f>
        <v>0.48461538461538467</v>
      </c>
      <c r="H9" s="564" cm="1">
        <f t="array" aca="1" ref="H9" ca="1">INDIRECT("'"&amp;$C9&amp;"'!"&amp;H$3)</f>
        <v>0.53846153846153844</v>
      </c>
      <c r="I9" s="565" cm="1">
        <f t="array" aca="1" ref="I9" ca="1">INDIRECT("'"&amp;$C9&amp;"'!"&amp;I$3)</f>
        <v>0.46153846153846156</v>
      </c>
      <c r="J9" t="b">
        <f t="shared" ca="1" si="0"/>
        <v>1</v>
      </c>
      <c r="K9" t="b">
        <f t="shared" ca="1" si="1"/>
        <v>1</v>
      </c>
    </row>
    <row r="10" spans="2:16">
      <c r="C10" s="533" t="s">
        <v>450</v>
      </c>
      <c r="D10" s="564" t="str" cm="1">
        <f t="array" aca="1" ref="D10" ca="1">INDIRECT("'"&amp;$C10&amp;"'!"&amp;D$3)</f>
        <v>Javier Del Rio</v>
      </c>
      <c r="E10" s="565" t="str" cm="1">
        <f t="array" aca="1" ref="E10" ca="1">INDIRECT("'"&amp;$C10&amp;"'!"&amp;E$3)</f>
        <v>SVP, US Business Unit</v>
      </c>
      <c r="F10" s="564" cm="1">
        <f t="array" aca="1" ref="F10" ca="1">INDIRECT("'"&amp;$C10&amp;"'!"&amp;F$3)</f>
        <v>0.53485576923076916</v>
      </c>
      <c r="G10" s="565" cm="1">
        <f t="array" aca="1" ref="G10" ca="1">INDIRECT("'"&amp;$C10&amp;"'!"&amp;G$3)</f>
        <v>0.46514423076923073</v>
      </c>
      <c r="H10" s="564" cm="1">
        <f t="array" aca="1" ref="H10" ca="1">INDIRECT("'"&amp;$C10&amp;"'!"&amp;H$3)</f>
        <v>0.5714285714285714</v>
      </c>
      <c r="I10" s="565" cm="1">
        <f t="array" aca="1" ref="I10" ca="1">INDIRECT("'"&amp;$C10&amp;"'!"&amp;I$3)</f>
        <v>0.42857142857142855</v>
      </c>
      <c r="J10" t="b">
        <f t="shared" ca="1" si="0"/>
        <v>1</v>
      </c>
      <c r="K10" t="b">
        <f t="shared" ca="1" si="1"/>
        <v>1</v>
      </c>
    </row>
    <row r="11" spans="2:16">
      <c r="C11" s="533" t="s">
        <v>450</v>
      </c>
      <c r="D11" s="564" t="str" cm="1">
        <f t="array" aca="1" ref="D11" ca="1">INDIRECT("'"&amp;$C11&amp;"'!"&amp;D$2)</f>
        <v>Olivier Tavchandjian</v>
      </c>
      <c r="E11" s="565" t="str" cm="1">
        <f t="array" aca="1" ref="E11" ca="1">INDIRECT("'"&amp;$C11&amp;"'!"&amp;E$2)</f>
        <v>SVP, Exploration and Technical Services</v>
      </c>
      <c r="F11" s="564" cm="1">
        <f t="array" aca="1" ref="F11" ca="1">INDIRECT("'"&amp;$C11&amp;"'!"&amp;F$3)</f>
        <v>0.53485576923076916</v>
      </c>
      <c r="G11" s="565" cm="1">
        <f t="array" aca="1" ref="G11" ca="1">INDIRECT("'"&amp;$C11&amp;"'!"&amp;G$3)</f>
        <v>0.46514423076923073</v>
      </c>
      <c r="H11" s="564" cm="1">
        <f t="array" aca="1" ref="H11" ca="1">INDIRECT("'"&amp;$C11&amp;"'!"&amp;H$2)</f>
        <v>0.5714285714285714</v>
      </c>
      <c r="I11" s="565" cm="1">
        <f t="array" aca="1" ref="I11" ca="1">INDIRECT("'"&amp;$C11&amp;"'!"&amp;I$2)</f>
        <v>0.42857142857142855</v>
      </c>
      <c r="J11" t="b">
        <f t="shared" ca="1" si="0"/>
        <v>1</v>
      </c>
      <c r="K11" t="b">
        <f t="shared" ca="1" si="1"/>
        <v>1</v>
      </c>
    </row>
    <row r="12" spans="2:16">
      <c r="C12" s="533" t="s">
        <v>450</v>
      </c>
      <c r="D12" s="759" t="str">
        <f>'NEO5'!F41</f>
        <v>Olivier Tavchandjian</v>
      </c>
      <c r="E12" s="759" t="str">
        <f>'NEO5'!G41</f>
        <v>SVP, Exploration and Technical Services</v>
      </c>
      <c r="F12" s="564" cm="1">
        <f t="array" aca="1" ref="F12" ca="1">INDIRECT("'"&amp;$C12&amp;"'!"&amp;F$3)</f>
        <v>0.53485576923076916</v>
      </c>
      <c r="G12" s="565" cm="1">
        <f t="array" aca="1" ref="G12" ca="1">INDIRECT("'"&amp;$C12&amp;"'!"&amp;G$3)</f>
        <v>0.46514423076923073</v>
      </c>
      <c r="H12" s="758">
        <f>'NEO5'!AC41</f>
        <v>0.5714285714285714</v>
      </c>
      <c r="I12" s="758">
        <f>'NEO5'!AD41</f>
        <v>0.42857142857142855</v>
      </c>
      <c r="J12" t="b">
        <f ca="1">SUM(F12:G12)=1</f>
        <v>1</v>
      </c>
      <c r="K12" t="b">
        <f>SUM(H12:I12)=1</f>
        <v>1</v>
      </c>
    </row>
    <row r="13" spans="2:16">
      <c r="C13" s="533" t="s">
        <v>277</v>
      </c>
      <c r="D13" s="759" t="str">
        <f ca="1">D8</f>
        <v>Andre Lauzon</v>
      </c>
      <c r="E13" s="759" t="str">
        <f ca="1">E8</f>
        <v>COO</v>
      </c>
      <c r="F13" s="757">
        <f>COO!AC29</f>
        <v>0.51056338028169013</v>
      </c>
      <c r="G13" s="757">
        <f>COO!AD29</f>
        <v>0.48943661971830987</v>
      </c>
      <c r="H13" s="758">
        <f>COO!AC38</f>
        <v>0.52777777777777779</v>
      </c>
      <c r="I13" s="758">
        <f>COO!AD38</f>
        <v>0.47222222222222227</v>
      </c>
      <c r="J13" t="b">
        <f t="shared" si="0"/>
        <v>1</v>
      </c>
      <c r="K13" t="b">
        <f t="shared" si="1"/>
        <v>1</v>
      </c>
    </row>
    <row r="14" spans="2:16">
      <c r="C14" s="533" t="s">
        <v>468</v>
      </c>
      <c r="D14" s="564" cm="1">
        <f t="array" aca="1" ref="D14" ca="1">INDIRECT("'"&amp;$C14&amp;"'!"&amp;D$3)</f>
        <v>0</v>
      </c>
      <c r="E14" s="565" t="str" cm="1">
        <f t="array" aca="1" ref="E14" ca="1">INDIRECT("'"&amp;$C14&amp;"'!"&amp;E$3)</f>
        <v>Y</v>
      </c>
      <c r="F14" s="564">
        <f>Legal!AC18</f>
        <v>0.52307692307692299</v>
      </c>
      <c r="G14" s="564">
        <f>Legal!AD18</f>
        <v>0.47692307692307689</v>
      </c>
      <c r="H14" s="564" cm="1">
        <f t="array" aca="1" ref="H14" ca="1">INDIRECT("'"&amp;$C14&amp;"'!"&amp;H$3)</f>
        <v>0</v>
      </c>
      <c r="I14" s="565" cm="1">
        <f t="array" aca="1" ref="I14" ca="1">INDIRECT("'"&amp;$C14&amp;"'!"&amp;I$3)</f>
        <v>0</v>
      </c>
      <c r="J14" t="b">
        <f t="shared" si="0"/>
        <v>1</v>
      </c>
      <c r="K14" t="b">
        <f t="shared" ca="1" si="1"/>
        <v>0</v>
      </c>
    </row>
    <row r="15" spans="2:16">
      <c r="C15" s="760" t="s">
        <v>469</v>
      </c>
      <c r="D15" s="761" cm="1">
        <f t="array" aca="1" ref="D15" ca="1">INDIRECT("'"&amp;$C15&amp;"'!"&amp;D$3)</f>
        <v>0</v>
      </c>
      <c r="E15" s="762" cm="1">
        <f t="array" aca="1" ref="E15" ca="1">INDIRECT("'"&amp;$C15&amp;"'!"&amp;E$3)</f>
        <v>0</v>
      </c>
      <c r="F15" s="761" cm="1">
        <f t="array" aca="1" ref="F15" ca="1">INDIRECT("'"&amp;$C15&amp;"'!"&amp;F$3)</f>
        <v>0.43399906721111081</v>
      </c>
      <c r="G15" s="762" cm="1">
        <f t="array" aca="1" ref="G15" ca="1">INDIRECT("'"&amp;$C15&amp;"'!"&amp;G$3)</f>
        <v>0.46545092838196289</v>
      </c>
      <c r="H15" s="761" t="str" cm="1">
        <f t="array" aca="1" ref="H15" ca="1">INDIRECT("'"&amp;$C15&amp;"'!"&amp;H$3)</f>
        <v>max</v>
      </c>
      <c r="I15" s="762" t="str" cm="1">
        <f t="array" aca="1" ref="I15" ca="1">INDIRECT("'"&amp;$C15&amp;"'!"&amp;I$3)</f>
        <v>min</v>
      </c>
      <c r="J15" s="732" t="b">
        <f t="shared" ca="1" si="0"/>
        <v>0</v>
      </c>
      <c r="K15" s="732" t="b">
        <f t="shared" ca="1" si="1"/>
        <v>0</v>
      </c>
    </row>
    <row r="16" spans="2:16">
      <c r="C16" s="763" t="s">
        <v>475</v>
      </c>
      <c r="D16" s="764" cm="1">
        <f t="array" aca="1" ref="D16" ca="1">INDIRECT("'"&amp;$C16&amp;"'!"&amp;D$3)</f>
        <v>0</v>
      </c>
      <c r="E16" s="765" t="str" cm="1">
        <f t="array" aca="1" ref="E16" ca="1">INDIRECT("'"&amp;$C16&amp;"'!"&amp;E$3)</f>
        <v>Y</v>
      </c>
      <c r="F16" s="764" cm="1">
        <f t="array" aca="1" ref="F16" ca="1">INDIRECT("'"&amp;$C16&amp;"'!"&amp;F$3)</f>
        <v>0</v>
      </c>
      <c r="G16" s="765" cm="1">
        <f t="array" aca="1" ref="G16" ca="1">INDIRECT("'"&amp;$C16&amp;"'!"&amp;G$3)</f>
        <v>0</v>
      </c>
      <c r="H16" s="764" cm="1">
        <f t="array" aca="1" ref="H16" ca="1">INDIRECT("'"&amp;$C16&amp;"'!"&amp;H$3)</f>
        <v>0</v>
      </c>
      <c r="I16" s="765" cm="1">
        <f t="array" aca="1" ref="I16" ca="1">INDIRECT("'"&amp;$C16&amp;"'!"&amp;I$3)</f>
        <v>0</v>
      </c>
      <c r="J16" s="732" t="b">
        <f t="shared" ca="1" si="0"/>
        <v>0</v>
      </c>
      <c r="K16" s="732" t="b">
        <f t="shared" ca="1" si="1"/>
        <v>0</v>
      </c>
      <c r="P16" s="570"/>
    </row>
  </sheetData>
  <mergeCells count="3">
    <mergeCell ref="C4:C5"/>
    <mergeCell ref="D4:D5"/>
    <mergeCell ref="E4:E5"/>
  </mergeCells>
  <conditionalFormatting sqref="C6:I16">
    <cfRule type="expression" dxfId="2" priority="1">
      <formula>MOD(ROW(),2)</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12C1-5032-4474-8A85-C458CCCD119D}">
  <sheetPr>
    <tabColor rgb="FFFFC000"/>
    <pageSetUpPr autoPageBreaks="0"/>
  </sheetPr>
  <dimension ref="B2:F35"/>
  <sheetViews>
    <sheetView workbookViewId="0"/>
  </sheetViews>
  <sheetFormatPr defaultRowHeight="14.5" outlineLevelRow="1"/>
  <cols>
    <col min="2" max="2" width="26.26953125" bestFit="1" customWidth="1"/>
    <col min="3" max="5" width="15.7265625" customWidth="1"/>
  </cols>
  <sheetData>
    <row r="2" spans="2:6" outlineLevel="1">
      <c r="B2" s="523" t="s">
        <v>662</v>
      </c>
      <c r="C2" s="525">
        <v>2023</v>
      </c>
      <c r="D2" s="525">
        <f>C2+1</f>
        <v>2024</v>
      </c>
      <c r="E2" s="525">
        <f>D2+1</f>
        <v>2025</v>
      </c>
    </row>
    <row r="3" spans="2:6" outlineLevel="1">
      <c r="B3" s="522" t="str">
        <f>B14</f>
        <v>75th Percentile</v>
      </c>
      <c r="C3" s="742" t="s">
        <v>663</v>
      </c>
      <c r="D3" s="157" t="s">
        <v>667</v>
      </c>
      <c r="E3" s="157" t="s">
        <v>668</v>
      </c>
    </row>
    <row r="4" spans="2:6" outlineLevel="1">
      <c r="B4" s="522" t="str">
        <f>B15</f>
        <v>Median</v>
      </c>
      <c r="C4" s="742" t="s">
        <v>664</v>
      </c>
      <c r="D4" s="157" t="s">
        <v>669</v>
      </c>
      <c r="E4" s="157" t="s">
        <v>670</v>
      </c>
    </row>
    <row r="5" spans="2:6" outlineLevel="1">
      <c r="B5" s="522" t="str">
        <f>B16</f>
        <v>25th Percentile</v>
      </c>
      <c r="C5" s="742" t="s">
        <v>665</v>
      </c>
      <c r="D5" s="157" t="s">
        <v>671</v>
      </c>
      <c r="E5" s="157" t="s">
        <v>672</v>
      </c>
    </row>
    <row r="6" spans="2:6" outlineLevel="1">
      <c r="B6" s="522" t="str">
        <f>B17</f>
        <v>Average</v>
      </c>
      <c r="C6" s="742" t="s">
        <v>666</v>
      </c>
      <c r="D6" s="157" t="s">
        <v>673</v>
      </c>
      <c r="E6" s="157" t="s">
        <v>674</v>
      </c>
    </row>
    <row r="7" spans="2:6" outlineLevel="1">
      <c r="B7" s="522" t="str">
        <f>B18</f>
        <v>Hudbay Minerals Inc.</v>
      </c>
      <c r="C7" s="742" t="s">
        <v>690</v>
      </c>
      <c r="D7" s="157" t="s">
        <v>675</v>
      </c>
      <c r="E7" s="157" t="s">
        <v>675</v>
      </c>
    </row>
    <row r="8" spans="2:6" outlineLevel="1"/>
    <row r="10" spans="2:6">
      <c r="C10" s="519" t="s">
        <v>450</v>
      </c>
    </row>
    <row r="11" spans="2:6" ht="15" customHeight="1">
      <c r="B11" s="76"/>
      <c r="C11" s="518" t="s">
        <v>68</v>
      </c>
      <c r="D11" s="78"/>
      <c r="E11" s="77"/>
    </row>
    <row r="12" spans="2:6" ht="30">
      <c r="B12" s="76"/>
      <c r="C12" s="75" t="s">
        <v>716</v>
      </c>
      <c r="D12" s="75" t="s">
        <v>717</v>
      </c>
      <c r="E12" s="75" t="s">
        <v>718</v>
      </c>
    </row>
    <row r="13" spans="2:6">
      <c r="B13" s="74" t="s">
        <v>67</v>
      </c>
      <c r="C13" s="73"/>
      <c r="D13" s="73"/>
      <c r="E13" s="73"/>
    </row>
    <row r="14" spans="2:6">
      <c r="B14" s="67" t="s">
        <v>9</v>
      </c>
      <c r="C14" s="737">
        <v>1927.9014840480907</v>
      </c>
      <c r="D14" s="72" cm="1">
        <f t="array" aca="1" ref="D14" ca="1">INDIRECT("'"&amp;$C$10&amp;"'!"&amp;D3)</f>
        <v>1935.2286802512044</v>
      </c>
      <c r="E14" s="72" cm="1">
        <f t="array" aca="1" ref="E14" ca="1">INDIRECT("'"&amp;$C$10&amp;"'!"&amp;E3)</f>
        <v>2053.2028843103499</v>
      </c>
      <c r="F14" t="s">
        <v>713</v>
      </c>
    </row>
    <row r="15" spans="2:6">
      <c r="B15" s="65" t="s">
        <v>8</v>
      </c>
      <c r="C15" s="738">
        <v>1432.8826545805</v>
      </c>
      <c r="D15" s="64" cm="1">
        <f t="array" aca="1" ref="D15" ca="1">INDIRECT("'"&amp;$C$10&amp;"'!"&amp;D4)</f>
        <v>1545.257864490181</v>
      </c>
      <c r="E15" s="64" cm="1">
        <f t="array" aca="1" ref="E15" ca="1">INDIRECT("'"&amp;$C$10&amp;"'!"&amp;E4)</f>
        <v>1591.6156004248865</v>
      </c>
      <c r="F15" s="571">
        <f ca="1">D15/C15-1</f>
        <v>7.8425968484195696E-2</v>
      </c>
    </row>
    <row r="16" spans="2:6">
      <c r="B16" s="63" t="s">
        <v>7</v>
      </c>
      <c r="C16" s="738">
        <v>1305.9778587325</v>
      </c>
      <c r="D16" s="64" cm="1">
        <f t="array" aca="1" ref="D16" ca="1">INDIRECT("'"&amp;$C$10&amp;"'!"&amp;D5)</f>
        <v>1415.0239999999999</v>
      </c>
      <c r="E16" s="64" cm="1">
        <f t="array" aca="1" ref="E16" ca="1">INDIRECT("'"&amp;$C$10&amp;"'!"&amp;E5)</f>
        <v>1457.4747200000002</v>
      </c>
      <c r="F16" s="732" t="s">
        <v>62</v>
      </c>
    </row>
    <row r="17" spans="2:6">
      <c r="B17" s="61" t="s">
        <v>6</v>
      </c>
      <c r="C17" s="739">
        <v>1626.2010226289901</v>
      </c>
      <c r="D17" s="64" cm="1">
        <f t="array" aca="1" ref="D17" ca="1">INDIRECT("'"&amp;$C$10&amp;"'!"&amp;D6)</f>
        <v>1702.093364541762</v>
      </c>
      <c r="E17" s="60" cm="1">
        <f t="array" aca="1" ref="E17" ca="1">INDIRECT("'"&amp;$C$10&amp;"'!"&amp;E6)</f>
        <v>1761.9856810713468</v>
      </c>
      <c r="F17" s="744">
        <f ca="1">D18/D15-1</f>
        <v>9.9442398595730008E-2</v>
      </c>
    </row>
    <row r="18" spans="2:6">
      <c r="B18" s="59" t="str">
        <f>CEO!C39</f>
        <v>Hudbay Minerals Inc.</v>
      </c>
      <c r="C18" s="740">
        <v>1508.5611565439999</v>
      </c>
      <c r="D18" s="58" cm="1">
        <f t="array" aca="1" ref="D18" ca="1">INDIRECT("'"&amp;$C$10&amp;"'!"&amp;D7)</f>
        <v>1698.922012984</v>
      </c>
      <c r="E18" s="58" cm="1">
        <f t="array" aca="1" ref="E18" ca="1">INDIRECT("'"&amp;$C$10&amp;"'!"&amp;E7)</f>
        <v>1698.922012984</v>
      </c>
      <c r="F18" s="745">
        <f ca="1">D18/C18-1</f>
        <v>0.12618703299778877</v>
      </c>
    </row>
    <row r="19" spans="2:6">
      <c r="B19" s="71"/>
      <c r="C19" s="70"/>
      <c r="D19" s="70"/>
      <c r="E19" s="70"/>
    </row>
    <row r="20" spans="2:6">
      <c r="B20" s="69" t="s">
        <v>66</v>
      </c>
      <c r="C20" s="68"/>
      <c r="D20" s="68"/>
      <c r="E20" s="68"/>
    </row>
    <row r="21" spans="2:6">
      <c r="B21" s="67" t="s">
        <v>65</v>
      </c>
      <c r="C21" s="66">
        <f>C16</f>
        <v>1305.9778587325</v>
      </c>
      <c r="D21" s="66">
        <f ca="1">D16</f>
        <v>1415.0239999999999</v>
      </c>
      <c r="E21" s="66">
        <f ca="1">E16</f>
        <v>1457.4747200000002</v>
      </c>
    </row>
    <row r="22" spans="2:6">
      <c r="B22" s="65" t="s">
        <v>64</v>
      </c>
      <c r="C22" s="64">
        <f>(C15-C16)</f>
        <v>126.90479584800005</v>
      </c>
      <c r="D22" s="64">
        <f ca="1">(D15-D16)</f>
        <v>130.23386449018108</v>
      </c>
      <c r="E22" s="64">
        <f ca="1">(E15-E16)</f>
        <v>134.14088042488629</v>
      </c>
    </row>
    <row r="23" spans="2:6">
      <c r="B23" s="63" t="s">
        <v>63</v>
      </c>
      <c r="C23" s="62">
        <f>(C14-C15)</f>
        <v>495.01882946759065</v>
      </c>
      <c r="D23" s="62">
        <f ca="1">(D14-D15)</f>
        <v>389.97081576102346</v>
      </c>
      <c r="E23" s="62">
        <f ca="1">(E14-E15)</f>
        <v>461.58728388546342</v>
      </c>
    </row>
    <row r="24" spans="2:6">
      <c r="B24" s="61" t="s">
        <v>6</v>
      </c>
      <c r="C24" s="60">
        <f t="shared" ref="C24:E25" si="0">C17</f>
        <v>1626.2010226289901</v>
      </c>
      <c r="D24" s="60">
        <f t="shared" ca="1" si="0"/>
        <v>1702.093364541762</v>
      </c>
      <c r="E24" s="60">
        <f t="shared" ca="1" si="0"/>
        <v>1761.9856810713468</v>
      </c>
    </row>
    <row r="25" spans="2:6">
      <c r="B25" s="59" t="str">
        <f>B18</f>
        <v>Hudbay Minerals Inc.</v>
      </c>
      <c r="C25" s="58">
        <f t="shared" si="0"/>
        <v>1508.5611565439999</v>
      </c>
      <c r="D25" s="58">
        <f t="shared" ca="1" si="0"/>
        <v>1698.922012984</v>
      </c>
      <c r="E25" s="58">
        <f t="shared" ca="1" si="0"/>
        <v>1698.922012984</v>
      </c>
    </row>
    <row r="27" spans="2:6">
      <c r="B27" s="57" t="s">
        <v>62</v>
      </c>
      <c r="C27" s="56">
        <f>C18-C15</f>
        <v>75.678501963499912</v>
      </c>
      <c r="D27" s="56">
        <f ca="1">D18-D15</f>
        <v>153.66414849381908</v>
      </c>
      <c r="E27" s="56">
        <f ca="1">E18-E15</f>
        <v>107.3064125591136</v>
      </c>
    </row>
    <row r="29" spans="2:6">
      <c r="B29" s="520" t="s">
        <v>695</v>
      </c>
      <c r="C29" s="521"/>
      <c r="D29" s="521"/>
      <c r="E29" s="521"/>
    </row>
    <row r="30" spans="2:6">
      <c r="B30" t="s">
        <v>735</v>
      </c>
      <c r="E30" s="54">
        <f>Region!W36</f>
        <v>2489.6343251258886</v>
      </c>
    </row>
    <row r="31" spans="2:6">
      <c r="B31" t="s">
        <v>731</v>
      </c>
      <c r="C31" s="54"/>
      <c r="E31" s="54">
        <f>Region!W37</f>
        <v>1302.6358586277611</v>
      </c>
    </row>
    <row r="32" spans="2:6">
      <c r="B32" t="s">
        <v>736</v>
      </c>
      <c r="C32" s="54"/>
      <c r="E32" s="54">
        <f>Region!W39</f>
        <v>2219.3924999999999</v>
      </c>
    </row>
    <row r="33" spans="2:5">
      <c r="B33" t="s">
        <v>734</v>
      </c>
      <c r="E33" s="54">
        <f>Region!W44</f>
        <v>2638.9666050000001</v>
      </c>
    </row>
    <row r="34" spans="2:5">
      <c r="B34" t="s">
        <v>785</v>
      </c>
      <c r="E34" s="54">
        <f>Region!W46</f>
        <v>1926.8183057855492</v>
      </c>
    </row>
    <row r="35" spans="2:5">
      <c r="B35" t="s">
        <v>786</v>
      </c>
      <c r="E35" s="54">
        <f>Region!W47</f>
        <v>1784.781663643063</v>
      </c>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6C3A-DEBF-420A-81AA-5AC287B8A3DF}">
  <sheetPr codeName="Sheet17">
    <tabColor theme="5"/>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79</v>
      </c>
      <c r="D3" s="78" t="str">
        <f>C3</f>
        <v>CEO</v>
      </c>
      <c r="E3" s="77" t="str">
        <f>D3</f>
        <v>CEO</v>
      </c>
    </row>
    <row r="4" spans="2:5" ht="15">
      <c r="B4" s="76"/>
      <c r="C4" s="75" t="s">
        <v>17</v>
      </c>
      <c r="D4" s="75" t="s">
        <v>59</v>
      </c>
      <c r="E4" s="75" t="s">
        <v>68</v>
      </c>
    </row>
    <row r="5" spans="2:5">
      <c r="B5" s="74" t="s">
        <v>67</v>
      </c>
      <c r="C5" s="73"/>
      <c r="D5" s="73"/>
      <c r="E5" s="73"/>
    </row>
    <row r="6" spans="2:5">
      <c r="B6" s="67" t="s">
        <v>9</v>
      </c>
      <c r="C6" s="72">
        <f>CEO!I29</f>
        <v>1266.1611250000001</v>
      </c>
      <c r="D6" s="72">
        <f>CEO!P29</f>
        <v>2439.0025875000001</v>
      </c>
      <c r="E6" s="72">
        <f>CEO!W29</f>
        <v>7095.4449833333338</v>
      </c>
    </row>
    <row r="7" spans="2:5">
      <c r="B7" s="65" t="s">
        <v>8</v>
      </c>
      <c r="C7" s="64">
        <f>CEO!I30</f>
        <v>1010.4</v>
      </c>
      <c r="D7" s="64">
        <f>CEO!P30</f>
        <v>2151.40625</v>
      </c>
      <c r="E7" s="64">
        <f>CEO!W30</f>
        <v>5021.26</v>
      </c>
    </row>
    <row r="8" spans="2:5">
      <c r="B8" s="63" t="s">
        <v>7</v>
      </c>
      <c r="C8" s="64">
        <f>CEO!I31</f>
        <v>882.9941</v>
      </c>
      <c r="D8" s="64">
        <f>CEO!P31</f>
        <v>1891.25</v>
      </c>
      <c r="E8" s="64">
        <f>CEO!W31</f>
        <v>4314.703125</v>
      </c>
    </row>
    <row r="9" spans="2:5">
      <c r="B9" s="61" t="s">
        <v>6</v>
      </c>
      <c r="C9" s="60">
        <f>CEO!I32</f>
        <v>1094.2488626892857</v>
      </c>
      <c r="D9" s="64">
        <f>CEO!P32</f>
        <v>2363.1724091453575</v>
      </c>
      <c r="E9" s="60">
        <f>CEO!W32</f>
        <v>5578.1621173485619</v>
      </c>
    </row>
    <row r="10" spans="2:5">
      <c r="B10" s="59" t="str">
        <f>CEO!C39</f>
        <v>Hudbay Minerals Inc.</v>
      </c>
      <c r="C10" s="58">
        <f>CEO!I39</f>
        <v>1047.5250000000001</v>
      </c>
      <c r="D10" s="58">
        <f>CEO!P39</f>
        <v>2304.5549999999998</v>
      </c>
      <c r="E10" s="58">
        <f>CEO!W39</f>
        <v>5080.4962500000001</v>
      </c>
    </row>
    <row r="11" spans="2:5">
      <c r="B11" s="71"/>
      <c r="C11" s="70"/>
      <c r="D11" s="70"/>
      <c r="E11" s="70"/>
    </row>
    <row r="12" spans="2:5">
      <c r="B12" s="69" t="s">
        <v>66</v>
      </c>
      <c r="C12" s="68"/>
      <c r="D12" s="68"/>
      <c r="E12" s="68"/>
    </row>
    <row r="13" spans="2:5">
      <c r="B13" s="67" t="s">
        <v>65</v>
      </c>
      <c r="C13" s="66">
        <f>C8</f>
        <v>882.9941</v>
      </c>
      <c r="D13" s="66">
        <f>D8</f>
        <v>1891.25</v>
      </c>
      <c r="E13" s="66">
        <f>E8</f>
        <v>4314.703125</v>
      </c>
    </row>
    <row r="14" spans="2:5">
      <c r="B14" s="65" t="s">
        <v>64</v>
      </c>
      <c r="C14" s="64">
        <f>(C7-C8)</f>
        <v>127.40589999999997</v>
      </c>
      <c r="D14" s="64">
        <f>(D7-D8)</f>
        <v>260.15625</v>
      </c>
      <c r="E14" s="64">
        <f>(E7-E8)</f>
        <v>706.55687500000022</v>
      </c>
    </row>
    <row r="15" spans="2:5">
      <c r="B15" s="63" t="s">
        <v>63</v>
      </c>
      <c r="C15" s="62">
        <f>(C6-C7)</f>
        <v>255.76112500000011</v>
      </c>
      <c r="D15" s="62">
        <f>(D6-D7)</f>
        <v>287.59633750000012</v>
      </c>
      <c r="E15" s="62">
        <f>(E6-E7)</f>
        <v>2074.1849833333335</v>
      </c>
    </row>
    <row r="16" spans="2:5">
      <c r="B16" s="61" t="s">
        <v>6</v>
      </c>
      <c r="C16" s="60">
        <f t="shared" ref="C16:E17" si="0">C9</f>
        <v>1094.2488626892857</v>
      </c>
      <c r="D16" s="60">
        <f t="shared" si="0"/>
        <v>2363.1724091453575</v>
      </c>
      <c r="E16" s="60">
        <f t="shared" si="0"/>
        <v>5578.1621173485619</v>
      </c>
    </row>
    <row r="17" spans="2:5">
      <c r="B17" s="59" t="str">
        <f>B10</f>
        <v>Hudbay Minerals Inc.</v>
      </c>
      <c r="C17" s="58">
        <f t="shared" si="0"/>
        <v>1047.5250000000001</v>
      </c>
      <c r="D17" s="58">
        <f t="shared" si="0"/>
        <v>2304.5549999999998</v>
      </c>
      <c r="E17" s="58">
        <f t="shared" si="0"/>
        <v>5080.4962500000001</v>
      </c>
    </row>
    <row r="19" spans="2:5">
      <c r="B19" s="57" t="s">
        <v>62</v>
      </c>
      <c r="C19" s="56">
        <f>C10-C7</f>
        <v>37.125000000000114</v>
      </c>
      <c r="D19" s="56">
        <f>D10-D7</f>
        <v>153.14874999999984</v>
      </c>
      <c r="E19" s="56">
        <f>E10-E7</f>
        <v>59.236249999999927</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6739-D2AD-4A7C-A9A6-476F604E434C}">
  <sheetPr codeName="Sheet18">
    <tabColor theme="5"/>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106</v>
      </c>
      <c r="D3" s="78" t="str">
        <f>C3</f>
        <v>CFO</v>
      </c>
      <c r="E3" s="77" t="str">
        <f>D3</f>
        <v>CFO</v>
      </c>
    </row>
    <row r="4" spans="2:5" ht="15">
      <c r="B4" s="76"/>
      <c r="C4" s="75" t="s">
        <v>17</v>
      </c>
      <c r="D4" s="75" t="s">
        <v>59</v>
      </c>
      <c r="E4" s="75" t="s">
        <v>68</v>
      </c>
    </row>
    <row r="5" spans="2:5">
      <c r="B5" s="74" t="s">
        <v>67</v>
      </c>
      <c r="C5" s="73"/>
      <c r="D5" s="73"/>
      <c r="E5" s="73"/>
    </row>
    <row r="6" spans="2:5">
      <c r="B6" s="67" t="s">
        <v>9</v>
      </c>
      <c r="C6" s="72" t="e">
        <f>#REF!</f>
        <v>#REF!</v>
      </c>
      <c r="D6" s="72" t="e">
        <f>#REF!</f>
        <v>#REF!</v>
      </c>
      <c r="E6" s="72" t="e">
        <f>#REF!</f>
        <v>#REF!</v>
      </c>
    </row>
    <row r="7" spans="2:5">
      <c r="B7" s="65" t="s">
        <v>8</v>
      </c>
      <c r="C7" s="64" t="e">
        <f>#REF!</f>
        <v>#REF!</v>
      </c>
      <c r="D7" s="64" t="e">
        <f>#REF!</f>
        <v>#REF!</v>
      </c>
      <c r="E7" s="64" t="e">
        <f>#REF!</f>
        <v>#REF!</v>
      </c>
    </row>
    <row r="8" spans="2:5">
      <c r="B8" s="63" t="s">
        <v>7</v>
      </c>
      <c r="C8" s="64" t="e">
        <f>#REF!</f>
        <v>#REF!</v>
      </c>
      <c r="D8" s="64" t="e">
        <f>#REF!</f>
        <v>#REF!</v>
      </c>
      <c r="E8" s="64" t="e">
        <f>#REF!</f>
        <v>#REF!</v>
      </c>
    </row>
    <row r="9" spans="2:5">
      <c r="B9" s="61" t="s">
        <v>6</v>
      </c>
      <c r="C9" s="60" t="e">
        <f>#REF!</f>
        <v>#REF!</v>
      </c>
      <c r="D9" s="64" t="e">
        <f>#REF!</f>
        <v>#REF!</v>
      </c>
      <c r="E9" s="60" t="e">
        <f>#REF!</f>
        <v>#REF!</v>
      </c>
    </row>
    <row r="10" spans="2:5">
      <c r="B10" s="59" t="str">
        <f>CEO!C39</f>
        <v>Hudbay Minerals Inc.</v>
      </c>
      <c r="C10" s="58" t="e">
        <f>#REF!</f>
        <v>#REF!</v>
      </c>
      <c r="D10" s="58" t="e">
        <f>#REF!</f>
        <v>#REF!</v>
      </c>
      <c r="E10" s="58" t="e">
        <f>#REF!</f>
        <v>#REF!</v>
      </c>
    </row>
    <row r="11" spans="2:5">
      <c r="B11" s="71"/>
      <c r="C11" s="70"/>
      <c r="D11" s="70"/>
      <c r="E11" s="70"/>
    </row>
    <row r="12" spans="2:5">
      <c r="B12" s="69" t="s">
        <v>66</v>
      </c>
      <c r="C12" s="68"/>
      <c r="D12" s="68"/>
      <c r="E12" s="68"/>
    </row>
    <row r="13" spans="2:5">
      <c r="B13" s="67" t="s">
        <v>65</v>
      </c>
      <c r="C13" s="66" t="e">
        <f>C8</f>
        <v>#REF!</v>
      </c>
      <c r="D13" s="66" t="e">
        <f>D8</f>
        <v>#REF!</v>
      </c>
      <c r="E13" s="66" t="e">
        <f>E8</f>
        <v>#REF!</v>
      </c>
    </row>
    <row r="14" spans="2:5">
      <c r="B14" s="65" t="s">
        <v>64</v>
      </c>
      <c r="C14" s="64" t="e">
        <f>(C7-C8)</f>
        <v>#REF!</v>
      </c>
      <c r="D14" s="64" t="e">
        <f>(D7-D8)</f>
        <v>#REF!</v>
      </c>
      <c r="E14" s="64" t="e">
        <f>(E7-E8)</f>
        <v>#REF!</v>
      </c>
    </row>
    <row r="15" spans="2:5">
      <c r="B15" s="63" t="s">
        <v>63</v>
      </c>
      <c r="C15" s="62" t="e">
        <f>(C6-C7)</f>
        <v>#REF!</v>
      </c>
      <c r="D15" s="62" t="e">
        <f>(D6-D7)</f>
        <v>#REF!</v>
      </c>
      <c r="E15" s="62" t="e">
        <f>(E6-E7)</f>
        <v>#REF!</v>
      </c>
    </row>
    <row r="16" spans="2:5">
      <c r="B16" s="61" t="s">
        <v>6</v>
      </c>
      <c r="C16" s="60" t="e">
        <f t="shared" ref="C16:E17" si="0">C9</f>
        <v>#REF!</v>
      </c>
      <c r="D16" s="60" t="e">
        <f t="shared" si="0"/>
        <v>#REF!</v>
      </c>
      <c r="E16" s="60" t="e">
        <f t="shared" si="0"/>
        <v>#REF!</v>
      </c>
    </row>
    <row r="17" spans="2:5">
      <c r="B17" s="59" t="str">
        <f>B10</f>
        <v>Hudbay Minerals Inc.</v>
      </c>
      <c r="C17" s="58" t="e">
        <f t="shared" si="0"/>
        <v>#REF!</v>
      </c>
      <c r="D17" s="58" t="e">
        <f t="shared" si="0"/>
        <v>#REF!</v>
      </c>
      <c r="E17" s="58" t="e">
        <f t="shared" si="0"/>
        <v>#REF!</v>
      </c>
    </row>
    <row r="19" spans="2:5">
      <c r="B19" s="57" t="s">
        <v>62</v>
      </c>
      <c r="C19" s="56" t="e">
        <f>C10-C7</f>
        <v>#REF!</v>
      </c>
      <c r="D19" s="56" t="e">
        <f>D10-D7</f>
        <v>#REF!</v>
      </c>
      <c r="E19" s="56" t="e">
        <f>E10-E7</f>
        <v>#REF!</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4767-8CCD-40DF-AABA-D934BDF4056C}">
  <sheetPr codeName="Sheet20">
    <tabColor theme="5"/>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107</v>
      </c>
      <c r="D3" s="78" t="str">
        <f>C3</f>
        <v>NEO1</v>
      </c>
      <c r="E3" s="77" t="str">
        <f>D3</f>
        <v>NEO1</v>
      </c>
    </row>
    <row r="4" spans="2:5" ht="15">
      <c r="B4" s="76"/>
      <c r="C4" s="75" t="s">
        <v>17</v>
      </c>
      <c r="D4" s="75" t="s">
        <v>59</v>
      </c>
      <c r="E4" s="75" t="s">
        <v>68</v>
      </c>
    </row>
    <row r="5" spans="2:5">
      <c r="B5" s="74" t="s">
        <v>67</v>
      </c>
      <c r="C5" s="73"/>
      <c r="D5" s="73"/>
      <c r="E5" s="73"/>
    </row>
    <row r="6" spans="2:5">
      <c r="B6" s="67" t="s">
        <v>9</v>
      </c>
      <c r="C6" s="72" t="e">
        <f>#REF!</f>
        <v>#REF!</v>
      </c>
      <c r="D6" s="72" t="e">
        <f>#REF!</f>
        <v>#REF!</v>
      </c>
      <c r="E6" s="72" t="e">
        <f>#REF!</f>
        <v>#REF!</v>
      </c>
    </row>
    <row r="7" spans="2:5">
      <c r="B7" s="65" t="s">
        <v>8</v>
      </c>
      <c r="C7" s="64" t="e">
        <f>#REF!</f>
        <v>#REF!</v>
      </c>
      <c r="D7" s="64" t="e">
        <f>#REF!</f>
        <v>#REF!</v>
      </c>
      <c r="E7" s="64" t="e">
        <f>#REF!</f>
        <v>#REF!</v>
      </c>
    </row>
    <row r="8" spans="2:5">
      <c r="B8" s="63" t="s">
        <v>7</v>
      </c>
      <c r="C8" s="64" t="e">
        <f>#REF!</f>
        <v>#REF!</v>
      </c>
      <c r="D8" s="64" t="e">
        <f>#REF!</f>
        <v>#REF!</v>
      </c>
      <c r="E8" s="64" t="e">
        <f>#REF!</f>
        <v>#REF!</v>
      </c>
    </row>
    <row r="9" spans="2:5">
      <c r="B9" s="61" t="s">
        <v>6</v>
      </c>
      <c r="C9" s="60" t="e">
        <f>#REF!</f>
        <v>#REF!</v>
      </c>
      <c r="D9" s="64" t="e">
        <f>#REF!</f>
        <v>#REF!</v>
      </c>
      <c r="E9" s="60" t="e">
        <f>#REF!</f>
        <v>#REF!</v>
      </c>
    </row>
    <row r="10" spans="2:5">
      <c r="B10" s="59" t="str">
        <f>CEO!C39</f>
        <v>Hudbay Minerals Inc.</v>
      </c>
      <c r="C10" s="58" t="e">
        <f>#REF!</f>
        <v>#REF!</v>
      </c>
      <c r="D10" s="58" t="e">
        <f>#REF!</f>
        <v>#REF!</v>
      </c>
      <c r="E10" s="58" t="e">
        <f>#REF!</f>
        <v>#REF!</v>
      </c>
    </row>
    <row r="11" spans="2:5">
      <c r="B11" s="71"/>
      <c r="C11" s="70"/>
      <c r="D11" s="70"/>
      <c r="E11" s="70"/>
    </row>
    <row r="12" spans="2:5">
      <c r="B12" s="69" t="s">
        <v>66</v>
      </c>
      <c r="C12" s="68"/>
      <c r="D12" s="68"/>
      <c r="E12" s="68"/>
    </row>
    <row r="13" spans="2:5">
      <c r="B13" s="67" t="s">
        <v>65</v>
      </c>
      <c r="C13" s="66" t="e">
        <f>C8</f>
        <v>#REF!</v>
      </c>
      <c r="D13" s="66" t="e">
        <f>D8</f>
        <v>#REF!</v>
      </c>
      <c r="E13" s="66" t="e">
        <f>E8</f>
        <v>#REF!</v>
      </c>
    </row>
    <row r="14" spans="2:5">
      <c r="B14" s="65" t="s">
        <v>64</v>
      </c>
      <c r="C14" s="64" t="e">
        <f>(C7-C8)</f>
        <v>#REF!</v>
      </c>
      <c r="D14" s="64" t="e">
        <f>(D7-D8)</f>
        <v>#REF!</v>
      </c>
      <c r="E14" s="64" t="e">
        <f>(E7-E8)</f>
        <v>#REF!</v>
      </c>
    </row>
    <row r="15" spans="2:5">
      <c r="B15" s="63" t="s">
        <v>63</v>
      </c>
      <c r="C15" s="62" t="e">
        <f>(C6-C7)</f>
        <v>#REF!</v>
      </c>
      <c r="D15" s="62" t="e">
        <f>(D6-D7)</f>
        <v>#REF!</v>
      </c>
      <c r="E15" s="62" t="e">
        <f>(E6-E7)</f>
        <v>#REF!</v>
      </c>
    </row>
    <row r="16" spans="2:5">
      <c r="B16" s="61" t="s">
        <v>6</v>
      </c>
      <c r="C16" s="60" t="e">
        <f t="shared" ref="C16:E17" si="0">C9</f>
        <v>#REF!</v>
      </c>
      <c r="D16" s="60" t="e">
        <f t="shared" si="0"/>
        <v>#REF!</v>
      </c>
      <c r="E16" s="60" t="e">
        <f t="shared" si="0"/>
        <v>#REF!</v>
      </c>
    </row>
    <row r="17" spans="2:5">
      <c r="B17" s="59" t="str">
        <f>B10</f>
        <v>Hudbay Minerals Inc.</v>
      </c>
      <c r="C17" s="58" t="e">
        <f t="shared" si="0"/>
        <v>#REF!</v>
      </c>
      <c r="D17" s="58" t="e">
        <f t="shared" si="0"/>
        <v>#REF!</v>
      </c>
      <c r="E17" s="58" t="e">
        <f t="shared" si="0"/>
        <v>#REF!</v>
      </c>
    </row>
    <row r="19" spans="2:5">
      <c r="B19" s="57" t="s">
        <v>62</v>
      </c>
      <c r="C19" s="56" t="e">
        <f>C10-C7</f>
        <v>#REF!</v>
      </c>
      <c r="D19" s="56" t="e">
        <f>D10-D7</f>
        <v>#REF!</v>
      </c>
      <c r="E19" s="56" t="e">
        <f>E10-E7</f>
        <v>#REF!</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D1F2-7AEA-4B46-AE72-A38825179FD9}">
  <sheetPr>
    <tabColor theme="5"/>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109</v>
      </c>
      <c r="D3" s="78" t="str">
        <f>C3</f>
        <v>NEO3</v>
      </c>
      <c r="E3" s="77" t="str">
        <f>D3</f>
        <v>NEO3</v>
      </c>
    </row>
    <row r="4" spans="2:5" ht="15">
      <c r="B4" s="76"/>
      <c r="C4" s="75" t="s">
        <v>17</v>
      </c>
      <c r="D4" s="75" t="s">
        <v>59</v>
      </c>
      <c r="E4" s="75" t="s">
        <v>68</v>
      </c>
    </row>
    <row r="5" spans="2:5">
      <c r="B5" s="74" t="s">
        <v>67</v>
      </c>
      <c r="C5" s="73"/>
      <c r="D5" s="73"/>
      <c r="E5" s="73"/>
    </row>
    <row r="6" spans="2:5">
      <c r="B6" s="67" t="s">
        <v>9</v>
      </c>
      <c r="C6" s="72" t="e">
        <f>#REF!</f>
        <v>#REF!</v>
      </c>
      <c r="D6" s="72" t="e">
        <f>#REF!</f>
        <v>#REF!</v>
      </c>
      <c r="E6" s="72" t="e">
        <f>#REF!</f>
        <v>#REF!</v>
      </c>
    </row>
    <row r="7" spans="2:5">
      <c r="B7" s="65" t="s">
        <v>8</v>
      </c>
      <c r="C7" s="64" t="e">
        <f>#REF!</f>
        <v>#REF!</v>
      </c>
      <c r="D7" s="64" t="e">
        <f>#REF!</f>
        <v>#REF!</v>
      </c>
      <c r="E7" s="64" t="e">
        <f>#REF!</f>
        <v>#REF!</v>
      </c>
    </row>
    <row r="8" spans="2:5">
      <c r="B8" s="63" t="s">
        <v>7</v>
      </c>
      <c r="C8" s="64" t="e">
        <f>#REF!</f>
        <v>#REF!</v>
      </c>
      <c r="D8" s="64" t="e">
        <f>#REF!</f>
        <v>#REF!</v>
      </c>
      <c r="E8" s="64" t="e">
        <f>#REF!</f>
        <v>#REF!</v>
      </c>
    </row>
    <row r="9" spans="2:5">
      <c r="B9" s="61" t="s">
        <v>6</v>
      </c>
      <c r="C9" s="60" t="e">
        <f>#REF!</f>
        <v>#REF!</v>
      </c>
      <c r="D9" s="64" t="e">
        <f>#REF!</f>
        <v>#REF!</v>
      </c>
      <c r="E9" s="60" t="e">
        <f>#REF!</f>
        <v>#REF!</v>
      </c>
    </row>
    <row r="10" spans="2:5">
      <c r="B10" s="59" t="str">
        <f>CEO!C39</f>
        <v>Hudbay Minerals Inc.</v>
      </c>
      <c r="C10" s="58" t="e">
        <f>#REF!</f>
        <v>#REF!</v>
      </c>
      <c r="D10" s="58" t="e">
        <f>#REF!</f>
        <v>#REF!</v>
      </c>
      <c r="E10" s="58" t="e">
        <f>#REF!</f>
        <v>#REF!</v>
      </c>
    </row>
    <row r="11" spans="2:5">
      <c r="B11" s="71"/>
      <c r="C11" s="70"/>
      <c r="D11" s="70"/>
      <c r="E11" s="70"/>
    </row>
    <row r="12" spans="2:5">
      <c r="B12" s="69" t="s">
        <v>66</v>
      </c>
      <c r="C12" s="68"/>
      <c r="D12" s="68"/>
      <c r="E12" s="68"/>
    </row>
    <row r="13" spans="2:5">
      <c r="B13" s="67" t="s">
        <v>65</v>
      </c>
      <c r="C13" s="66" t="e">
        <f>C8</f>
        <v>#REF!</v>
      </c>
      <c r="D13" s="66" t="e">
        <f>D8</f>
        <v>#REF!</v>
      </c>
      <c r="E13" s="66" t="e">
        <f>E8</f>
        <v>#REF!</v>
      </c>
    </row>
    <row r="14" spans="2:5">
      <c r="B14" s="65" t="s">
        <v>64</v>
      </c>
      <c r="C14" s="64" t="e">
        <f>(C7-C8)</f>
        <v>#REF!</v>
      </c>
      <c r="D14" s="64" t="e">
        <f>(D7-D8)</f>
        <v>#REF!</v>
      </c>
      <c r="E14" s="64" t="e">
        <f>(E7-E8)</f>
        <v>#REF!</v>
      </c>
    </row>
    <row r="15" spans="2:5">
      <c r="B15" s="63" t="s">
        <v>63</v>
      </c>
      <c r="C15" s="62" t="e">
        <f>(C6-C7)</f>
        <v>#REF!</v>
      </c>
      <c r="D15" s="62" t="e">
        <f>(D6-D7)</f>
        <v>#REF!</v>
      </c>
      <c r="E15" s="62" t="e">
        <f>(E6-E7)</f>
        <v>#REF!</v>
      </c>
    </row>
    <row r="16" spans="2:5">
      <c r="B16" s="61" t="s">
        <v>6</v>
      </c>
      <c r="C16" s="60" t="e">
        <f t="shared" ref="C16:E17" si="0">C9</f>
        <v>#REF!</v>
      </c>
      <c r="D16" s="60" t="e">
        <f t="shared" si="0"/>
        <v>#REF!</v>
      </c>
      <c r="E16" s="60" t="e">
        <f t="shared" si="0"/>
        <v>#REF!</v>
      </c>
    </row>
    <row r="17" spans="2:5">
      <c r="B17" s="59" t="str">
        <f>B10</f>
        <v>Hudbay Minerals Inc.</v>
      </c>
      <c r="C17" s="58" t="e">
        <f t="shared" si="0"/>
        <v>#REF!</v>
      </c>
      <c r="D17" s="58" t="e">
        <f t="shared" si="0"/>
        <v>#REF!</v>
      </c>
      <c r="E17" s="58" t="e">
        <f t="shared" si="0"/>
        <v>#REF!</v>
      </c>
    </row>
    <row r="19" spans="2:5">
      <c r="B19" s="57" t="s">
        <v>62</v>
      </c>
      <c r="C19" s="56" t="e">
        <f>C10-C7</f>
        <v>#REF!</v>
      </c>
      <c r="D19" s="56" t="e">
        <f>D10-D7</f>
        <v>#REF!</v>
      </c>
      <c r="E19" s="56" t="e">
        <f>E10-E7</f>
        <v>#REF!</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1E8-7947-44E6-83FD-C23A25A95DD0}">
  <sheetPr>
    <tabColor theme="5"/>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108</v>
      </c>
      <c r="D3" s="78" t="str">
        <f>C3</f>
        <v>NEO2</v>
      </c>
      <c r="E3" s="77" t="str">
        <f>D3</f>
        <v>NEO2</v>
      </c>
    </row>
    <row r="4" spans="2:5" ht="15">
      <c r="B4" s="76"/>
      <c r="C4" s="75" t="s">
        <v>17</v>
      </c>
      <c r="D4" s="75" t="s">
        <v>59</v>
      </c>
      <c r="E4" s="75" t="s">
        <v>68</v>
      </c>
    </row>
    <row r="5" spans="2:5">
      <c r="B5" s="74" t="s">
        <v>67</v>
      </c>
      <c r="C5" s="73"/>
      <c r="D5" s="73"/>
      <c r="E5" s="73"/>
    </row>
    <row r="6" spans="2:5">
      <c r="B6" s="67" t="s">
        <v>9</v>
      </c>
      <c r="C6" s="72" t="e">
        <f>#REF!</f>
        <v>#REF!</v>
      </c>
      <c r="D6" s="72" t="e">
        <f>#REF!</f>
        <v>#REF!</v>
      </c>
      <c r="E6" s="72" t="e">
        <f>#REF!</f>
        <v>#REF!</v>
      </c>
    </row>
    <row r="7" spans="2:5">
      <c r="B7" s="65" t="s">
        <v>8</v>
      </c>
      <c r="C7" s="64" t="e">
        <f>#REF!</f>
        <v>#REF!</v>
      </c>
      <c r="D7" s="64" t="e">
        <f>#REF!</f>
        <v>#REF!</v>
      </c>
      <c r="E7" s="64" t="e">
        <f>#REF!</f>
        <v>#REF!</v>
      </c>
    </row>
    <row r="8" spans="2:5">
      <c r="B8" s="63" t="s">
        <v>7</v>
      </c>
      <c r="C8" s="64" t="e">
        <f>#REF!</f>
        <v>#REF!</v>
      </c>
      <c r="D8" s="64" t="e">
        <f>#REF!</f>
        <v>#REF!</v>
      </c>
      <c r="E8" s="64" t="e">
        <f>#REF!</f>
        <v>#REF!</v>
      </c>
    </row>
    <row r="9" spans="2:5">
      <c r="B9" s="61" t="s">
        <v>6</v>
      </c>
      <c r="C9" s="60" t="e">
        <f>#REF!</f>
        <v>#REF!</v>
      </c>
      <c r="D9" s="64" t="e">
        <f>#REF!</f>
        <v>#REF!</v>
      </c>
      <c r="E9" s="60" t="e">
        <f>#REF!</f>
        <v>#REF!</v>
      </c>
    </row>
    <row r="10" spans="2:5">
      <c r="B10" s="59" t="str">
        <f>CEO!C39</f>
        <v>Hudbay Minerals Inc.</v>
      </c>
      <c r="C10" s="58" t="e">
        <f>#REF!</f>
        <v>#REF!</v>
      </c>
      <c r="D10" s="58" t="e">
        <f>#REF!</f>
        <v>#REF!</v>
      </c>
      <c r="E10" s="58" t="e">
        <f>#REF!</f>
        <v>#REF!</v>
      </c>
    </row>
    <row r="11" spans="2:5">
      <c r="B11" s="71"/>
      <c r="C11" s="70"/>
      <c r="D11" s="70"/>
      <c r="E11" s="70"/>
    </row>
    <row r="12" spans="2:5">
      <c r="B12" s="69" t="s">
        <v>66</v>
      </c>
      <c r="C12" s="68"/>
      <c r="D12" s="68"/>
      <c r="E12" s="68"/>
    </row>
    <row r="13" spans="2:5">
      <c r="B13" s="67" t="s">
        <v>65</v>
      </c>
      <c r="C13" s="66" t="e">
        <f>C8</f>
        <v>#REF!</v>
      </c>
      <c r="D13" s="66" t="e">
        <f>D8</f>
        <v>#REF!</v>
      </c>
      <c r="E13" s="66" t="e">
        <f>E8</f>
        <v>#REF!</v>
      </c>
    </row>
    <row r="14" spans="2:5">
      <c r="B14" s="65" t="s">
        <v>64</v>
      </c>
      <c r="C14" s="64" t="e">
        <f>(C7-C8)</f>
        <v>#REF!</v>
      </c>
      <c r="D14" s="64" t="e">
        <f>(D7-D8)</f>
        <v>#REF!</v>
      </c>
      <c r="E14" s="64" t="e">
        <f>(E7-E8)</f>
        <v>#REF!</v>
      </c>
    </row>
    <row r="15" spans="2:5">
      <c r="B15" s="63" t="s">
        <v>63</v>
      </c>
      <c r="C15" s="62" t="e">
        <f>(C6-C7)</f>
        <v>#REF!</v>
      </c>
      <c r="D15" s="62" t="e">
        <f>(D6-D7)</f>
        <v>#REF!</v>
      </c>
      <c r="E15" s="62" t="e">
        <f>(E6-E7)</f>
        <v>#REF!</v>
      </c>
    </row>
    <row r="16" spans="2:5">
      <c r="B16" s="61" t="s">
        <v>6</v>
      </c>
      <c r="C16" s="60" t="e">
        <f t="shared" ref="C16:E17" si="0">C9</f>
        <v>#REF!</v>
      </c>
      <c r="D16" s="60" t="e">
        <f t="shared" si="0"/>
        <v>#REF!</v>
      </c>
      <c r="E16" s="60" t="e">
        <f t="shared" si="0"/>
        <v>#REF!</v>
      </c>
    </row>
    <row r="17" spans="2:5">
      <c r="B17" s="59" t="str">
        <f>B10</f>
        <v>Hudbay Minerals Inc.</v>
      </c>
      <c r="C17" s="58" t="e">
        <f t="shared" si="0"/>
        <v>#REF!</v>
      </c>
      <c r="D17" s="58" t="e">
        <f t="shared" si="0"/>
        <v>#REF!</v>
      </c>
      <c r="E17" s="58" t="e">
        <f t="shared" si="0"/>
        <v>#REF!</v>
      </c>
    </row>
    <row r="19" spans="2:5">
      <c r="B19" s="57" t="s">
        <v>62</v>
      </c>
      <c r="C19" s="56" t="e">
        <f>C10-C7</f>
        <v>#REF!</v>
      </c>
      <c r="D19" s="56" t="e">
        <f>D10-D7</f>
        <v>#REF!</v>
      </c>
      <c r="E19" s="56" t="e">
        <f>E10-E7</f>
        <v>#REF!</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AC11-0AC7-476F-8990-8F2F083D3C09}">
  <sheetPr>
    <tabColor theme="6" tint="0.59999389629810485"/>
  </sheetPr>
  <dimension ref="A1:K109"/>
  <sheetViews>
    <sheetView workbookViewId="0"/>
  </sheetViews>
  <sheetFormatPr defaultRowHeight="14.5"/>
  <cols>
    <col min="1" max="2" width="11.81640625" customWidth="1"/>
    <col min="5" max="5" width="37.54296875" bestFit="1" customWidth="1"/>
    <col min="6" max="6" width="86.453125" customWidth="1"/>
    <col min="7" max="7" width="5.26953125" style="333" customWidth="1"/>
    <col min="8" max="11" width="18.54296875" customWidth="1"/>
  </cols>
  <sheetData>
    <row r="1" spans="1:11">
      <c r="A1">
        <f>'Raw Data'!F9</f>
        <v>2024</v>
      </c>
    </row>
    <row r="3" spans="1:11">
      <c r="E3" s="348" t="s">
        <v>111</v>
      </c>
    </row>
    <row r="4" spans="1:11" ht="36" customHeight="1">
      <c r="E4" s="342" t="s">
        <v>22</v>
      </c>
      <c r="F4" s="343" t="s">
        <v>211</v>
      </c>
      <c r="G4" s="344"/>
      <c r="H4" s="334" t="s">
        <v>120</v>
      </c>
      <c r="I4" s="334" t="s">
        <v>27</v>
      </c>
      <c r="J4" s="334" t="s">
        <v>126</v>
      </c>
      <c r="K4" s="334" t="s">
        <v>32</v>
      </c>
    </row>
    <row r="5" spans="1:11">
      <c r="A5" s="323" t="str">
        <f t="shared" ref="A5:A36" si="0">+C5&amp;"_"&amp;$A$1&amp;"_"&amp;B5</f>
        <v>TSX:HBM_2024_CEO</v>
      </c>
      <c r="B5" s="323" t="s">
        <v>79</v>
      </c>
      <c r="C5" s="323" t="str">
        <f>'Raw Data'!G6</f>
        <v>TSX:HBM</v>
      </c>
      <c r="E5" s="1140" t="str">
        <f>IFERROR(INDEX(Raw_Data,MATCH($A5,Look_Up,0),MATCH(E$4,Component,0)),"-")</f>
        <v>Hudbay Minerals Inc.</v>
      </c>
      <c r="F5" s="341" t="s">
        <v>78</v>
      </c>
      <c r="G5" s="345"/>
      <c r="H5" s="347" t="str">
        <f t="shared" ref="H5:K9" si="1">IFERROR(INDEX(Raw_Data,MATCH($A5,Look_Up,0),MATCH(H$4,Component,0)),"-")</f>
        <v>2024-12-31</v>
      </c>
      <c r="I5" s="347" t="str">
        <f t="shared" si="1"/>
        <v>CAD</v>
      </c>
      <c r="J5" s="347" t="str">
        <f t="shared" si="1"/>
        <v>DC</v>
      </c>
      <c r="K5" s="347" t="str">
        <f t="shared" si="1"/>
        <v>-</v>
      </c>
    </row>
    <row r="6" spans="1:11">
      <c r="A6" s="322" t="str">
        <f t="shared" si="0"/>
        <v>TSX:HBM_2024_CFO</v>
      </c>
      <c r="B6" s="322" t="s">
        <v>106</v>
      </c>
      <c r="C6" s="322" t="str">
        <f>C5</f>
        <v>TSX:HBM</v>
      </c>
      <c r="E6" s="1140" t="str">
        <f>IFERROR(INDEX(Raw_Data,MATCH($A6,Look_Up,0),MATCH(E$4,Component,0)),"-")</f>
        <v>Hudbay Minerals Inc.</v>
      </c>
      <c r="F6" s="341" t="s">
        <v>78</v>
      </c>
      <c r="G6" s="345"/>
      <c r="H6" s="347" t="str">
        <f t="shared" si="1"/>
        <v>2024-12-31</v>
      </c>
      <c r="I6" s="347" t="str">
        <f t="shared" si="1"/>
        <v>CAD</v>
      </c>
      <c r="J6" s="347" t="str">
        <f t="shared" si="1"/>
        <v>DB &amp; DC</v>
      </c>
      <c r="K6" s="347" t="str">
        <f t="shared" si="1"/>
        <v>-</v>
      </c>
    </row>
    <row r="7" spans="1:11">
      <c r="A7" s="322" t="str">
        <f t="shared" si="0"/>
        <v>TSX:HBM_2024_NEO1</v>
      </c>
      <c r="B7" s="322" t="s">
        <v>107</v>
      </c>
      <c r="C7" s="322" t="str">
        <f>C6</f>
        <v>TSX:HBM</v>
      </c>
      <c r="E7" s="1140" t="str">
        <f>IFERROR(INDEX(Raw_Data,MATCH($A7,Look_Up,0),MATCH(E$4,Component,0)),"-")</f>
        <v>Hudbay Minerals Inc.</v>
      </c>
      <c r="F7" s="341" t="s">
        <v>78</v>
      </c>
      <c r="G7" s="345"/>
      <c r="H7" s="347" t="str">
        <f t="shared" si="1"/>
        <v>2024-12-31</v>
      </c>
      <c r="I7" s="347" t="str">
        <f t="shared" si="1"/>
        <v>CAD</v>
      </c>
      <c r="J7" s="347" t="str">
        <f t="shared" si="1"/>
        <v>DC</v>
      </c>
      <c r="K7" s="347" t="str">
        <f t="shared" si="1"/>
        <v>-</v>
      </c>
    </row>
    <row r="8" spans="1:11">
      <c r="A8" s="322" t="str">
        <f t="shared" si="0"/>
        <v>TSX:HBM_2024_NEO2</v>
      </c>
      <c r="B8" s="322" t="s">
        <v>108</v>
      </c>
      <c r="C8" s="322" t="str">
        <f>C7</f>
        <v>TSX:HBM</v>
      </c>
      <c r="E8" s="1140" t="str">
        <f>IFERROR(INDEX(Raw_Data,MATCH($A8,Look_Up,0),MATCH(E$4,Component,0)),"-")</f>
        <v>Hudbay Minerals Inc.</v>
      </c>
      <c r="F8" s="341" t="s">
        <v>78</v>
      </c>
      <c r="G8" s="345"/>
      <c r="H8" s="347" t="str">
        <f t="shared" si="1"/>
        <v>2024-12-31</v>
      </c>
      <c r="I8" s="347" t="str">
        <f t="shared" si="1"/>
        <v>CAD</v>
      </c>
      <c r="J8" s="347" t="str">
        <f t="shared" si="1"/>
        <v>DB</v>
      </c>
      <c r="K8" s="347" t="str">
        <f t="shared" si="1"/>
        <v>-</v>
      </c>
    </row>
    <row r="9" spans="1:11">
      <c r="A9" s="322" t="str">
        <f t="shared" si="0"/>
        <v>TSX:HBM_2024_NEO3</v>
      </c>
      <c r="B9" s="322" t="s">
        <v>109</v>
      </c>
      <c r="C9" s="322" t="str">
        <f>C8</f>
        <v>TSX:HBM</v>
      </c>
      <c r="E9" s="1140" t="str">
        <f>IFERROR(INDEX(Raw_Data,MATCH($A9,Look_Up,0),MATCH(E$4,Component,0)),"-")</f>
        <v>Hudbay Minerals Inc.</v>
      </c>
      <c r="F9" s="341" t="s">
        <v>78</v>
      </c>
      <c r="G9" s="345"/>
      <c r="H9" s="347" t="str">
        <f t="shared" si="1"/>
        <v>2024-12-31</v>
      </c>
      <c r="I9" s="347" t="str">
        <f t="shared" si="1"/>
        <v>USD</v>
      </c>
      <c r="J9" s="347" t="str">
        <f t="shared" si="1"/>
        <v>DB</v>
      </c>
      <c r="K9" s="347" t="str">
        <f t="shared" si="1"/>
        <v xml:space="preserve"> Other compensation includes tax top-ups for duplicate tax levied on income in US and Peru (-421713)</v>
      </c>
    </row>
    <row r="10" spans="1:11">
      <c r="A10" s="323" t="str">
        <f t="shared" si="0"/>
        <v>TSX:K_2024_CEO</v>
      </c>
      <c r="B10" s="323" t="s">
        <v>79</v>
      </c>
      <c r="C10" s="323" t="str">
        <f>'Raw Data'!D5</f>
        <v>TSX:K</v>
      </c>
      <c r="E10" s="1141" t="str">
        <f t="shared" ref="E10:E73" si="2">IFERROR(INDEX(Raw_Data,MATCH($A10,Look_Up,0),MATCH(E$4,Component,0)),"-")</f>
        <v>Kinross Gold Corporation</v>
      </c>
      <c r="F10" s="335" t="s">
        <v>78</v>
      </c>
      <c r="G10" s="345"/>
      <c r="H10" s="346" t="str">
        <f t="shared" ref="H10:K25" si="3">IFERROR(INDEX(Raw_Data,MATCH($A10,Look_Up,0),MATCH(H$4,Component,0)),"-")</f>
        <v>2024-12-31</v>
      </c>
      <c r="I10" s="346" t="str">
        <f t="shared" si="3"/>
        <v>USD</v>
      </c>
      <c r="J10" s="346" t="str">
        <f t="shared" si="3"/>
        <v>DC</v>
      </c>
      <c r="K10" s="346" t="str">
        <f t="shared" si="3"/>
        <v>-</v>
      </c>
    </row>
    <row r="11" spans="1:11">
      <c r="A11" s="322" t="str">
        <f t="shared" si="0"/>
        <v>TSX:K_2024_CFO</v>
      </c>
      <c r="B11" s="322" t="s">
        <v>106</v>
      </c>
      <c r="C11" s="322" t="str">
        <f>C10</f>
        <v>TSX:K</v>
      </c>
      <c r="E11" s="1141" t="str">
        <f t="shared" si="2"/>
        <v>Kinross Gold Corporation</v>
      </c>
      <c r="F11" s="335" t="s">
        <v>78</v>
      </c>
      <c r="G11" s="345"/>
      <c r="H11" s="346" t="str">
        <f t="shared" si="3"/>
        <v>2024-12-31</v>
      </c>
      <c r="I11" s="346" t="str">
        <f t="shared" si="3"/>
        <v>USD</v>
      </c>
      <c r="J11" s="346" t="str">
        <f t="shared" si="3"/>
        <v>DC</v>
      </c>
      <c r="K11" s="346" t="str">
        <f t="shared" si="3"/>
        <v>Ms. Freeborough’s 2024 STI calculated on formula would have been US$518,383. However, the human resources and compensation committee decided to reduce her STI payment by C$41,000 and increase her long-term incentive by the same amount to better align to the company’s target pay mix.</v>
      </c>
    </row>
    <row r="12" spans="1:11">
      <c r="A12" s="322" t="str">
        <f t="shared" si="0"/>
        <v>TSX:K_2024_NEO1</v>
      </c>
      <c r="B12" s="322" t="s">
        <v>107</v>
      </c>
      <c r="C12" s="322" t="str">
        <f>C11</f>
        <v>TSX:K</v>
      </c>
      <c r="E12" s="1141" t="str">
        <f t="shared" si="2"/>
        <v>Kinross Gold Corporation</v>
      </c>
      <c r="F12" s="335" t="s">
        <v>78</v>
      </c>
      <c r="G12" s="345"/>
      <c r="H12" s="346" t="str">
        <f t="shared" si="3"/>
        <v>2024-12-31</v>
      </c>
      <c r="I12" s="346" t="str">
        <f t="shared" si="3"/>
        <v>USD</v>
      </c>
      <c r="J12" s="346" t="str">
        <f t="shared" si="3"/>
        <v>DC</v>
      </c>
      <c r="K12" s="346" t="str">
        <f t="shared" si="3"/>
        <v>Mr. Gold’s 2024 STI calculated on formula would have been US$1,116,517. However, the human resources and compensation committee decided to reduce his STI payment by C$200,000 and increase his long-term incentive by the same amount to better align to the company’s target pay mix.</v>
      </c>
    </row>
    <row r="13" spans="1:11">
      <c r="A13" s="322" t="str">
        <f t="shared" si="0"/>
        <v>TSX:K_2024_NEO2</v>
      </c>
      <c r="B13" s="322" t="s">
        <v>108</v>
      </c>
      <c r="C13" s="322" t="str">
        <f>C12</f>
        <v>TSX:K</v>
      </c>
      <c r="E13" s="1141" t="str">
        <f t="shared" si="2"/>
        <v>Kinross Gold Corporation</v>
      </c>
      <c r="F13" s="335" t="s">
        <v>78</v>
      </c>
      <c r="G13" s="345"/>
      <c r="H13" s="346" t="str">
        <f t="shared" si="3"/>
        <v>2024-12-31</v>
      </c>
      <c r="I13" s="346" t="str">
        <f t="shared" si="3"/>
        <v>USD</v>
      </c>
      <c r="J13" s="346" t="str">
        <f t="shared" si="3"/>
        <v>DC</v>
      </c>
      <c r="K13" s="346" t="str">
        <f t="shared" si="3"/>
        <v>-</v>
      </c>
    </row>
    <row r="14" spans="1:11">
      <c r="A14" s="322" t="str">
        <f t="shared" si="0"/>
        <v>TSX:K_2024_NEO3</v>
      </c>
      <c r="B14" s="322" t="s">
        <v>109</v>
      </c>
      <c r="C14" s="322" t="str">
        <f>C13</f>
        <v>TSX:K</v>
      </c>
      <c r="E14" s="1141" t="str">
        <f t="shared" si="2"/>
        <v>Kinross Gold Corporation</v>
      </c>
      <c r="F14" s="335" t="s">
        <v>78</v>
      </c>
      <c r="G14" s="345"/>
      <c r="H14" s="346" t="str">
        <f t="shared" si="3"/>
        <v>2024-12-31</v>
      </c>
      <c r="I14" s="346" t="str">
        <f t="shared" si="3"/>
        <v>USD</v>
      </c>
      <c r="J14" s="346" t="str">
        <f t="shared" si="3"/>
        <v>DC</v>
      </c>
      <c r="K14" s="346" t="str">
        <f t="shared" si="3"/>
        <v>-</v>
      </c>
    </row>
    <row r="15" spans="1:11">
      <c r="A15" s="323" t="str">
        <f t="shared" si="0"/>
        <v>TSX:LUN_2024_CEO</v>
      </c>
      <c r="B15" s="323" t="s">
        <v>79</v>
      </c>
      <c r="C15" s="323" t="str">
        <f>'Raw Data'!D6</f>
        <v>TSX:LUN</v>
      </c>
      <c r="E15" s="1140" t="str">
        <f t="shared" si="2"/>
        <v>Lundin Mining Corporation</v>
      </c>
      <c r="F15" s="341" t="s">
        <v>78</v>
      </c>
      <c r="G15" s="345"/>
      <c r="H15" s="347" t="str">
        <f t="shared" si="3"/>
        <v>2024-12-31</v>
      </c>
      <c r="I15" s="347" t="str">
        <f t="shared" si="3"/>
        <v>USD</v>
      </c>
      <c r="J15" s="347" t="str">
        <f t="shared" si="3"/>
        <v>N/A</v>
      </c>
      <c r="K15" s="347" t="str">
        <f t="shared" si="3"/>
        <v>A portion of the STIP amounts awarded to Messrs. Lundin, Poulsen, Morel, and Brady is contingent upon the successful closing of the transaction involving the sale of the Neves Corvo and Zinkgruvan operations which is anticipated to close in mid-2025. The amounts payable on closing are C$425,000 for Jack Lundin, C$362,500 for Teitur Paulsen, CLP132,597,850 for Juan Andres Morel and C$307,500 for Peter Brady.</v>
      </c>
    </row>
    <row r="16" spans="1:11">
      <c r="A16" s="322" t="str">
        <f t="shared" si="0"/>
        <v>TSX:LUN_2024_CFO</v>
      </c>
      <c r="B16" s="322" t="s">
        <v>106</v>
      </c>
      <c r="C16" s="322" t="str">
        <f>C15</f>
        <v>TSX:LUN</v>
      </c>
      <c r="E16" s="1140" t="str">
        <f t="shared" si="2"/>
        <v>Lundin Mining Corporation</v>
      </c>
      <c r="F16" s="341" t="s">
        <v>78</v>
      </c>
      <c r="G16" s="345"/>
      <c r="H16" s="347" t="str">
        <f t="shared" si="3"/>
        <v>2024-12-31</v>
      </c>
      <c r="I16" s="347" t="str">
        <f t="shared" si="3"/>
        <v>USD</v>
      </c>
      <c r="J16" s="347" t="str">
        <f t="shared" si="3"/>
        <v>N/A</v>
      </c>
      <c r="K16" s="347" t="str">
        <f t="shared" si="3"/>
        <v>-</v>
      </c>
    </row>
    <row r="17" spans="1:11">
      <c r="A17" s="322" t="str">
        <f t="shared" si="0"/>
        <v>TSX:LUN_2024_NEO1</v>
      </c>
      <c r="B17" s="322" t="s">
        <v>107</v>
      </c>
      <c r="C17" s="322" t="str">
        <f>C16</f>
        <v>TSX:LUN</v>
      </c>
      <c r="E17" s="1140" t="str">
        <f t="shared" si="2"/>
        <v>Lundin Mining Corporation</v>
      </c>
      <c r="F17" s="341" t="s">
        <v>78</v>
      </c>
      <c r="G17" s="345"/>
      <c r="H17" s="347" t="str">
        <f t="shared" si="3"/>
        <v>2024-12-31</v>
      </c>
      <c r="I17" s="347" t="str">
        <f t="shared" si="3"/>
        <v>USD</v>
      </c>
      <c r="J17" s="347" t="str">
        <f t="shared" si="3"/>
        <v>N/A</v>
      </c>
      <c r="K17" s="347" t="str">
        <f t="shared" si="3"/>
        <v>-</v>
      </c>
    </row>
    <row r="18" spans="1:11">
      <c r="A18" s="322" t="str">
        <f t="shared" si="0"/>
        <v>TSX:LUN_2024_NEO2</v>
      </c>
      <c r="B18" s="322" t="s">
        <v>108</v>
      </c>
      <c r="C18" s="322" t="str">
        <f>C17</f>
        <v>TSX:LUN</v>
      </c>
      <c r="E18" s="1140" t="str">
        <f t="shared" si="2"/>
        <v>Lundin Mining Corporation</v>
      </c>
      <c r="F18" s="341" t="s">
        <v>78</v>
      </c>
      <c r="G18" s="345"/>
      <c r="H18" s="347" t="str">
        <f t="shared" si="3"/>
        <v>2024-12-31</v>
      </c>
      <c r="I18" s="347" t="str">
        <f t="shared" si="3"/>
        <v>USD</v>
      </c>
      <c r="J18" s="347" t="str">
        <f t="shared" si="3"/>
        <v>N/A</v>
      </c>
      <c r="K18" s="347" t="str">
        <f t="shared" si="3"/>
        <v>David Dicaire transitioned from his employment with Lundin Mining Corporation to Vicuña Corp., the newly formed joint venture with BHP, effective January 15, 2025.</v>
      </c>
    </row>
    <row r="19" spans="1:11">
      <c r="A19" s="322" t="str">
        <f t="shared" si="0"/>
        <v>TSX:LUN_2024_NEO3</v>
      </c>
      <c r="B19" s="322" t="s">
        <v>109</v>
      </c>
      <c r="C19" s="322" t="str">
        <f>C18</f>
        <v>TSX:LUN</v>
      </c>
      <c r="E19" s="1140" t="str">
        <f t="shared" si="2"/>
        <v>Lundin Mining Corporation</v>
      </c>
      <c r="F19" s="341" t="s">
        <v>78</v>
      </c>
      <c r="G19" s="345"/>
      <c r="H19" s="347" t="str">
        <f t="shared" si="3"/>
        <v>2024-12-31</v>
      </c>
      <c r="I19" s="347" t="str">
        <f t="shared" si="3"/>
        <v>USD</v>
      </c>
      <c r="J19" s="347" t="str">
        <f t="shared" si="3"/>
        <v>N/A</v>
      </c>
      <c r="K19" s="347" t="str">
        <f t="shared" si="3"/>
        <v>-</v>
      </c>
    </row>
    <row r="20" spans="1:11">
      <c r="A20" s="323" t="str">
        <f t="shared" si="0"/>
        <v>TSX:AGI_2024_CEO</v>
      </c>
      <c r="B20" s="323" t="s">
        <v>79</v>
      </c>
      <c r="C20" s="323" t="str">
        <f>'Raw Data'!D7</f>
        <v>TSX:AGI</v>
      </c>
      <c r="E20" s="1141" t="str">
        <f t="shared" si="2"/>
        <v>Alamos Gold Inc.</v>
      </c>
      <c r="F20" s="335" t="s">
        <v>78</v>
      </c>
      <c r="G20" s="345"/>
      <c r="H20" s="346" t="str">
        <f t="shared" si="3"/>
        <v>2024-12-31</v>
      </c>
      <c r="I20" s="346" t="str">
        <f t="shared" si="3"/>
        <v>USD</v>
      </c>
      <c r="J20" s="346" t="str">
        <f t="shared" si="3"/>
        <v>DC</v>
      </c>
      <c r="K20" s="346" t="str">
        <f t="shared" si="3"/>
        <v>-</v>
      </c>
    </row>
    <row r="21" spans="1:11">
      <c r="A21" s="322" t="str">
        <f t="shared" si="0"/>
        <v>TSX:AGI_2024_CFO</v>
      </c>
      <c r="B21" s="322" t="s">
        <v>106</v>
      </c>
      <c r="C21" s="322" t="str">
        <f>C20</f>
        <v>TSX:AGI</v>
      </c>
      <c r="E21" s="1141" t="str">
        <f t="shared" si="2"/>
        <v>Alamos Gold Inc.</v>
      </c>
      <c r="F21" s="335" t="s">
        <v>78</v>
      </c>
      <c r="G21" s="345"/>
      <c r="H21" s="346" t="str">
        <f t="shared" si="3"/>
        <v>2024-12-31</v>
      </c>
      <c r="I21" s="346" t="str">
        <f t="shared" si="3"/>
        <v>USD</v>
      </c>
      <c r="J21" s="346" t="str">
        <f t="shared" si="3"/>
        <v>DC</v>
      </c>
      <c r="K21" s="346" t="str">
        <f t="shared" si="3"/>
        <v>-</v>
      </c>
    </row>
    <row r="22" spans="1:11">
      <c r="A22" s="322" t="str">
        <f t="shared" si="0"/>
        <v>TSX:AGI_2024_NEO1</v>
      </c>
      <c r="B22" s="322" t="s">
        <v>107</v>
      </c>
      <c r="C22" s="322" t="str">
        <f>C21</f>
        <v>TSX:AGI</v>
      </c>
      <c r="E22" s="1141" t="str">
        <f t="shared" si="2"/>
        <v>Alamos Gold Inc.</v>
      </c>
      <c r="F22" s="335" t="s">
        <v>78</v>
      </c>
      <c r="G22" s="345"/>
      <c r="H22" s="346" t="str">
        <f t="shared" si="3"/>
        <v>2024-12-31</v>
      </c>
      <c r="I22" s="346" t="str">
        <f t="shared" si="3"/>
        <v>USD</v>
      </c>
      <c r="J22" s="346" t="str">
        <f t="shared" si="3"/>
        <v>DC</v>
      </c>
      <c r="K22" s="346" t="str">
        <f t="shared" si="3"/>
        <v>-</v>
      </c>
    </row>
    <row r="23" spans="1:11">
      <c r="A23" s="322" t="str">
        <f t="shared" si="0"/>
        <v>TSX:AGI_2024_NEO2</v>
      </c>
      <c r="B23" s="322" t="s">
        <v>108</v>
      </c>
      <c r="C23" s="322" t="str">
        <f>C22</f>
        <v>TSX:AGI</v>
      </c>
      <c r="E23" s="1141" t="str">
        <f t="shared" si="2"/>
        <v>Alamos Gold Inc.</v>
      </c>
      <c r="F23" s="335" t="s">
        <v>78</v>
      </c>
      <c r="G23" s="345"/>
      <c r="H23" s="346" t="str">
        <f t="shared" si="3"/>
        <v>2024-12-31</v>
      </c>
      <c r="I23" s="346" t="str">
        <f t="shared" si="3"/>
        <v>USD</v>
      </c>
      <c r="J23" s="346" t="str">
        <f t="shared" si="3"/>
        <v>DC</v>
      </c>
      <c r="K23" s="346" t="str">
        <f t="shared" si="3"/>
        <v>-</v>
      </c>
    </row>
    <row r="24" spans="1:11">
      <c r="A24" s="322" t="str">
        <f t="shared" si="0"/>
        <v>TSX:AGI_2024_NEO3</v>
      </c>
      <c r="B24" s="322" t="s">
        <v>109</v>
      </c>
      <c r="C24" s="322" t="str">
        <f>C23</f>
        <v>TSX:AGI</v>
      </c>
      <c r="E24" s="1141" t="str">
        <f t="shared" si="2"/>
        <v>Alamos Gold Inc.</v>
      </c>
      <c r="F24" s="335" t="s">
        <v>78</v>
      </c>
      <c r="G24" s="345"/>
      <c r="H24" s="346" t="str">
        <f t="shared" si="3"/>
        <v>2024-12-31</v>
      </c>
      <c r="I24" s="346" t="str">
        <f t="shared" si="3"/>
        <v>USD</v>
      </c>
      <c r="J24" s="346" t="str">
        <f t="shared" si="3"/>
        <v>-</v>
      </c>
      <c r="K24" s="346" t="str">
        <f t="shared" si="3"/>
        <v>-</v>
      </c>
    </row>
    <row r="25" spans="1:11">
      <c r="A25" s="323" t="str">
        <f t="shared" si="0"/>
        <v>TSX:PAAS_2024_CEO</v>
      </c>
      <c r="B25" s="323" t="s">
        <v>79</v>
      </c>
      <c r="C25" s="323" t="str">
        <f>'Raw Data'!D8</f>
        <v>TSX:PAAS</v>
      </c>
      <c r="E25" s="1140" t="str">
        <f t="shared" si="2"/>
        <v>Pan American Silver Corp.</v>
      </c>
      <c r="F25" s="341" t="s">
        <v>78</v>
      </c>
      <c r="G25" s="345"/>
      <c r="H25" s="347" t="str">
        <f t="shared" si="3"/>
        <v>2024-12-31</v>
      </c>
      <c r="I25" s="347" t="str">
        <f t="shared" si="3"/>
        <v>CAD</v>
      </c>
      <c r="J25" s="347" t="str">
        <f t="shared" si="3"/>
        <v>DC</v>
      </c>
      <c r="K25" s="347" t="str">
        <f t="shared" si="3"/>
        <v>Restricted Shares as a component of compensation were removed from the LTIP guidelines in November 2024 and will not be issued for future LTIP awards.</v>
      </c>
    </row>
    <row r="26" spans="1:11">
      <c r="A26" s="322" t="str">
        <f t="shared" si="0"/>
        <v>TSX:PAAS_2024_CFO</v>
      </c>
      <c r="B26" s="322" t="s">
        <v>106</v>
      </c>
      <c r="C26" s="322" t="str">
        <f>C25</f>
        <v>TSX:PAAS</v>
      </c>
      <c r="E26" s="1140" t="str">
        <f t="shared" si="2"/>
        <v>Pan American Silver Corp.</v>
      </c>
      <c r="F26" s="341" t="s">
        <v>78</v>
      </c>
      <c r="G26" s="345"/>
      <c r="H26" s="347" t="str">
        <f t="shared" ref="H26:K89" si="4">IFERROR(INDEX(Raw_Data,MATCH($A26,Look_Up,0),MATCH(H$4,Component,0)),"-")</f>
        <v>2024-12-31</v>
      </c>
      <c r="I26" s="347" t="str">
        <f t="shared" si="4"/>
        <v>CAD</v>
      </c>
      <c r="J26" s="347" t="str">
        <f t="shared" si="4"/>
        <v>DC</v>
      </c>
      <c r="K26" s="347" t="str">
        <f t="shared" si="4"/>
        <v>-</v>
      </c>
    </row>
    <row r="27" spans="1:11">
      <c r="A27" s="322" t="str">
        <f t="shared" si="0"/>
        <v>TSX:PAAS_2024_NEO1</v>
      </c>
      <c r="B27" s="322" t="s">
        <v>107</v>
      </c>
      <c r="C27" s="322" t="str">
        <f>C26</f>
        <v>TSX:PAAS</v>
      </c>
      <c r="E27" s="1140" t="str">
        <f t="shared" si="2"/>
        <v>Pan American Silver Corp.</v>
      </c>
      <c r="F27" s="341" t="s">
        <v>78</v>
      </c>
      <c r="G27" s="345"/>
      <c r="H27" s="347" t="str">
        <f t="shared" si="4"/>
        <v>2024-12-31</v>
      </c>
      <c r="I27" s="347" t="str">
        <f t="shared" si="4"/>
        <v>CAD</v>
      </c>
      <c r="J27" s="347" t="str">
        <f t="shared" si="4"/>
        <v>DC</v>
      </c>
      <c r="K27" s="347" t="str">
        <f t="shared" si="4"/>
        <v>-</v>
      </c>
    </row>
    <row r="28" spans="1:11">
      <c r="A28" s="322" t="str">
        <f t="shared" si="0"/>
        <v>TSX:PAAS_2024_NEO2</v>
      </c>
      <c r="B28" s="322" t="s">
        <v>108</v>
      </c>
      <c r="C28" s="322" t="str">
        <f>C27</f>
        <v>TSX:PAAS</v>
      </c>
      <c r="E28" s="1140" t="str">
        <f t="shared" si="2"/>
        <v>Pan American Silver Corp.</v>
      </c>
      <c r="F28" s="341" t="s">
        <v>78</v>
      </c>
      <c r="G28" s="345"/>
      <c r="H28" s="347" t="str">
        <f t="shared" si="4"/>
        <v>2024-12-31</v>
      </c>
      <c r="I28" s="347" t="str">
        <f t="shared" si="4"/>
        <v>CAD</v>
      </c>
      <c r="J28" s="347" t="str">
        <f t="shared" si="4"/>
        <v>DC</v>
      </c>
      <c r="K28" s="347" t="str">
        <f t="shared" si="4"/>
        <v>-</v>
      </c>
    </row>
    <row r="29" spans="1:11">
      <c r="A29" s="322" t="str">
        <f t="shared" si="0"/>
        <v>TSX:PAAS_2024_NEO3</v>
      </c>
      <c r="B29" s="322" t="s">
        <v>109</v>
      </c>
      <c r="C29" s="322" t="str">
        <f>C28</f>
        <v>TSX:PAAS</v>
      </c>
      <c r="E29" s="1140" t="str">
        <f t="shared" si="2"/>
        <v>Pan American Silver Corp.</v>
      </c>
      <c r="F29" s="341" t="s">
        <v>78</v>
      </c>
      <c r="G29" s="345"/>
      <c r="H29" s="347" t="str">
        <f t="shared" si="4"/>
        <v>2024-12-31</v>
      </c>
      <c r="I29" s="347" t="str">
        <f t="shared" si="4"/>
        <v>CAD</v>
      </c>
      <c r="J29" s="347" t="str">
        <f t="shared" si="4"/>
        <v>DC</v>
      </c>
      <c r="K29" s="347" t="str">
        <f t="shared" si="4"/>
        <v>-</v>
      </c>
    </row>
    <row r="30" spans="1:11">
      <c r="A30" s="323" t="str">
        <f t="shared" si="0"/>
        <v>TSX:CS_2024_CEO</v>
      </c>
      <c r="B30" s="323" t="s">
        <v>79</v>
      </c>
      <c r="C30" s="323" t="str">
        <f>'Raw Data'!D9</f>
        <v>TSX:CS</v>
      </c>
      <c r="E30" s="1141" t="str">
        <f t="shared" si="2"/>
        <v>Capstone Copper Corp.</v>
      </c>
      <c r="F30" s="335" t="s">
        <v>78</v>
      </c>
      <c r="G30" s="345"/>
      <c r="H30" s="346" t="str">
        <f t="shared" si="4"/>
        <v>2024-12-31</v>
      </c>
      <c r="I30" s="346" t="str">
        <f t="shared" si="4"/>
        <v>CAD</v>
      </c>
      <c r="J30" s="346" t="str">
        <f t="shared" si="4"/>
        <v>N/A</v>
      </c>
      <c r="K30" s="346" t="str">
        <f t="shared" si="4"/>
        <v>-</v>
      </c>
    </row>
    <row r="31" spans="1:11">
      <c r="A31" s="322" t="str">
        <f t="shared" si="0"/>
        <v>TSX:CS_2024_CFO</v>
      </c>
      <c r="B31" s="322" t="s">
        <v>106</v>
      </c>
      <c r="C31" s="322" t="str">
        <f>C30</f>
        <v>TSX:CS</v>
      </c>
      <c r="E31" s="1141" t="str">
        <f t="shared" si="2"/>
        <v>Capstone Copper Corp.</v>
      </c>
      <c r="F31" s="335" t="s">
        <v>78</v>
      </c>
      <c r="G31" s="345"/>
      <c r="H31" s="346" t="str">
        <f t="shared" si="4"/>
        <v>2024-12-31</v>
      </c>
      <c r="I31" s="346" t="str">
        <f t="shared" si="4"/>
        <v>CAD</v>
      </c>
      <c r="J31" s="346" t="str">
        <f t="shared" si="4"/>
        <v>N/A</v>
      </c>
      <c r="K31" s="346" t="str">
        <f t="shared" si="4"/>
        <v>-</v>
      </c>
    </row>
    <row r="32" spans="1:11">
      <c r="A32" s="322" t="str">
        <f t="shared" si="0"/>
        <v>TSX:CS_2024_NEO1</v>
      </c>
      <c r="B32" s="322" t="s">
        <v>107</v>
      </c>
      <c r="C32" s="322" t="str">
        <f>C31</f>
        <v>TSX:CS</v>
      </c>
      <c r="E32" s="1141" t="str">
        <f t="shared" si="2"/>
        <v>Capstone Copper Corp.</v>
      </c>
      <c r="F32" s="335" t="s">
        <v>78</v>
      </c>
      <c r="G32" s="345"/>
      <c r="H32" s="346" t="str">
        <f t="shared" si="4"/>
        <v>2024-12-31</v>
      </c>
      <c r="I32" s="346" t="str">
        <f t="shared" si="4"/>
        <v>CAD</v>
      </c>
      <c r="J32" s="346" t="str">
        <f t="shared" si="4"/>
        <v>N/A</v>
      </c>
      <c r="K32" s="346" t="str">
        <f t="shared" si="4"/>
        <v>Cashel Meagher, current President &amp; COO, will succeed Mr. MacKenzie as CEO of Capstone in 2025</v>
      </c>
    </row>
    <row r="33" spans="1:11">
      <c r="A33" s="322" t="str">
        <f t="shared" si="0"/>
        <v>TSX:CS_2024_NEO2</v>
      </c>
      <c r="B33" s="322" t="s">
        <v>108</v>
      </c>
      <c r="C33" s="322" t="str">
        <f>C32</f>
        <v>TSX:CS</v>
      </c>
      <c r="E33" s="1141" t="str">
        <f t="shared" si="2"/>
        <v>Capstone Copper Corp.</v>
      </c>
      <c r="F33" s="335" t="s">
        <v>78</v>
      </c>
      <c r="G33" s="345"/>
      <c r="H33" s="346" t="str">
        <f t="shared" si="4"/>
        <v>2024-12-31</v>
      </c>
      <c r="I33" s="346" t="str">
        <f t="shared" si="4"/>
        <v>CAD</v>
      </c>
      <c r="J33" s="346" t="str">
        <f t="shared" si="4"/>
        <v>N/A</v>
      </c>
      <c r="K33" s="346" t="str">
        <f t="shared" si="4"/>
        <v>-</v>
      </c>
    </row>
    <row r="34" spans="1:11">
      <c r="A34" s="322" t="str">
        <f t="shared" si="0"/>
        <v>TSX:CS_2024_NEO3</v>
      </c>
      <c r="B34" s="322" t="s">
        <v>109</v>
      </c>
      <c r="C34" s="322" t="str">
        <f>C33</f>
        <v>TSX:CS</v>
      </c>
      <c r="E34" s="1141" t="str">
        <f t="shared" si="2"/>
        <v>Capstone Copper Corp.</v>
      </c>
      <c r="F34" s="335" t="s">
        <v>78</v>
      </c>
      <c r="G34" s="345"/>
      <c r="H34" s="346" t="str">
        <f t="shared" si="4"/>
        <v>2024-12-31</v>
      </c>
      <c r="I34" s="346" t="str">
        <f t="shared" si="4"/>
        <v>CAD</v>
      </c>
      <c r="J34" s="346" t="str">
        <f t="shared" si="4"/>
        <v>N/A</v>
      </c>
      <c r="K34" s="346" t="str">
        <f t="shared" si="4"/>
        <v>-</v>
      </c>
    </row>
    <row r="35" spans="1:11">
      <c r="A35" s="323" t="str">
        <f t="shared" si="0"/>
        <v>TSX:IMG_2024_CEO</v>
      </c>
      <c r="B35" s="323" t="s">
        <v>79</v>
      </c>
      <c r="C35" s="323" t="str">
        <f>'Raw Data'!D10</f>
        <v>TSX:IMG</v>
      </c>
      <c r="E35" s="1140" t="str">
        <f t="shared" si="2"/>
        <v>IAMGOLD Corporation</v>
      </c>
      <c r="F35" s="341" t="s">
        <v>78</v>
      </c>
      <c r="G35" s="345"/>
      <c r="H35" s="347" t="str">
        <f t="shared" si="4"/>
        <v>2024-12-31</v>
      </c>
      <c r="I35" s="347" t="str">
        <f t="shared" si="4"/>
        <v>CAD</v>
      </c>
      <c r="J35" s="347" t="str">
        <f t="shared" si="4"/>
        <v>DC</v>
      </c>
      <c r="K35" s="347" t="str">
        <f t="shared" si="4"/>
        <v>Mr. Adams was appointed CEO April 1, 2023. He received a one-time PSU award of $1MM in 2023 that has been excluded from the benchmarking</v>
      </c>
    </row>
    <row r="36" spans="1:11">
      <c r="A36" s="322" t="str">
        <f t="shared" si="0"/>
        <v>TSX:IMG_2024_CFO</v>
      </c>
      <c r="B36" s="322" t="s">
        <v>106</v>
      </c>
      <c r="C36" s="322" t="str">
        <f>C35</f>
        <v>TSX:IMG</v>
      </c>
      <c r="E36" s="1140" t="str">
        <f t="shared" si="2"/>
        <v>IAMGOLD Corporation</v>
      </c>
      <c r="F36" s="341" t="s">
        <v>78</v>
      </c>
      <c r="G36" s="345"/>
      <c r="H36" s="347" t="str">
        <f t="shared" si="4"/>
        <v>2024-12-31</v>
      </c>
      <c r="I36" s="347" t="str">
        <f t="shared" si="4"/>
        <v>CAD</v>
      </c>
      <c r="J36" s="347" t="str">
        <f t="shared" si="4"/>
        <v>DC</v>
      </c>
      <c r="K36" s="347" t="str">
        <f t="shared" si="4"/>
        <v xml:space="preserve">Mr. Theunissen was appointed CFO March 6, 2023 from his previous position at the Company. </v>
      </c>
    </row>
    <row r="37" spans="1:11">
      <c r="A37" s="322" t="str">
        <f t="shared" ref="A37:A68" si="5">+C37&amp;"_"&amp;$A$1&amp;"_"&amp;B37</f>
        <v>TSX:IMG_2024_NEO1</v>
      </c>
      <c r="B37" s="322" t="s">
        <v>107</v>
      </c>
      <c r="C37" s="322" t="str">
        <f>C36</f>
        <v>TSX:IMG</v>
      </c>
      <c r="E37" s="1140" t="str">
        <f t="shared" si="2"/>
        <v>IAMGOLD Corporation</v>
      </c>
      <c r="F37" s="341" t="s">
        <v>78</v>
      </c>
      <c r="G37" s="345"/>
      <c r="H37" s="347" t="str">
        <f t="shared" si="4"/>
        <v>2024-12-31</v>
      </c>
      <c r="I37" s="347" t="str">
        <f t="shared" si="4"/>
        <v>CAD</v>
      </c>
      <c r="J37" s="347" t="str">
        <f t="shared" si="4"/>
        <v>DC</v>
      </c>
      <c r="K37" s="347" t="str">
        <f t="shared" si="4"/>
        <v xml:space="preserve">Mr. Lemelin was appointed COO September 13, 2023 from his previous position at the Company. </v>
      </c>
    </row>
    <row r="38" spans="1:11">
      <c r="A38" s="322" t="str">
        <f t="shared" si="5"/>
        <v>TSX:IMG_2024_NEO2</v>
      </c>
      <c r="B38" s="322" t="s">
        <v>108</v>
      </c>
      <c r="C38" s="322" t="str">
        <f>C37</f>
        <v>TSX:IMG</v>
      </c>
      <c r="E38" s="1140" t="str">
        <f t="shared" si="2"/>
        <v>IAMGOLD Corporation</v>
      </c>
      <c r="F38" s="341" t="s">
        <v>78</v>
      </c>
      <c r="G38" s="345"/>
      <c r="H38" s="347" t="str">
        <f t="shared" si="4"/>
        <v>2024-12-31</v>
      </c>
      <c r="I38" s="347" t="str">
        <f t="shared" si="4"/>
        <v>CAD</v>
      </c>
      <c r="J38" s="347" t="str">
        <f t="shared" si="4"/>
        <v>DC</v>
      </c>
      <c r="K38" s="347" t="str">
        <f t="shared" si="4"/>
        <v>Mr. Bradburn served as SVP, General Counsel and Corporate Secretary on a 5-year contract. Given that 2024 was his last year in this role, he was not eligible to receive and STIP or LTIP. Given he received these incentive awards in previous years, target values reflect those in 2023.</v>
      </c>
    </row>
    <row r="39" spans="1:11">
      <c r="A39" s="322" t="str">
        <f t="shared" si="5"/>
        <v>TSX:IMG_2024_NEO3</v>
      </c>
      <c r="B39" s="322" t="s">
        <v>109</v>
      </c>
      <c r="C39" s="322" t="str">
        <f>C38</f>
        <v>TSX:IMG</v>
      </c>
      <c r="E39" s="1140" t="str">
        <f t="shared" si="2"/>
        <v>IAMGOLD Corporation</v>
      </c>
      <c r="F39" s="341" t="s">
        <v>78</v>
      </c>
      <c r="G39" s="345"/>
      <c r="H39" s="347" t="str">
        <f t="shared" si="4"/>
        <v>2024-12-31</v>
      </c>
      <c r="I39" s="347" t="str">
        <f t="shared" si="4"/>
        <v>CAD</v>
      </c>
      <c r="J39" s="347" t="str">
        <f t="shared" si="4"/>
        <v>DC</v>
      </c>
      <c r="K39" s="347" t="str">
        <f t="shared" si="4"/>
        <v xml:space="preserve"> Effective January 1, 2025, Ms. Quinn was appointed Chief People Officer at IAMGOLD. Her STIP Target as a % of base salary increased to 70% and LTIP target % increased to 150% - go-forward targets have been captured for this year's benchmarking.</v>
      </c>
    </row>
    <row r="40" spans="1:11">
      <c r="A40" s="323" t="str">
        <f t="shared" si="5"/>
        <v>TSX:BTO_2024_CEO</v>
      </c>
      <c r="B40" s="323" t="s">
        <v>79</v>
      </c>
      <c r="C40" s="323" t="str">
        <f>'Raw Data'!D11</f>
        <v>TSX:BTO</v>
      </c>
      <c r="E40" s="1141" t="str">
        <f t="shared" si="2"/>
        <v>B2Gold Corp.</v>
      </c>
      <c r="F40" s="335" t="s">
        <v>78</v>
      </c>
      <c r="G40" s="345"/>
      <c r="H40" s="346" t="str">
        <f t="shared" si="4"/>
        <v>2024-12-31</v>
      </c>
      <c r="I40" s="346" t="str">
        <f t="shared" si="4"/>
        <v>CAD</v>
      </c>
      <c r="J40" s="346" t="str">
        <f t="shared" si="4"/>
        <v>N/A</v>
      </c>
      <c r="K40" s="346" t="str">
        <f t="shared" si="4"/>
        <v>Other compensation as disclosed has been revised to include dividends vested on RSUs and PSUs, which we have excluded for the purpose of this exercise</v>
      </c>
    </row>
    <row r="41" spans="1:11">
      <c r="A41" s="322" t="str">
        <f t="shared" si="5"/>
        <v>TSX:BTO_2024_CFO</v>
      </c>
      <c r="B41" s="322" t="s">
        <v>106</v>
      </c>
      <c r="C41" s="322" t="str">
        <f>C40</f>
        <v>TSX:BTO</v>
      </c>
      <c r="E41" s="1141" t="str">
        <f t="shared" si="2"/>
        <v>B2Gold Corp.</v>
      </c>
      <c r="F41" s="335" t="s">
        <v>78</v>
      </c>
      <c r="G41" s="345"/>
      <c r="H41" s="346" t="str">
        <f t="shared" si="4"/>
        <v>2024-12-31</v>
      </c>
      <c r="I41" s="346" t="str">
        <f t="shared" si="4"/>
        <v>CAD</v>
      </c>
      <c r="J41" s="346" t="str">
        <f t="shared" si="4"/>
        <v>N/A</v>
      </c>
      <c r="K41" s="346" t="str">
        <f t="shared" si="4"/>
        <v>-</v>
      </c>
    </row>
    <row r="42" spans="1:11">
      <c r="A42" s="322" t="str">
        <f t="shared" si="5"/>
        <v>TSX:BTO_2024_NEO1</v>
      </c>
      <c r="B42" s="322" t="s">
        <v>107</v>
      </c>
      <c r="C42" s="322" t="str">
        <f>C41</f>
        <v>TSX:BTO</v>
      </c>
      <c r="E42" s="1141" t="str">
        <f t="shared" si="2"/>
        <v>B2Gold Corp.</v>
      </c>
      <c r="F42" s="335" t="s">
        <v>78</v>
      </c>
      <c r="G42" s="345"/>
      <c r="H42" s="346" t="str">
        <f t="shared" si="4"/>
        <v>2024-12-31</v>
      </c>
      <c r="I42" s="346" t="str">
        <f t="shared" si="4"/>
        <v>CAD</v>
      </c>
      <c r="J42" s="346" t="str">
        <f t="shared" si="4"/>
        <v>N/A</v>
      </c>
      <c r="K42" s="346" t="str">
        <f t="shared" si="4"/>
        <v>-</v>
      </c>
    </row>
    <row r="43" spans="1:11">
      <c r="A43" s="322" t="str">
        <f t="shared" si="5"/>
        <v>TSX:BTO_2024_NEO2</v>
      </c>
      <c r="B43" s="322" t="s">
        <v>108</v>
      </c>
      <c r="C43" s="322" t="str">
        <f>C42</f>
        <v>TSX:BTO</v>
      </c>
      <c r="E43" s="1141" t="str">
        <f t="shared" si="2"/>
        <v>B2Gold Corp.</v>
      </c>
      <c r="F43" s="335" t="s">
        <v>78</v>
      </c>
      <c r="G43" s="345"/>
      <c r="H43" s="346" t="str">
        <f t="shared" si="4"/>
        <v>2024-12-31</v>
      </c>
      <c r="I43" s="346" t="str">
        <f t="shared" si="4"/>
        <v>CAD</v>
      </c>
      <c r="J43" s="346" t="str">
        <f t="shared" si="4"/>
        <v>N/A</v>
      </c>
      <c r="K43" s="346" t="str">
        <f t="shared" si="4"/>
        <v>-</v>
      </c>
    </row>
    <row r="44" spans="1:11">
      <c r="A44" s="322" t="str">
        <f t="shared" si="5"/>
        <v>TSX:BTO_2024_NEO3</v>
      </c>
      <c r="B44" s="322" t="s">
        <v>109</v>
      </c>
      <c r="C44" s="322" t="str">
        <f>C43</f>
        <v>TSX:BTO</v>
      </c>
      <c r="E44" s="1141" t="str">
        <f t="shared" si="2"/>
        <v>B2Gold Corp.</v>
      </c>
      <c r="F44" s="335" t="s">
        <v>78</v>
      </c>
      <c r="G44" s="345"/>
      <c r="H44" s="346" t="str">
        <f t="shared" si="4"/>
        <v>2024-12-31</v>
      </c>
      <c r="I44" s="346" t="str">
        <f t="shared" si="4"/>
        <v>CAD</v>
      </c>
      <c r="J44" s="346" t="str">
        <f t="shared" si="4"/>
        <v>N/A</v>
      </c>
      <c r="K44" s="346" t="str">
        <f t="shared" si="4"/>
        <v>-</v>
      </c>
    </row>
    <row r="45" spans="1:11">
      <c r="A45" s="323" t="str">
        <f t="shared" si="5"/>
        <v>NYSE:HL_2024_CEO</v>
      </c>
      <c r="B45" s="323" t="s">
        <v>79</v>
      </c>
      <c r="C45" s="323" t="str">
        <f>'Raw Data'!D12</f>
        <v>NYSE:HL</v>
      </c>
      <c r="E45" s="1140" t="str">
        <f t="shared" si="2"/>
        <v>Hecla Mining Company</v>
      </c>
      <c r="F45" s="341" t="s">
        <v>78</v>
      </c>
      <c r="G45" s="345"/>
      <c r="H45" s="347" t="str">
        <f t="shared" si="4"/>
        <v>2024-12-31</v>
      </c>
      <c r="I45" s="347" t="str">
        <f t="shared" si="4"/>
        <v>USD</v>
      </c>
      <c r="J45" s="347" t="str">
        <f t="shared" si="4"/>
        <v>-</v>
      </c>
      <c r="K45" s="347" t="str">
        <f t="shared" si="4"/>
        <v>Mr. Krcmarov was appointed President and CEO November 7, 2024. His compensation for the year has been annualized, except for an on-hire grant of $3.195M in RSUs and PSUs which we have excluded. Target TDC reflects annual target STIP and LTIP</v>
      </c>
    </row>
    <row r="46" spans="1:11">
      <c r="A46" s="322" t="str">
        <f t="shared" si="5"/>
        <v>NYSE:HL_2024_CFO</v>
      </c>
      <c r="B46" s="322" t="s">
        <v>106</v>
      </c>
      <c r="C46" s="322" t="str">
        <f>C45</f>
        <v>NYSE:HL</v>
      </c>
      <c r="E46" s="1140" t="str">
        <f t="shared" si="2"/>
        <v>Hecla Mining Company</v>
      </c>
      <c r="F46" s="341" t="s">
        <v>78</v>
      </c>
      <c r="G46" s="345"/>
      <c r="H46" s="347" t="str">
        <f t="shared" si="4"/>
        <v>2024-12-31</v>
      </c>
      <c r="I46" s="347" t="str">
        <f t="shared" si="4"/>
        <v>USD</v>
      </c>
      <c r="J46" s="347" t="str">
        <f t="shared" si="4"/>
        <v>DB</v>
      </c>
      <c r="K46" s="347" t="str">
        <f t="shared" si="4"/>
        <v>-</v>
      </c>
    </row>
    <row r="47" spans="1:11">
      <c r="A47" s="322" t="str">
        <f t="shared" si="5"/>
        <v>NYSE:HL_2024_NEO1</v>
      </c>
      <c r="B47" s="322" t="s">
        <v>107</v>
      </c>
      <c r="C47" s="322" t="str">
        <f>C46</f>
        <v>NYSE:HL</v>
      </c>
      <c r="E47" s="1140" t="str">
        <f t="shared" si="2"/>
        <v>Hecla Mining Company</v>
      </c>
      <c r="F47" s="341" t="s">
        <v>78</v>
      </c>
      <c r="G47" s="345"/>
      <c r="H47" s="347" t="str">
        <f t="shared" si="4"/>
        <v>2024-12-31</v>
      </c>
      <c r="I47" s="347" t="str">
        <f t="shared" si="4"/>
        <v>USD</v>
      </c>
      <c r="J47" s="347" t="str">
        <f t="shared" si="4"/>
        <v>DB</v>
      </c>
      <c r="K47" s="347" t="str">
        <f t="shared" si="4"/>
        <v>-</v>
      </c>
    </row>
    <row r="48" spans="1:11">
      <c r="A48" s="322" t="str">
        <f t="shared" si="5"/>
        <v>NYSE:HL_2024_NEO2</v>
      </c>
      <c r="B48" s="322" t="s">
        <v>108</v>
      </c>
      <c r="C48" s="322" t="str">
        <f>C47</f>
        <v>NYSE:HL</v>
      </c>
      <c r="E48" s="1140" t="str">
        <f t="shared" si="2"/>
        <v>Hecla Mining Company</v>
      </c>
      <c r="F48" s="341" t="s">
        <v>78</v>
      </c>
      <c r="G48" s="345"/>
      <c r="H48" s="347" t="str">
        <f t="shared" si="4"/>
        <v>2024-12-31</v>
      </c>
      <c r="I48" s="347" t="str">
        <f t="shared" si="4"/>
        <v>USD</v>
      </c>
      <c r="J48" s="347" t="str">
        <f t="shared" si="4"/>
        <v>DB</v>
      </c>
      <c r="K48" s="347" t="str">
        <f t="shared" si="4"/>
        <v xml:space="preserve">Mr. Sienko was promoted from VP &amp; General Counsel to SVP General Counsel &amp; Corporate Secretary in August 2024. Actual compensation for 2024 reflects both role; Targets reflect his new role. </v>
      </c>
    </row>
    <row r="49" spans="1:11">
      <c r="A49" s="322" t="str">
        <f t="shared" si="5"/>
        <v>NYSE:HL_2024_NEO3</v>
      </c>
      <c r="B49" s="322" t="s">
        <v>109</v>
      </c>
      <c r="C49" s="322" t="str">
        <f>C48</f>
        <v>NYSE:HL</v>
      </c>
      <c r="E49" s="1140" t="str">
        <f t="shared" si="2"/>
        <v>Hecla Mining Company</v>
      </c>
      <c r="F49" s="341" t="s">
        <v>78</v>
      </c>
      <c r="G49" s="345"/>
      <c r="H49" s="347" t="str">
        <f t="shared" si="4"/>
        <v>2024-12-31</v>
      </c>
      <c r="I49" s="347" t="str">
        <f t="shared" si="4"/>
        <v>USD</v>
      </c>
      <c r="J49" s="347" t="str">
        <f t="shared" si="4"/>
        <v>DB</v>
      </c>
      <c r="K49" s="347" t="str">
        <f t="shared" si="4"/>
        <v>Mr. Brown receives compensation in $CAD but amount were converted to $USD for reporting purposes. The exchange rates used are undisclosed.</v>
      </c>
    </row>
    <row r="50" spans="1:11">
      <c r="A50" s="323" t="str">
        <f t="shared" si="5"/>
        <v>TSX:NGD_2024_CEO</v>
      </c>
      <c r="B50" s="323" t="s">
        <v>79</v>
      </c>
      <c r="C50" s="323" t="str">
        <f>'Raw Data'!D13</f>
        <v>TSX:NGD</v>
      </c>
      <c r="E50" s="1141" t="str">
        <f t="shared" si="2"/>
        <v>New Gold Inc.</v>
      </c>
      <c r="F50" s="335" t="s">
        <v>78</v>
      </c>
      <c r="G50" s="345"/>
      <c r="H50" s="346" t="str">
        <f t="shared" si="4"/>
        <v>2024-12-31</v>
      </c>
      <c r="I50" s="346" t="str">
        <f t="shared" si="4"/>
        <v>CAD</v>
      </c>
      <c r="J50" s="346" t="str">
        <f t="shared" si="4"/>
        <v>N/A</v>
      </c>
      <c r="K50" s="346" t="str">
        <f t="shared" si="4"/>
        <v>-</v>
      </c>
    </row>
    <row r="51" spans="1:11">
      <c r="A51" s="322" t="str">
        <f t="shared" si="5"/>
        <v>TSX:NGD_2024_CFO</v>
      </c>
      <c r="B51" s="322" t="s">
        <v>106</v>
      </c>
      <c r="C51" s="322" t="str">
        <f>C50</f>
        <v>TSX:NGD</v>
      </c>
      <c r="E51" s="1141" t="str">
        <f t="shared" si="2"/>
        <v>New Gold Inc.</v>
      </c>
      <c r="F51" s="335" t="s">
        <v>78</v>
      </c>
      <c r="G51" s="345"/>
      <c r="H51" s="346" t="str">
        <f t="shared" si="4"/>
        <v>2024-12-31</v>
      </c>
      <c r="I51" s="346" t="str">
        <f t="shared" si="4"/>
        <v>CAD</v>
      </c>
      <c r="J51" s="346" t="str">
        <f t="shared" si="4"/>
        <v>N/A</v>
      </c>
      <c r="K51" s="346" t="str">
        <f t="shared" si="4"/>
        <v>Mr. Murphy was appointed as Vice President, Finance on April 25, 2023. Mr. Murphy was as appointed Executive Vice President and Chief Financial OfficerJanuary 1, 2024.</v>
      </c>
    </row>
    <row r="52" spans="1:11">
      <c r="A52" s="322" t="str">
        <f t="shared" si="5"/>
        <v>TSX:NGD_2024_NEO1</v>
      </c>
      <c r="B52" s="322" t="s">
        <v>107</v>
      </c>
      <c r="C52" s="322" t="str">
        <f>C51</f>
        <v>TSX:NGD</v>
      </c>
      <c r="E52" s="1141" t="str">
        <f t="shared" si="2"/>
        <v>New Gold Inc.</v>
      </c>
      <c r="F52" s="335" t="s">
        <v>78</v>
      </c>
      <c r="G52" s="345"/>
      <c r="H52" s="346" t="str">
        <f t="shared" si="4"/>
        <v>2024-12-31</v>
      </c>
      <c r="I52" s="346" t="str">
        <f t="shared" si="4"/>
        <v>CAD</v>
      </c>
      <c r="J52" s="346" t="str">
        <f t="shared" si="4"/>
        <v>N/A</v>
      </c>
      <c r="K52" s="346" t="str">
        <f t="shared" si="4"/>
        <v>Mr. Bouchard's last day as Executive Vice President and Chief Operating Officer was January 31, 2025. Mr. Bouchard was appointed to the position effective April 11, 2023. For 2023, the salary and annual incentive plan award indicated is a pro-rated amount for time spent in such role.</v>
      </c>
    </row>
    <row r="53" spans="1:11">
      <c r="A53" s="322" t="str">
        <f t="shared" si="5"/>
        <v>TSX:NGD_2024_NEO2</v>
      </c>
      <c r="B53" s="322" t="s">
        <v>108</v>
      </c>
      <c r="C53" s="322" t="str">
        <f>C52</f>
        <v>TSX:NGD</v>
      </c>
      <c r="E53" s="1141" t="str">
        <f t="shared" si="2"/>
        <v>New Gold Inc.</v>
      </c>
      <c r="F53" s="335" t="s">
        <v>78</v>
      </c>
      <c r="G53" s="345"/>
      <c r="H53" s="346" t="str">
        <f t="shared" si="4"/>
        <v>2024-12-31</v>
      </c>
      <c r="I53" s="346" t="str">
        <f t="shared" si="4"/>
        <v>CAD</v>
      </c>
      <c r="J53" s="346" t="str">
        <f t="shared" si="4"/>
        <v>N/A</v>
      </c>
      <c r="K53" s="346" t="str">
        <f t="shared" si="4"/>
        <v>-</v>
      </c>
    </row>
    <row r="54" spans="1:11">
      <c r="A54" s="322" t="str">
        <f t="shared" si="5"/>
        <v>TSX:NGD_2024_NEO3</v>
      </c>
      <c r="B54" s="322" t="s">
        <v>109</v>
      </c>
      <c r="C54" s="322" t="str">
        <f>C53</f>
        <v>TSX:NGD</v>
      </c>
      <c r="E54" s="1141" t="str">
        <f t="shared" si="2"/>
        <v>New Gold Inc.</v>
      </c>
      <c r="F54" s="335" t="s">
        <v>78</v>
      </c>
      <c r="G54" s="345"/>
      <c r="H54" s="346" t="str">
        <f t="shared" si="4"/>
        <v>2024-12-31</v>
      </c>
      <c r="I54" s="346" t="str">
        <f t="shared" si="4"/>
        <v>CAD</v>
      </c>
      <c r="J54" s="346" t="str">
        <f t="shared" si="4"/>
        <v>N/A</v>
      </c>
      <c r="K54" s="346" t="str">
        <f t="shared" si="4"/>
        <v>Mr. Buchanan was appointed to the position effective April 11, 2023.</v>
      </c>
    </row>
    <row r="55" spans="1:11">
      <c r="A55" s="323" t="str">
        <f t="shared" si="5"/>
        <v>TSX:ELD_2024_CEO</v>
      </c>
      <c r="B55" s="323" t="s">
        <v>79</v>
      </c>
      <c r="C55" s="323" t="str">
        <f>'Raw Data'!D14</f>
        <v>TSX:ELD</v>
      </c>
      <c r="E55" s="1140" t="str">
        <f t="shared" si="2"/>
        <v>Eldorado Gold Corporation</v>
      </c>
      <c r="F55" s="341" t="s">
        <v>78</v>
      </c>
      <c r="G55" s="345"/>
      <c r="H55" s="347" t="str">
        <f t="shared" si="4"/>
        <v>2024-12-31</v>
      </c>
      <c r="I55" s="347" t="str">
        <f t="shared" si="4"/>
        <v>CAD</v>
      </c>
      <c r="J55" s="347" t="str">
        <f t="shared" si="4"/>
        <v>DC</v>
      </c>
      <c r="K55" s="347" t="str">
        <f t="shared" si="4"/>
        <v>-</v>
      </c>
    </row>
    <row r="56" spans="1:11">
      <c r="A56" s="322" t="str">
        <f t="shared" si="5"/>
        <v>TSX:ELD_2024_CFO</v>
      </c>
      <c r="B56" s="322" t="s">
        <v>106</v>
      </c>
      <c r="C56" s="322" t="str">
        <f>C55</f>
        <v>TSX:ELD</v>
      </c>
      <c r="E56" s="1140" t="str">
        <f t="shared" si="2"/>
        <v>Eldorado Gold Corporation</v>
      </c>
      <c r="F56" s="341" t="s">
        <v>78</v>
      </c>
      <c r="G56" s="345"/>
      <c r="H56" s="347" t="str">
        <f t="shared" si="4"/>
        <v>2024-12-31</v>
      </c>
      <c r="I56" s="347" t="str">
        <f t="shared" si="4"/>
        <v>CAD</v>
      </c>
      <c r="J56" s="347" t="str">
        <f t="shared" si="4"/>
        <v>DC</v>
      </c>
      <c r="K56" s="347" t="str">
        <f t="shared" si="4"/>
        <v>Target LTIP for the EVP, CFO was increased to 175% from 150% effective January 1, 2025.</v>
      </c>
    </row>
    <row r="57" spans="1:11">
      <c r="A57" s="322" t="str">
        <f t="shared" si="5"/>
        <v>TSX:ELD_2024_NEO1</v>
      </c>
      <c r="B57" s="322" t="s">
        <v>107</v>
      </c>
      <c r="C57" s="322" t="str">
        <f>C56</f>
        <v>TSX:ELD</v>
      </c>
      <c r="E57" s="1140" t="str">
        <f t="shared" si="2"/>
        <v>Eldorado Gold Corporation</v>
      </c>
      <c r="F57" s="341" t="s">
        <v>78</v>
      </c>
      <c r="G57" s="345"/>
      <c r="H57" s="347" t="str">
        <f t="shared" si="4"/>
        <v>2024-12-31</v>
      </c>
      <c r="I57" s="347" t="str">
        <f t="shared" si="4"/>
        <v>CAD</v>
      </c>
      <c r="J57" s="347" t="str">
        <f t="shared" si="4"/>
        <v>-</v>
      </c>
      <c r="K57" s="347" t="str">
        <f t="shared" si="4"/>
        <v>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v>
      </c>
    </row>
    <row r="58" spans="1:11">
      <c r="A58" s="322" t="str">
        <f t="shared" si="5"/>
        <v>TSX:ELD_2024_NEO2</v>
      </c>
      <c r="B58" s="322" t="s">
        <v>108</v>
      </c>
      <c r="C58" s="322" t="str">
        <f>C57</f>
        <v>TSX:ELD</v>
      </c>
      <c r="E58" s="1140" t="str">
        <f t="shared" si="2"/>
        <v>Eldorado Gold Corporation</v>
      </c>
      <c r="F58" s="341" t="s">
        <v>78</v>
      </c>
      <c r="G58" s="345"/>
      <c r="H58" s="347" t="str">
        <f t="shared" si="4"/>
        <v>2024-12-31</v>
      </c>
      <c r="I58" s="347" t="str">
        <f t="shared" si="4"/>
        <v>CAD</v>
      </c>
      <c r="J58" s="347" t="str">
        <f t="shared" si="4"/>
        <v>DC</v>
      </c>
      <c r="K58" s="347" t="str">
        <f t="shared" si="4"/>
        <v>Mr. Hille was appointed EVP, Technical Services &amp; Operations effective November 1, 2023  from his previous role as SVP, Technical Services &amp; Operations. Benchmarking includes solely his pay in 2024.</v>
      </c>
    </row>
    <row r="59" spans="1:11">
      <c r="A59" s="322" t="str">
        <f t="shared" si="5"/>
        <v>TSX:ELD_2024_NEO3</v>
      </c>
      <c r="B59" s="322" t="s">
        <v>109</v>
      </c>
      <c r="C59" s="322" t="str">
        <f>C58</f>
        <v>TSX:ELD</v>
      </c>
      <c r="E59" s="1140" t="str">
        <f t="shared" si="2"/>
        <v>Eldorado Gold Corporation</v>
      </c>
      <c r="F59" s="341" t="s">
        <v>78</v>
      </c>
      <c r="G59" s="345"/>
      <c r="H59" s="347" t="str">
        <f t="shared" si="4"/>
        <v>2024-12-31</v>
      </c>
      <c r="I59" s="347" t="str">
        <f t="shared" si="4"/>
        <v>CAD</v>
      </c>
      <c r="J59" s="347" t="str">
        <f t="shared" si="4"/>
        <v>DC</v>
      </c>
      <c r="K59" s="347" t="str">
        <f t="shared" si="4"/>
        <v>Mr. Herbert joined Eldorado as an employee starting January 2023.</v>
      </c>
    </row>
    <row r="60" spans="1:11">
      <c r="A60" s="323" t="str">
        <f t="shared" si="5"/>
        <v>TSX:SSRM_2024_CEO</v>
      </c>
      <c r="B60" s="323" t="s">
        <v>79</v>
      </c>
      <c r="C60" s="323" t="str">
        <f>'Raw Data'!D15</f>
        <v>TSX:SSRM</v>
      </c>
      <c r="E60" s="1141" t="str">
        <f t="shared" si="2"/>
        <v>SSR Mining Inc.</v>
      </c>
      <c r="F60" s="335" t="s">
        <v>78</v>
      </c>
      <c r="G60" s="345"/>
      <c r="H60" s="346" t="str">
        <f t="shared" si="4"/>
        <v>2024-12-31</v>
      </c>
      <c r="I60" s="346" t="str">
        <f t="shared" si="4"/>
        <v>USD</v>
      </c>
      <c r="J60" s="346" t="str">
        <f t="shared" si="4"/>
        <v>DC</v>
      </c>
      <c r="K60" s="346" t="str">
        <f t="shared" si="4"/>
        <v>Mr. Antal was appointed Executive Chairman of the Company in 2023.</v>
      </c>
    </row>
    <row r="61" spans="1:11">
      <c r="A61" s="322" t="str">
        <f t="shared" si="5"/>
        <v>TSX:SSRM_2024_CFO</v>
      </c>
      <c r="B61" s="322" t="s">
        <v>106</v>
      </c>
      <c r="C61" s="322" t="str">
        <f>C60</f>
        <v>TSX:SSRM</v>
      </c>
      <c r="E61" s="1141" t="str">
        <f t="shared" si="2"/>
        <v>SSR Mining Inc.</v>
      </c>
      <c r="F61" s="335" t="s">
        <v>78</v>
      </c>
      <c r="G61" s="345"/>
      <c r="H61" s="346" t="str">
        <f t="shared" si="4"/>
        <v>2024-12-31</v>
      </c>
      <c r="I61" s="346" t="str">
        <f t="shared" si="4"/>
        <v>USD</v>
      </c>
      <c r="J61" s="346" t="str">
        <f t="shared" si="4"/>
        <v>DC</v>
      </c>
      <c r="K61" s="346" t="str">
        <f t="shared" si="4"/>
        <v>Mr. Sparks was appointed EVP &amp; CFO on March 8, 2024; he previously served as Chief Legal &amp; Administrative Officer prior to this. 2024 compensation disclosed in the proxy reflects a mix of compensation granted for both roles - in order to not inflate pay values of the year, amoutns have not been annualized.</v>
      </c>
    </row>
    <row r="62" spans="1:11">
      <c r="A62" s="322" t="str">
        <f t="shared" si="5"/>
        <v>TSX:SSRM_2024_NEO1</v>
      </c>
      <c r="B62" s="322" t="s">
        <v>107</v>
      </c>
      <c r="C62" s="322" t="str">
        <f>C61</f>
        <v>TSX:SSRM</v>
      </c>
      <c r="E62" s="1141" t="str">
        <f t="shared" si="2"/>
        <v>SSR Mining Inc.</v>
      </c>
      <c r="F62" s="335" t="s">
        <v>78</v>
      </c>
      <c r="G62" s="345"/>
      <c r="H62" s="346" t="str">
        <f t="shared" si="4"/>
        <v>2024-12-31</v>
      </c>
      <c r="I62" s="346" t="str">
        <f t="shared" si="4"/>
        <v>USD</v>
      </c>
      <c r="J62" s="346" t="str">
        <f t="shared" si="4"/>
        <v>DC</v>
      </c>
      <c r="K62" s="346" t="str">
        <f t="shared" si="4"/>
        <v>Mr. MacNevin was appointed EVP, Operations and Sustainability January 1, 2023. Compensation for the previous year has not been recorded. Upon appointment, he received a one-time RSU award of $1,050,000; this award has been excluded from the benchmarking.</v>
      </c>
    </row>
    <row r="63" spans="1:11">
      <c r="A63" s="322" t="str">
        <f t="shared" si="5"/>
        <v>TSX:SSRM_2024_NEO2</v>
      </c>
      <c r="B63" s="322" t="s">
        <v>108</v>
      </c>
      <c r="C63" s="322" t="str">
        <f>C62</f>
        <v>TSX:SSRM</v>
      </c>
      <c r="E63" s="1141" t="str">
        <f t="shared" si="2"/>
        <v>SSR Mining Inc.</v>
      </c>
      <c r="F63" s="335" t="s">
        <v>78</v>
      </c>
      <c r="G63" s="345"/>
      <c r="H63" s="346" t="str">
        <f t="shared" si="4"/>
        <v>2024-12-31</v>
      </c>
      <c r="I63" s="346" t="str">
        <f t="shared" si="4"/>
        <v>USD</v>
      </c>
      <c r="J63" s="346" t="str">
        <f t="shared" si="4"/>
        <v>DC</v>
      </c>
      <c r="K63" s="346" t="str">
        <f t="shared" si="4"/>
        <v>Mr. Farid was appointed EVP, Chief Strategy Officer in March 2024, before which he served as EVP, Chief Corporate Officer since 2020. His 2024 actual compensation reflects both roles. Target TDC reflect his new target STIP and LTIP</v>
      </c>
    </row>
    <row r="64" spans="1:11">
      <c r="A64" s="322" t="str">
        <f t="shared" si="5"/>
        <v>TSX:SSRM_2024_NEO3</v>
      </c>
      <c r="B64" s="322" t="s">
        <v>109</v>
      </c>
      <c r="C64" s="322" t="str">
        <f>C63</f>
        <v>TSX:SSRM</v>
      </c>
      <c r="E64" s="1141" t="str">
        <f t="shared" si="2"/>
        <v>SSR Mining Inc.</v>
      </c>
      <c r="F64" s="335" t="s">
        <v>78</v>
      </c>
      <c r="G64" s="345"/>
      <c r="H64" s="346" t="str">
        <f t="shared" si="4"/>
        <v>2024-12-31</v>
      </c>
      <c r="I64" s="346" t="str">
        <f t="shared" si="4"/>
        <v>USD</v>
      </c>
      <c r="J64" s="346" t="str">
        <f t="shared" si="4"/>
        <v>DC</v>
      </c>
      <c r="K64" s="346" t="str">
        <f t="shared" si="4"/>
        <v>Mr. Ebbett was appointed EVP, Growth &amp; Innovation August 22, 2022. His compensation for the 2022 has not been recorded.</v>
      </c>
    </row>
    <row r="65" spans="1:11">
      <c r="A65" s="323" t="str">
        <f t="shared" si="5"/>
        <v>TSX:OGC
_2024_CEO</v>
      </c>
      <c r="B65" s="323" t="s">
        <v>79</v>
      </c>
      <c r="C65" s="323" t="str">
        <f>'Raw Data'!D16</f>
        <v xml:space="preserve">TSX:OGC
</v>
      </c>
      <c r="E65" s="1140" t="str">
        <f t="shared" si="2"/>
        <v>OceanaGold Corporation</v>
      </c>
      <c r="F65" s="341" t="s">
        <v>78</v>
      </c>
      <c r="G65" s="345"/>
      <c r="H65" s="347" t="str">
        <f t="shared" si="4"/>
        <v>2024-12-31</v>
      </c>
      <c r="I65" s="347" t="str">
        <f t="shared" si="4"/>
        <v>USD</v>
      </c>
      <c r="J65" s="347" t="str">
        <f t="shared" si="4"/>
        <v>n.d.</v>
      </c>
      <c r="K65" s="347" t="str">
        <f t="shared" si="4"/>
        <v>-</v>
      </c>
    </row>
    <row r="66" spans="1:11">
      <c r="A66" s="322" t="str">
        <f t="shared" si="5"/>
        <v>TSX:OGC
_2024_CFO</v>
      </c>
      <c r="B66" s="322" t="s">
        <v>106</v>
      </c>
      <c r="C66" s="322" t="str">
        <f>C65</f>
        <v xml:space="preserve">TSX:OGC
</v>
      </c>
      <c r="E66" s="1140" t="str">
        <f t="shared" si="2"/>
        <v>OceanaGold Corporation</v>
      </c>
      <c r="F66" s="341" t="s">
        <v>78</v>
      </c>
      <c r="G66" s="345"/>
      <c r="H66" s="347" t="str">
        <f t="shared" si="4"/>
        <v>2024-12-31</v>
      </c>
      <c r="I66" s="347" t="str">
        <f t="shared" si="4"/>
        <v>USD</v>
      </c>
      <c r="J66" s="347" t="str">
        <f t="shared" si="4"/>
        <v>n.d.</v>
      </c>
      <c r="K66" s="347" t="str">
        <f t="shared" si="4"/>
        <v>-</v>
      </c>
    </row>
    <row r="67" spans="1:11">
      <c r="A67" s="322" t="str">
        <f t="shared" si="5"/>
        <v>TSX:OGC
_2024_NEO1</v>
      </c>
      <c r="B67" s="322" t="s">
        <v>107</v>
      </c>
      <c r="C67" s="322" t="str">
        <f>C66</f>
        <v xml:space="preserve">TSX:OGC
</v>
      </c>
      <c r="E67" s="1140" t="str">
        <f t="shared" si="2"/>
        <v>OceanaGold Corporation</v>
      </c>
      <c r="F67" s="341" t="s">
        <v>78</v>
      </c>
      <c r="G67" s="345"/>
      <c r="H67" s="347" t="str">
        <f t="shared" si="4"/>
        <v>2024-12-31</v>
      </c>
      <c r="I67" s="347" t="str">
        <f t="shared" si="4"/>
        <v>USD</v>
      </c>
      <c r="J67" s="347" t="str">
        <f t="shared" si="4"/>
        <v>n.d.</v>
      </c>
      <c r="K67" s="347" t="str">
        <f t="shared" si="4"/>
        <v>-</v>
      </c>
    </row>
    <row r="68" spans="1:11">
      <c r="A68" s="322" t="str">
        <f t="shared" si="5"/>
        <v>TSX:OGC
_2024_NEO2</v>
      </c>
      <c r="B68" s="322" t="s">
        <v>108</v>
      </c>
      <c r="C68" s="322" t="str">
        <f>C67</f>
        <v xml:space="preserve">TSX:OGC
</v>
      </c>
      <c r="E68" s="1140" t="str">
        <f t="shared" si="2"/>
        <v>OceanaGold Corporation</v>
      </c>
      <c r="F68" s="341" t="s">
        <v>78</v>
      </c>
      <c r="G68" s="345"/>
      <c r="H68" s="347" t="str">
        <f t="shared" si="4"/>
        <v>2024-12-31</v>
      </c>
      <c r="I68" s="347" t="str">
        <f t="shared" si="4"/>
        <v>USD</v>
      </c>
      <c r="J68" s="347" t="str">
        <f t="shared" si="4"/>
        <v>n.d.</v>
      </c>
      <c r="K68" s="347" t="str">
        <f t="shared" si="4"/>
        <v>Mr. Londoño departed the Company on April 4, 2025. No additional compensation was provided in the form of severance, as Mr. Londoño resigned.</v>
      </c>
    </row>
    <row r="69" spans="1:11">
      <c r="A69" s="322" t="str">
        <f t="shared" ref="A69:A100" si="6">+C69&amp;"_"&amp;$A$1&amp;"_"&amp;B69</f>
        <v>0_2024_NEO3</v>
      </c>
      <c r="B69" s="322" t="s">
        <v>109</v>
      </c>
      <c r="C69" s="323">
        <f>'Raw Data'!D24</f>
        <v>0</v>
      </c>
      <c r="E69" s="1140" t="str">
        <f t="shared" si="2"/>
        <v>(Invalid Identifier)</v>
      </c>
      <c r="F69" s="341" t="s">
        <v>78</v>
      </c>
      <c r="G69" s="345"/>
      <c r="H69" s="347" t="str">
        <f t="shared" si="4"/>
        <v>2024-12-31</v>
      </c>
      <c r="I69" s="347" t="str">
        <f t="shared" si="4"/>
        <v>CAD</v>
      </c>
      <c r="J69" s="347" t="str">
        <f t="shared" si="4"/>
        <v>-</v>
      </c>
      <c r="K69" s="347" t="str">
        <f t="shared" si="4"/>
        <v>-</v>
      </c>
    </row>
    <row r="70" spans="1:11">
      <c r="A70" s="323" t="str">
        <f t="shared" si="6"/>
        <v>TSX:ERO_2024_CEO</v>
      </c>
      <c r="B70" s="323" t="s">
        <v>79</v>
      </c>
      <c r="C70" s="323" t="str">
        <f>'Raw Data'!D17</f>
        <v>TSX:ERO</v>
      </c>
      <c r="E70" s="1141" t="str">
        <f t="shared" si="2"/>
        <v>Ero Copper Corp.</v>
      </c>
      <c r="F70" s="335" t="s">
        <v>78</v>
      </c>
      <c r="G70" s="345"/>
      <c r="H70" s="346" t="str">
        <f t="shared" si="4"/>
        <v>2024-12-31</v>
      </c>
      <c r="I70" s="346" t="str">
        <f t="shared" si="4"/>
        <v>USD</v>
      </c>
      <c r="J70" s="346" t="str">
        <f t="shared" si="4"/>
        <v>N/A</v>
      </c>
      <c r="K70" s="346" t="str">
        <f t="shared" si="4"/>
        <v xml:space="preserve">Has transitioned to Executive Chairman as of January 1, 2025; 2024 Compensation reflects his tenure as CEO. </v>
      </c>
    </row>
    <row r="71" spans="1:11">
      <c r="A71" s="322" t="str">
        <f t="shared" si="6"/>
        <v>TSX:ERO_2024_CFO</v>
      </c>
      <c r="B71" s="322" t="s">
        <v>106</v>
      </c>
      <c r="C71" s="322" t="str">
        <f>C70</f>
        <v>TSX:ERO</v>
      </c>
      <c r="E71" s="1141" t="str">
        <f t="shared" si="2"/>
        <v>Ero Copper Corp.</v>
      </c>
      <c r="F71" s="335" t="s">
        <v>78</v>
      </c>
      <c r="G71" s="345"/>
      <c r="H71" s="346" t="str">
        <f t="shared" si="4"/>
        <v>2024-12-31</v>
      </c>
      <c r="I71" s="346" t="str">
        <f t="shared" si="4"/>
        <v>USD</v>
      </c>
      <c r="J71" s="346" t="str">
        <f t="shared" si="4"/>
        <v>N/A</v>
      </c>
      <c r="K71" s="346" t="str">
        <f t="shared" si="4"/>
        <v>Has transitioned to EVP &amp; CFO as of January 1, 2025; 2024 Compensation reflects his tenure as CFO</v>
      </c>
    </row>
    <row r="72" spans="1:11">
      <c r="A72" s="322" t="str">
        <f t="shared" si="6"/>
        <v>TSX:ERO_2024_NEO1</v>
      </c>
      <c r="B72" s="322" t="s">
        <v>107</v>
      </c>
      <c r="C72" s="322" t="str">
        <f>C71</f>
        <v>TSX:ERO</v>
      </c>
      <c r="E72" s="1141" t="str">
        <f t="shared" si="2"/>
        <v>Ero Copper Corp.</v>
      </c>
      <c r="F72" s="335" t="s">
        <v>78</v>
      </c>
      <c r="G72" s="345"/>
      <c r="H72" s="346" t="str">
        <f t="shared" si="4"/>
        <v>2024-12-31</v>
      </c>
      <c r="I72" s="346" t="str">
        <f t="shared" si="4"/>
        <v>USD</v>
      </c>
      <c r="J72" s="346" t="str">
        <f t="shared" si="4"/>
        <v>N/A</v>
      </c>
      <c r="K72" s="346" t="str">
        <f t="shared" si="4"/>
        <v>Has transitioned to President &amp; CEO as of January 1, 2025; 2024 Compensation reflects his tenure as President &amp; COO.</v>
      </c>
    </row>
    <row r="73" spans="1:11">
      <c r="A73" s="322" t="str">
        <f t="shared" si="6"/>
        <v>TSX:ERO_2024_NEO2</v>
      </c>
      <c r="B73" s="322" t="s">
        <v>108</v>
      </c>
      <c r="C73" s="322" t="str">
        <f>C72</f>
        <v>TSX:ERO</v>
      </c>
      <c r="E73" s="1141" t="str">
        <f t="shared" si="2"/>
        <v>Ero Copper Corp.</v>
      </c>
      <c r="F73" s="335" t="s">
        <v>78</v>
      </c>
      <c r="G73" s="345"/>
      <c r="H73" s="346" t="str">
        <f t="shared" si="4"/>
        <v>2024-12-31</v>
      </c>
      <c r="I73" s="346" t="str">
        <f t="shared" si="4"/>
        <v>USD</v>
      </c>
      <c r="J73" s="346" t="str">
        <f t="shared" si="4"/>
        <v>N/A</v>
      </c>
      <c r="K73" s="346" t="str">
        <f t="shared" si="4"/>
        <v>Mr. Batista's employment with the Company commenced on September 12, 2024. Mr. Batista was granted $300k in PSUs, $150k in RSUs, and $161k in options - these awards have been excluded from the benchmarking analysis. 'Has transitioned to EVP &amp; COO as of January 1, 2025; 2024 Compensation reflects his tenure as SVP Operations.</v>
      </c>
    </row>
    <row r="74" spans="1:11">
      <c r="A74" s="322" t="str">
        <f t="shared" si="6"/>
        <v>TSX:ERO_2024_NEO3</v>
      </c>
      <c r="B74" s="322" t="s">
        <v>109</v>
      </c>
      <c r="C74" s="322" t="str">
        <f>C73</f>
        <v>TSX:ERO</v>
      </c>
      <c r="E74" s="1141" t="str">
        <f t="shared" ref="E74:E109" si="7">IFERROR(INDEX(Raw_Data,MATCH($A74,Look_Up,0),MATCH(E$4,Component,0)),"-")</f>
        <v>Ero Copper Corp.</v>
      </c>
      <c r="F74" s="335" t="s">
        <v>78</v>
      </c>
      <c r="G74" s="345"/>
      <c r="H74" s="346" t="str">
        <f t="shared" si="4"/>
        <v>2024-12-31</v>
      </c>
      <c r="I74" s="346" t="str">
        <f t="shared" si="4"/>
        <v>USD</v>
      </c>
      <c r="J74" s="346" t="str">
        <f t="shared" si="4"/>
        <v>N/A</v>
      </c>
      <c r="K74" s="346" t="str">
        <f t="shared" si="4"/>
        <v>'Has transitioned to EVP, External Affairs &amp; Strategy as of January 1, 2025; 2024 Compensation reflects her tenure as SVP Corp. Dev., IR &amp; Sustainability</v>
      </c>
    </row>
    <row r="75" spans="1:11">
      <c r="A75" s="323" t="str">
        <f t="shared" si="6"/>
        <v>TSX:CG_2024_CEO</v>
      </c>
      <c r="B75" s="323" t="s">
        <v>79</v>
      </c>
      <c r="C75" s="323" t="str">
        <f>'Raw Data'!D18</f>
        <v>TSX:CG</v>
      </c>
      <c r="E75" s="1140" t="str">
        <f t="shared" si="7"/>
        <v>Centerra Gold Inc.</v>
      </c>
      <c r="F75" s="341" t="s">
        <v>78</v>
      </c>
      <c r="G75" s="345"/>
      <c r="H75" s="347" t="str">
        <f t="shared" si="4"/>
        <v>2024-12-31</v>
      </c>
      <c r="I75" s="347" t="str">
        <f t="shared" si="4"/>
        <v>CAD</v>
      </c>
      <c r="J75" s="347" t="str">
        <f t="shared" si="4"/>
        <v>DC</v>
      </c>
      <c r="K75" s="347" t="str">
        <f t="shared" si="4"/>
        <v>Centerra's CEO joined on May 1, 2023; data has been annualized and interim CEO pay has been excluded.</v>
      </c>
    </row>
    <row r="76" spans="1:11">
      <c r="A76" s="322" t="str">
        <f t="shared" si="6"/>
        <v>TSX:CG_2024_CFO</v>
      </c>
      <c r="B76" s="322" t="s">
        <v>106</v>
      </c>
      <c r="C76" s="322" t="str">
        <f>C75</f>
        <v>TSX:CG</v>
      </c>
      <c r="E76" s="1140" t="str">
        <f t="shared" si="7"/>
        <v>Centerra Gold Inc.</v>
      </c>
      <c r="F76" s="341" t="s">
        <v>78</v>
      </c>
      <c r="G76" s="345"/>
      <c r="H76" s="347" t="str">
        <f t="shared" si="4"/>
        <v>2024-12-31</v>
      </c>
      <c r="I76" s="347" t="str">
        <f t="shared" si="4"/>
        <v>CAD</v>
      </c>
      <c r="J76" s="347" t="str">
        <f t="shared" si="4"/>
        <v>DC</v>
      </c>
      <c r="K76" s="347" t="str">
        <f t="shared" si="4"/>
        <v>Mr. Snyder was appointed Executive Vice President, CFO on  April 8, 2024, before which he was VP  Finance. His 2024 compensation reflects the blend of two roles.</v>
      </c>
    </row>
    <row r="77" spans="1:11">
      <c r="A77" s="322" t="str">
        <f t="shared" si="6"/>
        <v>TSX:CG_2024_NEO1</v>
      </c>
      <c r="B77" s="322" t="s">
        <v>107</v>
      </c>
      <c r="C77" s="322" t="str">
        <f>C76</f>
        <v>TSX:CG</v>
      </c>
      <c r="E77" s="1140" t="str">
        <f t="shared" si="7"/>
        <v>Centerra Gold Inc.</v>
      </c>
      <c r="F77" s="341" t="s">
        <v>78</v>
      </c>
      <c r="G77" s="345"/>
      <c r="H77" s="347" t="str">
        <f t="shared" si="4"/>
        <v>2024-12-31</v>
      </c>
      <c r="I77" s="347" t="str">
        <f t="shared" si="4"/>
        <v>CAD</v>
      </c>
      <c r="J77" s="347" t="str">
        <f t="shared" si="4"/>
        <v>DC</v>
      </c>
      <c r="K77" s="347" t="str">
        <f t="shared" si="4"/>
        <v>Mr. Chawrun was appointed Executive Vice President, Chief Operating Officer on September 6, 2022. His 2022 base salary is an annualized amount, he received a pro-rated portion of it in 2022.</v>
      </c>
    </row>
    <row r="78" spans="1:11">
      <c r="A78" s="322" t="str">
        <f t="shared" si="6"/>
        <v>TSX:CG_2024_NEO2</v>
      </c>
      <c r="B78" s="322" t="s">
        <v>108</v>
      </c>
      <c r="C78" s="322" t="str">
        <f>C77</f>
        <v>TSX:CG</v>
      </c>
      <c r="E78" s="1140" t="str">
        <f t="shared" si="7"/>
        <v>Centerra Gold Inc.</v>
      </c>
      <c r="F78" s="341" t="s">
        <v>78</v>
      </c>
      <c r="G78" s="345"/>
      <c r="H78" s="347" t="str">
        <f t="shared" si="4"/>
        <v>2024-12-31</v>
      </c>
      <c r="I78" s="347" t="str">
        <f t="shared" si="4"/>
        <v>CAD</v>
      </c>
      <c r="J78" s="347" t="str">
        <f t="shared" si="4"/>
        <v>DC</v>
      </c>
      <c r="K78" s="347" t="str">
        <f t="shared" si="4"/>
        <v>-</v>
      </c>
    </row>
    <row r="79" spans="1:11">
      <c r="A79" s="322" t="str">
        <f t="shared" si="6"/>
        <v>TSX:CG_2024_NEO3</v>
      </c>
      <c r="B79" s="322" t="s">
        <v>109</v>
      </c>
      <c r="C79" s="322" t="str">
        <f>C78</f>
        <v>TSX:CG</v>
      </c>
      <c r="E79" s="1140" t="str">
        <f t="shared" si="7"/>
        <v>Centerra Gold Inc.</v>
      </c>
      <c r="F79" s="341" t="s">
        <v>78</v>
      </c>
      <c r="G79" s="345"/>
      <c r="H79" s="347" t="str">
        <f t="shared" si="4"/>
        <v>2024-12-31</v>
      </c>
      <c r="I79" s="347" t="str">
        <f t="shared" si="4"/>
        <v>CAD</v>
      </c>
      <c r="J79" s="347" t="str">
        <f t="shared" si="4"/>
        <v>DC</v>
      </c>
      <c r="K79" s="347" t="str">
        <f t="shared" si="4"/>
        <v>-</v>
      </c>
    </row>
    <row r="80" spans="1:11">
      <c r="A80" s="323" t="str">
        <f t="shared" si="6"/>
        <v>0_2024_CEO</v>
      </c>
      <c r="B80" s="323" t="s">
        <v>79</v>
      </c>
      <c r="C80" s="323">
        <f>'Raw Data'!D19</f>
        <v>0</v>
      </c>
      <c r="E80" s="1141" t="str">
        <f t="shared" si="7"/>
        <v>(Invalid Identifier)</v>
      </c>
      <c r="F80" s="335" t="s">
        <v>78</v>
      </c>
      <c r="G80" s="345"/>
      <c r="H80" s="346" t="str">
        <f t="shared" si="4"/>
        <v>2024-12-31</v>
      </c>
      <c r="I80" s="346" t="str">
        <f t="shared" si="4"/>
        <v>CAD</v>
      </c>
      <c r="J80" s="346" t="str">
        <f t="shared" si="4"/>
        <v>-</v>
      </c>
      <c r="K80" s="346" t="str">
        <f t="shared" si="4"/>
        <v>-</v>
      </c>
    </row>
    <row r="81" spans="1:11">
      <c r="A81" s="322" t="str">
        <f t="shared" si="6"/>
        <v>0_2024_CFO</v>
      </c>
      <c r="B81" s="322" t="s">
        <v>106</v>
      </c>
      <c r="C81" s="322">
        <f>C80</f>
        <v>0</v>
      </c>
      <c r="E81" s="1141" t="str">
        <f t="shared" si="7"/>
        <v>(Invalid Identifier)</v>
      </c>
      <c r="F81" s="335" t="s">
        <v>78</v>
      </c>
      <c r="G81" s="345"/>
      <c r="H81" s="346" t="str">
        <f t="shared" si="4"/>
        <v>2024-12-31</v>
      </c>
      <c r="I81" s="346" t="str">
        <f t="shared" si="4"/>
        <v>CAD</v>
      </c>
      <c r="J81" s="346" t="str">
        <f t="shared" si="4"/>
        <v>-</v>
      </c>
      <c r="K81" s="346" t="str">
        <f t="shared" si="4"/>
        <v>-</v>
      </c>
    </row>
    <row r="82" spans="1:11">
      <c r="A82" s="322" t="str">
        <f t="shared" si="6"/>
        <v>0_2024_NEO1</v>
      </c>
      <c r="B82" s="322" t="s">
        <v>107</v>
      </c>
      <c r="C82" s="322">
        <f>C81</f>
        <v>0</v>
      </c>
      <c r="E82" s="1141" t="str">
        <f t="shared" si="7"/>
        <v>(Invalid Identifier)</v>
      </c>
      <c r="F82" s="335" t="s">
        <v>78</v>
      </c>
      <c r="G82" s="345"/>
      <c r="H82" s="346" t="str">
        <f t="shared" si="4"/>
        <v>2024-12-31</v>
      </c>
      <c r="I82" s="346" t="str">
        <f t="shared" si="4"/>
        <v>CAD</v>
      </c>
      <c r="J82" s="346" t="str">
        <f t="shared" si="4"/>
        <v>-</v>
      </c>
      <c r="K82" s="346" t="str">
        <f t="shared" si="4"/>
        <v>-</v>
      </c>
    </row>
    <row r="83" spans="1:11">
      <c r="A83" s="322" t="str">
        <f t="shared" si="6"/>
        <v>0_2024_NEO2</v>
      </c>
      <c r="B83" s="322" t="s">
        <v>108</v>
      </c>
      <c r="C83" s="322">
        <f>C82</f>
        <v>0</v>
      </c>
      <c r="E83" s="1141" t="str">
        <f t="shared" si="7"/>
        <v>(Invalid Identifier)</v>
      </c>
      <c r="F83" s="335" t="s">
        <v>78</v>
      </c>
      <c r="G83" s="345"/>
      <c r="H83" s="346" t="str">
        <f t="shared" si="4"/>
        <v>2024-12-31</v>
      </c>
      <c r="I83" s="346" t="str">
        <f t="shared" si="4"/>
        <v>CAD</v>
      </c>
      <c r="J83" s="346" t="str">
        <f t="shared" si="4"/>
        <v>-</v>
      </c>
      <c r="K83" s="346" t="str">
        <f t="shared" si="4"/>
        <v>-</v>
      </c>
    </row>
    <row r="84" spans="1:11">
      <c r="A84" s="322" t="str">
        <f t="shared" si="6"/>
        <v>0_2024_NEO3</v>
      </c>
      <c r="B84" s="322" t="s">
        <v>109</v>
      </c>
      <c r="C84" s="322">
        <f>C83</f>
        <v>0</v>
      </c>
      <c r="E84" s="1141" t="str">
        <f t="shared" si="7"/>
        <v>(Invalid Identifier)</v>
      </c>
      <c r="F84" s="335" t="s">
        <v>78</v>
      </c>
      <c r="G84" s="345"/>
      <c r="H84" s="346" t="str">
        <f t="shared" si="4"/>
        <v>2024-12-31</v>
      </c>
      <c r="I84" s="346" t="str">
        <f t="shared" si="4"/>
        <v>CAD</v>
      </c>
      <c r="J84" s="346" t="str">
        <f t="shared" si="4"/>
        <v>-</v>
      </c>
      <c r="K84" s="346" t="str">
        <f t="shared" si="4"/>
        <v>-</v>
      </c>
    </row>
    <row r="85" spans="1:11">
      <c r="A85" s="323" t="str">
        <f t="shared" si="6"/>
        <v>0_2024_CEO</v>
      </c>
      <c r="B85" s="323" t="s">
        <v>79</v>
      </c>
      <c r="C85" s="323">
        <f>'Raw Data'!D20</f>
        <v>0</v>
      </c>
      <c r="E85" s="1140" t="str">
        <f t="shared" si="7"/>
        <v>(Invalid Identifier)</v>
      </c>
      <c r="F85" s="341" t="s">
        <v>78</v>
      </c>
      <c r="G85" s="345"/>
      <c r="H85" s="347" t="str">
        <f t="shared" si="4"/>
        <v>2024-12-31</v>
      </c>
      <c r="I85" s="347" t="str">
        <f t="shared" si="4"/>
        <v>CAD</v>
      </c>
      <c r="J85" s="347" t="str">
        <f t="shared" si="4"/>
        <v>-</v>
      </c>
      <c r="K85" s="347" t="str">
        <f t="shared" si="4"/>
        <v>-</v>
      </c>
    </row>
    <row r="86" spans="1:11">
      <c r="A86" s="322" t="str">
        <f t="shared" si="6"/>
        <v>0_2024_CFO</v>
      </c>
      <c r="B86" s="322" t="s">
        <v>106</v>
      </c>
      <c r="C86" s="322">
        <f>C85</f>
        <v>0</v>
      </c>
      <c r="E86" s="1140" t="str">
        <f t="shared" si="7"/>
        <v>(Invalid Identifier)</v>
      </c>
      <c r="F86" s="341" t="s">
        <v>78</v>
      </c>
      <c r="G86" s="345"/>
      <c r="H86" s="347" t="str">
        <f t="shared" si="4"/>
        <v>2024-12-31</v>
      </c>
      <c r="I86" s="347" t="str">
        <f t="shared" si="4"/>
        <v>CAD</v>
      </c>
      <c r="J86" s="347" t="str">
        <f t="shared" si="4"/>
        <v>-</v>
      </c>
      <c r="K86" s="347" t="str">
        <f t="shared" si="4"/>
        <v>-</v>
      </c>
    </row>
    <row r="87" spans="1:11">
      <c r="A87" s="322" t="str">
        <f t="shared" si="6"/>
        <v>0_2024_NEO1</v>
      </c>
      <c r="B87" s="322" t="s">
        <v>107</v>
      </c>
      <c r="C87" s="322">
        <f>C86</f>
        <v>0</v>
      </c>
      <c r="E87" s="1140" t="str">
        <f t="shared" si="7"/>
        <v>(Invalid Identifier)</v>
      </c>
      <c r="F87" s="341" t="s">
        <v>78</v>
      </c>
      <c r="G87" s="345"/>
      <c r="H87" s="347" t="str">
        <f t="shared" si="4"/>
        <v>2024-12-31</v>
      </c>
      <c r="I87" s="347" t="str">
        <f t="shared" si="4"/>
        <v>CAD</v>
      </c>
      <c r="J87" s="347" t="str">
        <f t="shared" si="4"/>
        <v>-</v>
      </c>
      <c r="K87" s="347" t="str">
        <f t="shared" si="4"/>
        <v>-</v>
      </c>
    </row>
    <row r="88" spans="1:11">
      <c r="A88" s="322" t="str">
        <f t="shared" si="6"/>
        <v>0_2024_NEO2</v>
      </c>
      <c r="B88" s="322" t="s">
        <v>108</v>
      </c>
      <c r="C88" s="322">
        <f>C87</f>
        <v>0</v>
      </c>
      <c r="E88" s="1140" t="str">
        <f t="shared" si="7"/>
        <v>(Invalid Identifier)</v>
      </c>
      <c r="F88" s="341" t="s">
        <v>78</v>
      </c>
      <c r="G88" s="345"/>
      <c r="H88" s="347" t="str">
        <f t="shared" si="4"/>
        <v>2024-12-31</v>
      </c>
      <c r="I88" s="347" t="str">
        <f t="shared" si="4"/>
        <v>CAD</v>
      </c>
      <c r="J88" s="347" t="str">
        <f t="shared" si="4"/>
        <v>-</v>
      </c>
      <c r="K88" s="347" t="str">
        <f t="shared" si="4"/>
        <v>-</v>
      </c>
    </row>
    <row r="89" spans="1:11">
      <c r="A89" s="322" t="str">
        <f t="shared" si="6"/>
        <v>0_2024_NEO3</v>
      </c>
      <c r="B89" s="322" t="s">
        <v>109</v>
      </c>
      <c r="C89" s="322">
        <f>C88</f>
        <v>0</v>
      </c>
      <c r="E89" s="1140" t="str">
        <f t="shared" si="7"/>
        <v>(Invalid Identifier)</v>
      </c>
      <c r="F89" s="341" t="s">
        <v>78</v>
      </c>
      <c r="G89" s="345"/>
      <c r="H89" s="347" t="str">
        <f t="shared" si="4"/>
        <v>2024-12-31</v>
      </c>
      <c r="I89" s="347" t="str">
        <f t="shared" si="4"/>
        <v>CAD</v>
      </c>
      <c r="J89" s="347" t="str">
        <f t="shared" si="4"/>
        <v>-</v>
      </c>
      <c r="K89" s="347" t="str">
        <f t="shared" ref="H89:K109" si="8">IFERROR(INDEX(Raw_Data,MATCH($A89,Look_Up,0),MATCH(K$4,Component,0)),"-")</f>
        <v>-</v>
      </c>
    </row>
    <row r="90" spans="1:11">
      <c r="A90" s="323" t="str">
        <f t="shared" si="6"/>
        <v>0_2024_CEO</v>
      </c>
      <c r="B90" s="323" t="s">
        <v>79</v>
      </c>
      <c r="C90" s="323">
        <f>'Raw Data'!D21</f>
        <v>0</v>
      </c>
      <c r="E90" s="1141" t="str">
        <f t="shared" si="7"/>
        <v>(Invalid Identifier)</v>
      </c>
      <c r="F90" s="335" t="s">
        <v>78</v>
      </c>
      <c r="G90" s="345"/>
      <c r="H90" s="346" t="str">
        <f t="shared" si="8"/>
        <v>2024-12-31</v>
      </c>
      <c r="I90" s="346" t="str">
        <f t="shared" si="8"/>
        <v>CAD</v>
      </c>
      <c r="J90" s="346" t="str">
        <f t="shared" si="8"/>
        <v>-</v>
      </c>
      <c r="K90" s="346" t="str">
        <f t="shared" si="8"/>
        <v>-</v>
      </c>
    </row>
    <row r="91" spans="1:11">
      <c r="A91" s="322" t="str">
        <f t="shared" si="6"/>
        <v>0_2024_CFO</v>
      </c>
      <c r="B91" s="322" t="s">
        <v>106</v>
      </c>
      <c r="C91" s="322">
        <f>C90</f>
        <v>0</v>
      </c>
      <c r="E91" s="1141" t="str">
        <f t="shared" si="7"/>
        <v>(Invalid Identifier)</v>
      </c>
      <c r="F91" s="335" t="s">
        <v>78</v>
      </c>
      <c r="G91" s="345"/>
      <c r="H91" s="346" t="str">
        <f t="shared" si="8"/>
        <v>2024-12-31</v>
      </c>
      <c r="I91" s="346" t="str">
        <f t="shared" si="8"/>
        <v>CAD</v>
      </c>
      <c r="J91" s="346" t="str">
        <f t="shared" si="8"/>
        <v>-</v>
      </c>
      <c r="K91" s="346" t="str">
        <f t="shared" si="8"/>
        <v>-</v>
      </c>
    </row>
    <row r="92" spans="1:11">
      <c r="A92" s="322" t="str">
        <f t="shared" si="6"/>
        <v>0_2024_NEO1</v>
      </c>
      <c r="B92" s="322" t="s">
        <v>107</v>
      </c>
      <c r="C92" s="322">
        <f>C91</f>
        <v>0</v>
      </c>
      <c r="E92" s="1141" t="str">
        <f t="shared" si="7"/>
        <v>(Invalid Identifier)</v>
      </c>
      <c r="F92" s="335" t="s">
        <v>78</v>
      </c>
      <c r="G92" s="345"/>
      <c r="H92" s="346" t="str">
        <f t="shared" si="8"/>
        <v>2024-12-31</v>
      </c>
      <c r="I92" s="346" t="str">
        <f t="shared" si="8"/>
        <v>CAD</v>
      </c>
      <c r="J92" s="346" t="str">
        <f t="shared" si="8"/>
        <v>-</v>
      </c>
      <c r="K92" s="346" t="str">
        <f t="shared" si="8"/>
        <v>-</v>
      </c>
    </row>
    <row r="93" spans="1:11">
      <c r="A93" s="322" t="str">
        <f t="shared" si="6"/>
        <v>0_2024_NEO2</v>
      </c>
      <c r="B93" s="322" t="s">
        <v>108</v>
      </c>
      <c r="C93" s="322">
        <f>C92</f>
        <v>0</v>
      </c>
      <c r="E93" s="1141" t="str">
        <f t="shared" si="7"/>
        <v>(Invalid Identifier)</v>
      </c>
      <c r="F93" s="335" t="s">
        <v>78</v>
      </c>
      <c r="G93" s="345"/>
      <c r="H93" s="346" t="str">
        <f t="shared" si="8"/>
        <v>2024-12-31</v>
      </c>
      <c r="I93" s="346" t="str">
        <f t="shared" si="8"/>
        <v>CAD</v>
      </c>
      <c r="J93" s="346" t="str">
        <f t="shared" si="8"/>
        <v>-</v>
      </c>
      <c r="K93" s="346" t="str">
        <f t="shared" si="8"/>
        <v>-</v>
      </c>
    </row>
    <row r="94" spans="1:11">
      <c r="A94" s="322" t="str">
        <f t="shared" si="6"/>
        <v>0_2024_NEO3</v>
      </c>
      <c r="B94" s="322" t="s">
        <v>109</v>
      </c>
      <c r="C94" s="322">
        <f>C93</f>
        <v>0</v>
      </c>
      <c r="E94" s="1141" t="str">
        <f t="shared" si="7"/>
        <v>(Invalid Identifier)</v>
      </c>
      <c r="F94" s="335" t="s">
        <v>78</v>
      </c>
      <c r="G94" s="345"/>
      <c r="H94" s="346" t="str">
        <f t="shared" si="8"/>
        <v>2024-12-31</v>
      </c>
      <c r="I94" s="346" t="str">
        <f t="shared" si="8"/>
        <v>CAD</v>
      </c>
      <c r="J94" s="346" t="str">
        <f t="shared" si="8"/>
        <v>-</v>
      </c>
      <c r="K94" s="346" t="str">
        <f t="shared" si="8"/>
        <v>-</v>
      </c>
    </row>
    <row r="95" spans="1:11">
      <c r="A95" s="323" t="str">
        <f t="shared" si="6"/>
        <v>0_2024_CEO</v>
      </c>
      <c r="B95" s="323" t="s">
        <v>79</v>
      </c>
      <c r="C95" s="323">
        <f>'Raw Data'!D22</f>
        <v>0</v>
      </c>
      <c r="E95" s="1140" t="str">
        <f t="shared" si="7"/>
        <v>(Invalid Identifier)</v>
      </c>
      <c r="F95" s="341" t="s">
        <v>78</v>
      </c>
      <c r="G95" s="345"/>
      <c r="H95" s="347" t="str">
        <f t="shared" si="8"/>
        <v>2024-12-31</v>
      </c>
      <c r="I95" s="347" t="str">
        <f t="shared" si="8"/>
        <v>CAD</v>
      </c>
      <c r="J95" s="347" t="str">
        <f t="shared" si="8"/>
        <v>-</v>
      </c>
      <c r="K95" s="347" t="str">
        <f t="shared" si="8"/>
        <v>-</v>
      </c>
    </row>
    <row r="96" spans="1:11">
      <c r="A96" s="322" t="str">
        <f t="shared" si="6"/>
        <v>0_2024_CFO</v>
      </c>
      <c r="B96" s="322" t="s">
        <v>106</v>
      </c>
      <c r="C96" s="322">
        <f>C95</f>
        <v>0</v>
      </c>
      <c r="E96" s="1140" t="str">
        <f t="shared" si="7"/>
        <v>(Invalid Identifier)</v>
      </c>
      <c r="F96" s="341" t="s">
        <v>78</v>
      </c>
      <c r="G96" s="345"/>
      <c r="H96" s="347" t="str">
        <f t="shared" si="8"/>
        <v>2024-12-31</v>
      </c>
      <c r="I96" s="347" t="str">
        <f t="shared" si="8"/>
        <v>CAD</v>
      </c>
      <c r="J96" s="347" t="str">
        <f t="shared" si="8"/>
        <v>-</v>
      </c>
      <c r="K96" s="347" t="str">
        <f t="shared" si="8"/>
        <v>-</v>
      </c>
    </row>
    <row r="97" spans="1:11">
      <c r="A97" s="322" t="str">
        <f t="shared" si="6"/>
        <v>0_2024_NEO1</v>
      </c>
      <c r="B97" s="322" t="s">
        <v>107</v>
      </c>
      <c r="C97" s="322">
        <f>C96</f>
        <v>0</v>
      </c>
      <c r="E97" s="1140" t="str">
        <f t="shared" si="7"/>
        <v>(Invalid Identifier)</v>
      </c>
      <c r="F97" s="341" t="s">
        <v>78</v>
      </c>
      <c r="G97" s="345"/>
      <c r="H97" s="347" t="str">
        <f t="shared" si="8"/>
        <v>2024-12-31</v>
      </c>
      <c r="I97" s="347" t="str">
        <f t="shared" si="8"/>
        <v>CAD</v>
      </c>
      <c r="J97" s="347" t="str">
        <f t="shared" si="8"/>
        <v>-</v>
      </c>
      <c r="K97" s="347" t="str">
        <f t="shared" si="8"/>
        <v>-</v>
      </c>
    </row>
    <row r="98" spans="1:11">
      <c r="A98" s="322" t="str">
        <f t="shared" si="6"/>
        <v>0_2024_NEO2</v>
      </c>
      <c r="B98" s="322" t="s">
        <v>108</v>
      </c>
      <c r="C98" s="322">
        <f>C97</f>
        <v>0</v>
      </c>
      <c r="E98" s="1140" t="str">
        <f t="shared" si="7"/>
        <v>(Invalid Identifier)</v>
      </c>
      <c r="F98" s="341" t="s">
        <v>78</v>
      </c>
      <c r="G98" s="345"/>
      <c r="H98" s="347" t="str">
        <f t="shared" si="8"/>
        <v>2024-12-31</v>
      </c>
      <c r="I98" s="347" t="str">
        <f t="shared" si="8"/>
        <v>CAD</v>
      </c>
      <c r="J98" s="347" t="str">
        <f t="shared" si="8"/>
        <v>-</v>
      </c>
      <c r="K98" s="347" t="str">
        <f t="shared" si="8"/>
        <v>-</v>
      </c>
    </row>
    <row r="99" spans="1:11">
      <c r="A99" s="322" t="str">
        <f t="shared" si="6"/>
        <v>0_2024_NEO3</v>
      </c>
      <c r="B99" s="322" t="s">
        <v>109</v>
      </c>
      <c r="C99" s="322">
        <f>C98</f>
        <v>0</v>
      </c>
      <c r="E99" s="1140" t="str">
        <f t="shared" si="7"/>
        <v>(Invalid Identifier)</v>
      </c>
      <c r="F99" s="341" t="s">
        <v>78</v>
      </c>
      <c r="G99" s="345"/>
      <c r="H99" s="347" t="str">
        <f t="shared" si="8"/>
        <v>2024-12-31</v>
      </c>
      <c r="I99" s="347" t="str">
        <f t="shared" si="8"/>
        <v>CAD</v>
      </c>
      <c r="J99" s="347" t="str">
        <f t="shared" si="8"/>
        <v>-</v>
      </c>
      <c r="K99" s="347" t="str">
        <f t="shared" si="8"/>
        <v>-</v>
      </c>
    </row>
    <row r="100" spans="1:11">
      <c r="A100" s="323" t="str">
        <f t="shared" si="6"/>
        <v>0_2024_CEO</v>
      </c>
      <c r="B100" s="323" t="s">
        <v>79</v>
      </c>
      <c r="C100" s="323">
        <f>'Raw Data'!D23</f>
        <v>0</v>
      </c>
      <c r="E100" s="1141" t="str">
        <f t="shared" si="7"/>
        <v>(Invalid Identifier)</v>
      </c>
      <c r="F100" s="335" t="s">
        <v>78</v>
      </c>
      <c r="G100" s="345"/>
      <c r="H100" s="346" t="str">
        <f t="shared" si="8"/>
        <v>2024-12-31</v>
      </c>
      <c r="I100" s="346" t="str">
        <f t="shared" si="8"/>
        <v>CAD</v>
      </c>
      <c r="J100" s="346" t="str">
        <f t="shared" si="8"/>
        <v>-</v>
      </c>
      <c r="K100" s="346" t="str">
        <f t="shared" si="8"/>
        <v>-</v>
      </c>
    </row>
    <row r="101" spans="1:11">
      <c r="A101" s="322" t="str">
        <f t="shared" ref="A101:A109" si="9">+C101&amp;"_"&amp;$A$1&amp;"_"&amp;B101</f>
        <v>0_2024_CFO</v>
      </c>
      <c r="B101" s="322" t="s">
        <v>106</v>
      </c>
      <c r="C101" s="322">
        <f>C100</f>
        <v>0</v>
      </c>
      <c r="E101" s="1141" t="str">
        <f t="shared" si="7"/>
        <v>(Invalid Identifier)</v>
      </c>
      <c r="F101" s="335" t="s">
        <v>78</v>
      </c>
      <c r="G101" s="345"/>
      <c r="H101" s="346" t="str">
        <f t="shared" si="8"/>
        <v>2024-12-31</v>
      </c>
      <c r="I101" s="346" t="str">
        <f t="shared" si="8"/>
        <v>CAD</v>
      </c>
      <c r="J101" s="346" t="str">
        <f t="shared" si="8"/>
        <v>-</v>
      </c>
      <c r="K101" s="346" t="str">
        <f t="shared" si="8"/>
        <v>-</v>
      </c>
    </row>
    <row r="102" spans="1:11">
      <c r="A102" s="322" t="str">
        <f t="shared" si="9"/>
        <v>0_2024_NEO1</v>
      </c>
      <c r="B102" s="322" t="s">
        <v>107</v>
      </c>
      <c r="C102" s="322">
        <f>C101</f>
        <v>0</v>
      </c>
      <c r="E102" s="1141" t="str">
        <f t="shared" si="7"/>
        <v>(Invalid Identifier)</v>
      </c>
      <c r="F102" s="335" t="s">
        <v>78</v>
      </c>
      <c r="G102" s="345"/>
      <c r="H102" s="346" t="str">
        <f t="shared" si="8"/>
        <v>2024-12-31</v>
      </c>
      <c r="I102" s="346" t="str">
        <f t="shared" si="8"/>
        <v>CAD</v>
      </c>
      <c r="J102" s="346" t="str">
        <f t="shared" si="8"/>
        <v>-</v>
      </c>
      <c r="K102" s="346" t="str">
        <f t="shared" si="8"/>
        <v>-</v>
      </c>
    </row>
    <row r="103" spans="1:11">
      <c r="A103" s="322" t="str">
        <f t="shared" si="9"/>
        <v>0_2024_NEO2</v>
      </c>
      <c r="B103" s="322" t="s">
        <v>108</v>
      </c>
      <c r="C103" s="322">
        <f>C102</f>
        <v>0</v>
      </c>
      <c r="E103" s="1141" t="str">
        <f t="shared" si="7"/>
        <v>(Invalid Identifier)</v>
      </c>
      <c r="F103" s="335" t="s">
        <v>78</v>
      </c>
      <c r="G103" s="345"/>
      <c r="H103" s="346" t="str">
        <f t="shared" si="8"/>
        <v>2024-12-31</v>
      </c>
      <c r="I103" s="346" t="str">
        <f t="shared" si="8"/>
        <v>CAD</v>
      </c>
      <c r="J103" s="346" t="str">
        <f t="shared" si="8"/>
        <v>-</v>
      </c>
      <c r="K103" s="346" t="str">
        <f t="shared" si="8"/>
        <v>-</v>
      </c>
    </row>
    <row r="104" spans="1:11">
      <c r="A104" s="322" t="str">
        <f t="shared" si="9"/>
        <v>0_2024_NEO3</v>
      </c>
      <c r="B104" s="322" t="s">
        <v>109</v>
      </c>
      <c r="C104" s="322">
        <f>C103</f>
        <v>0</v>
      </c>
      <c r="E104" s="1141" t="str">
        <f t="shared" si="7"/>
        <v>(Invalid Identifier)</v>
      </c>
      <c r="F104" s="335" t="s">
        <v>78</v>
      </c>
      <c r="G104" s="345"/>
      <c r="H104" s="346" t="str">
        <f t="shared" si="8"/>
        <v>2024-12-31</v>
      </c>
      <c r="I104" s="346" t="str">
        <f t="shared" si="8"/>
        <v>CAD</v>
      </c>
      <c r="J104" s="346" t="str">
        <f t="shared" si="8"/>
        <v>-</v>
      </c>
      <c r="K104" s="346" t="str">
        <f t="shared" si="8"/>
        <v>-</v>
      </c>
    </row>
    <row r="105" spans="1:11">
      <c r="A105" s="323" t="str">
        <f t="shared" si="9"/>
        <v>0_2024_CEO</v>
      </c>
      <c r="B105" s="323" t="s">
        <v>79</v>
      </c>
      <c r="C105" s="323">
        <f>'Raw Data'!D24</f>
        <v>0</v>
      </c>
      <c r="E105" s="1140" t="str">
        <f t="shared" si="7"/>
        <v>(Invalid Identifier)</v>
      </c>
      <c r="F105" s="341" t="s">
        <v>78</v>
      </c>
      <c r="G105" s="345"/>
      <c r="H105" s="347" t="str">
        <f t="shared" si="8"/>
        <v>2024-12-31</v>
      </c>
      <c r="I105" s="347" t="str">
        <f t="shared" si="8"/>
        <v>CAD</v>
      </c>
      <c r="J105" s="347" t="str">
        <f t="shared" si="8"/>
        <v>-</v>
      </c>
      <c r="K105" s="347" t="str">
        <f t="shared" si="8"/>
        <v>-</v>
      </c>
    </row>
    <row r="106" spans="1:11">
      <c r="A106" s="322" t="str">
        <f t="shared" si="9"/>
        <v>0_2024_CFO</v>
      </c>
      <c r="B106" s="322" t="s">
        <v>106</v>
      </c>
      <c r="C106" s="322">
        <f>C105</f>
        <v>0</v>
      </c>
      <c r="E106" s="1140" t="str">
        <f t="shared" si="7"/>
        <v>(Invalid Identifier)</v>
      </c>
      <c r="F106" s="341" t="s">
        <v>78</v>
      </c>
      <c r="G106" s="345"/>
      <c r="H106" s="347" t="str">
        <f t="shared" si="8"/>
        <v>2024-12-31</v>
      </c>
      <c r="I106" s="347" t="str">
        <f t="shared" si="8"/>
        <v>CAD</v>
      </c>
      <c r="J106" s="347" t="str">
        <f t="shared" si="8"/>
        <v>-</v>
      </c>
      <c r="K106" s="347" t="str">
        <f t="shared" si="8"/>
        <v>-</v>
      </c>
    </row>
    <row r="107" spans="1:11">
      <c r="A107" s="322" t="str">
        <f t="shared" si="9"/>
        <v>0_2024_NEO1</v>
      </c>
      <c r="B107" s="322" t="s">
        <v>107</v>
      </c>
      <c r="C107" s="322">
        <f>C106</f>
        <v>0</v>
      </c>
      <c r="E107" s="1140" t="str">
        <f t="shared" si="7"/>
        <v>(Invalid Identifier)</v>
      </c>
      <c r="F107" s="341" t="s">
        <v>78</v>
      </c>
      <c r="G107" s="345"/>
      <c r="H107" s="347" t="str">
        <f t="shared" si="8"/>
        <v>2024-12-31</v>
      </c>
      <c r="I107" s="347" t="str">
        <f t="shared" si="8"/>
        <v>CAD</v>
      </c>
      <c r="J107" s="347" t="str">
        <f t="shared" si="8"/>
        <v>-</v>
      </c>
      <c r="K107" s="347" t="str">
        <f t="shared" si="8"/>
        <v>-</v>
      </c>
    </row>
    <row r="108" spans="1:11">
      <c r="A108" s="322" t="str">
        <f t="shared" si="9"/>
        <v>0_2024_NEO2</v>
      </c>
      <c r="B108" s="322" t="s">
        <v>108</v>
      </c>
      <c r="C108" s="322">
        <f>C107</f>
        <v>0</v>
      </c>
      <c r="E108" s="1140" t="str">
        <f t="shared" si="7"/>
        <v>(Invalid Identifier)</v>
      </c>
      <c r="F108" s="341" t="s">
        <v>78</v>
      </c>
      <c r="G108" s="345"/>
      <c r="H108" s="347" t="str">
        <f t="shared" si="8"/>
        <v>2024-12-31</v>
      </c>
      <c r="I108" s="347" t="str">
        <f t="shared" si="8"/>
        <v>CAD</v>
      </c>
      <c r="J108" s="347" t="str">
        <f t="shared" si="8"/>
        <v>-</v>
      </c>
      <c r="K108" s="347" t="str">
        <f t="shared" si="8"/>
        <v>-</v>
      </c>
    </row>
    <row r="109" spans="1:11">
      <c r="A109" s="322" t="str">
        <f t="shared" si="9"/>
        <v>0_2024_NEO3</v>
      </c>
      <c r="B109" s="322" t="s">
        <v>109</v>
      </c>
      <c r="C109" s="322">
        <f>C108</f>
        <v>0</v>
      </c>
      <c r="E109" s="1140" t="str">
        <f t="shared" si="7"/>
        <v>(Invalid Identifier)</v>
      </c>
      <c r="F109" s="341" t="s">
        <v>78</v>
      </c>
      <c r="G109" s="345"/>
      <c r="H109" s="347" t="str">
        <f t="shared" si="8"/>
        <v>2024-12-31</v>
      </c>
      <c r="I109" s="347" t="str">
        <f t="shared" si="8"/>
        <v>CAD</v>
      </c>
      <c r="J109" s="347" t="str">
        <f t="shared" si="8"/>
        <v>-</v>
      </c>
      <c r="K109" s="347" t="str">
        <f t="shared" si="8"/>
        <v>-</v>
      </c>
    </row>
  </sheetData>
  <mergeCells count="21">
    <mergeCell ref="E5:E9"/>
    <mergeCell ref="E60:E64"/>
    <mergeCell ref="E35:E39"/>
    <mergeCell ref="E40:E44"/>
    <mergeCell ref="E45:E49"/>
    <mergeCell ref="E50:E54"/>
    <mergeCell ref="E55:E59"/>
    <mergeCell ref="E10:E14"/>
    <mergeCell ref="E15:E19"/>
    <mergeCell ref="E20:E24"/>
    <mergeCell ref="E25:E29"/>
    <mergeCell ref="E30:E34"/>
    <mergeCell ref="E95:E99"/>
    <mergeCell ref="E100:E104"/>
    <mergeCell ref="E105:E109"/>
    <mergeCell ref="E65:E69"/>
    <mergeCell ref="E70:E74"/>
    <mergeCell ref="E75:E79"/>
    <mergeCell ref="E80:E84"/>
    <mergeCell ref="E85:E89"/>
    <mergeCell ref="E90:E9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DA50C-F1FF-4B45-8765-297C9AAE2DB6}">
  <sheetPr>
    <tabColor theme="6" tint="0.59999389629810485"/>
  </sheetPr>
  <dimension ref="A3:H28"/>
  <sheetViews>
    <sheetView workbookViewId="0"/>
  </sheetViews>
  <sheetFormatPr defaultRowHeight="14.5"/>
  <cols>
    <col min="1" max="1" width="12" bestFit="1" customWidth="1"/>
    <col min="3" max="3" width="40.26953125" customWidth="1"/>
    <col min="4" max="8" width="19" customWidth="1"/>
  </cols>
  <sheetData>
    <row r="3" spans="1:8" ht="25" customHeight="1">
      <c r="A3" t="str">
        <f>[5]Inputs!F2</f>
        <v>CAD</v>
      </c>
      <c r="C3" s="662" t="str">
        <f>+C25&amp;" Compensation Peer Group"</f>
        <v>Hudbay Minerals Inc. Compensation Peer Group</v>
      </c>
      <c r="D3" s="663"/>
      <c r="E3" s="664"/>
      <c r="F3" s="664"/>
      <c r="G3" s="664"/>
      <c r="H3" s="665"/>
    </row>
    <row r="4" spans="1:8" ht="20.149999999999999" customHeight="1">
      <c r="A4" s="322" t="str">
        <f>"FY"&amp;'Raw Data'!F9</f>
        <v>FY2024</v>
      </c>
      <c r="C4" s="1144" t="s">
        <v>111</v>
      </c>
      <c r="D4" s="1146" t="s">
        <v>231</v>
      </c>
      <c r="E4" s="1148" t="s">
        <v>232</v>
      </c>
      <c r="F4" s="1148" t="s">
        <v>233</v>
      </c>
      <c r="G4" s="1148" t="s">
        <v>234</v>
      </c>
      <c r="H4" s="1142" t="s">
        <v>235</v>
      </c>
    </row>
    <row r="5" spans="1:8" ht="20.149999999999999" customHeight="1">
      <c r="A5" s="336">
        <v>45848</v>
      </c>
      <c r="C5" s="1145"/>
      <c r="D5" s="1147"/>
      <c r="E5" s="1149"/>
      <c r="F5" s="1149"/>
      <c r="G5" s="1149"/>
      <c r="H5" s="1143"/>
    </row>
    <row r="6" spans="1:8">
      <c r="A6" t="str">
        <f>'Raw Data'!D5</f>
        <v>TSX:K</v>
      </c>
      <c r="B6">
        <v>1</v>
      </c>
      <c r="C6" s="586" t="str">
        <f>_xll.ciqfunctions.udf.CIQ(A6,"IQ_COMPANY_NAME")</f>
        <v>Kinross Gold Corporation</v>
      </c>
      <c r="D6" s="587" t="str">
        <f>+_xll.ciqfunctions.udf.CIQ(A6,"IQ_COUNTRY_NAME")</f>
        <v>Canada</v>
      </c>
      <c r="E6" s="588">
        <f>_xll.ciqfunctions.udf.CIQ(A6,"IQ_TEV",$A$5,,,,$A$3)</f>
        <v>26693.138289999999</v>
      </c>
      <c r="F6" s="589">
        <f>_xll.ciqfunctions.udf.CIQ(A6,"IQ_MARKETCAP",$A$5,,,,$A$3)</f>
        <v>25713.727999999999</v>
      </c>
      <c r="G6" s="590">
        <f>+_xll.ciqfunctions.udf.CIQ(A6,"IQ_TOTAL_ASSETS",IQ_LTM,$A$5,,,$A$3)</f>
        <v>15634.47272</v>
      </c>
      <c r="H6" s="590">
        <f>+_xll.ciqfunctions.udf.CIQ($A6,"IQ_TOTAL_REV",IQ_LTM,A$5,,,$A$3)</f>
        <v>8283.8128699999997</v>
      </c>
    </row>
    <row r="7" spans="1:8">
      <c r="A7" t="str">
        <f>'Raw Data'!D6</f>
        <v>TSX:LUN</v>
      </c>
      <c r="B7">
        <f>B6+1</f>
        <v>2</v>
      </c>
      <c r="C7" s="586" t="str">
        <f>_xll.ciqfunctions.udf.CIQ(A7,"IQ_COMPANY_NAME")</f>
        <v>Lundin Mining Corporation</v>
      </c>
      <c r="D7" s="587" t="str">
        <f>+_xll.ciqfunctions.udf.CIQ(A7,"IQ_COUNTRY_NAME")</f>
        <v>Canada</v>
      </c>
      <c r="E7" s="588">
        <f>_xll.ciqfunctions.udf.CIQ(A7,"IQ_TEV",$A$5,,,,$A$3)</f>
        <v>16347.63927</v>
      </c>
      <c r="F7" s="589">
        <f>_xll.ciqfunctions.udf.CIQ(A7,"IQ_MARKETCAP",$A$5,,,,$A$3)</f>
        <v>12197.966700000001</v>
      </c>
      <c r="G7" s="590">
        <f>+_xll.ciqfunctions.udf.CIQ(A7,"IQ_TOTAL_ASSETS",IQ_LTM,$A$5,,,$A$3)</f>
        <v>13462.93483</v>
      </c>
      <c r="H7" s="590">
        <f>+_xll.ciqfunctions.udf.CIQ($A7,"IQ_TOTAL_REV",IQ_LTM,A$5,,,$A$3)</f>
        <v>4955.04522</v>
      </c>
    </row>
    <row r="8" spans="1:8">
      <c r="A8" t="str">
        <f>'Raw Data'!D7</f>
        <v>TSX:AGI</v>
      </c>
      <c r="B8">
        <f t="shared" ref="B8:B19" si="0">B7+1</f>
        <v>3</v>
      </c>
      <c r="C8" s="586" t="str">
        <f>_xll.ciqfunctions.udf.CIQ(A8,"IQ_COMPANY_NAME")</f>
        <v>Alamos Gold Inc.</v>
      </c>
      <c r="D8" s="587" t="str">
        <f>+_xll.ciqfunctions.udf.CIQ(A8,"IQ_COUNTRY_NAME")</f>
        <v>Canada</v>
      </c>
      <c r="E8" s="588">
        <f>_xll.ciqfunctions.udf.CIQ(A8,"IQ_TEV",$A$5,,,,$A$3)</f>
        <v>14949.680120000001</v>
      </c>
      <c r="F8" s="589">
        <f>_xll.ciqfunctions.udf.CIQ(A8,"IQ_MARKETCAP",$A$5,,,,$A$3)</f>
        <v>15001.56846</v>
      </c>
      <c r="G8" s="590">
        <f>+_xll.ciqfunctions.udf.CIQ(A8,"IQ_TOTAL_ASSETS",IQ_LTM,$A$5,,,$A$3)</f>
        <v>7553.6022199999998</v>
      </c>
      <c r="H8" s="590">
        <f>+_xll.ciqfunctions.udf.CIQ($A8,"IQ_TOTAL_REV",IQ_LTM,A$5,,,$A$3)</f>
        <v>2056.5644900000002</v>
      </c>
    </row>
    <row r="9" spans="1:8">
      <c r="A9" t="str">
        <f>'Raw Data'!D8</f>
        <v>TSX:PAAS</v>
      </c>
      <c r="B9">
        <f t="shared" si="0"/>
        <v>4</v>
      </c>
      <c r="C9" s="586" t="str">
        <f>_xll.ciqfunctions.udf.CIQ(A9,"IQ_COMPANY_NAME")</f>
        <v>Pan American Silver Corp.</v>
      </c>
      <c r="D9" s="587" t="str">
        <f>+_xll.ciqfunctions.udf.CIQ(A9,"IQ_COUNTRY_NAME")</f>
        <v>Canada</v>
      </c>
      <c r="E9" s="588">
        <f>_xll.ciqfunctions.udf.CIQ(A9,"IQ_TEV",$A$5,,,,$A$3)</f>
        <v>14393.20289</v>
      </c>
      <c r="F9" s="589">
        <f>_xll.ciqfunctions.udf.CIQ(A9,"IQ_MARKETCAP",$A$5,,,,$A$3)</f>
        <v>14512.934149999999</v>
      </c>
      <c r="G9" s="590">
        <f>+_xll.ciqfunctions.udf.CIQ(A9,"IQ_TOTAL_ASSETS",IQ_LTM,$A$5,,,$A$3)</f>
        <v>10038.55514</v>
      </c>
      <c r="H9" s="590">
        <f>+_xll.ciqfunctions.udf.CIQ($A9,"IQ_TOTAL_REV",IQ_LTM,A$5,,,$A$3)</f>
        <v>4250.1969200000003</v>
      </c>
    </row>
    <row r="10" spans="1:8">
      <c r="A10" t="str">
        <f>'Raw Data'!D9</f>
        <v>TSX:CS</v>
      </c>
      <c r="B10">
        <f t="shared" si="0"/>
        <v>5</v>
      </c>
      <c r="C10" s="586" t="str">
        <f>_xll.ciqfunctions.udf.CIQ(A10,"IQ_COMPANY_NAME")</f>
        <v>Capstone Copper Corp.</v>
      </c>
      <c r="D10" s="587" t="str">
        <f>+_xll.ciqfunctions.udf.CIQ(A10,"IQ_COUNTRY_NAME")</f>
        <v>Canada</v>
      </c>
      <c r="E10" s="588">
        <f>_xll.ciqfunctions.udf.CIQ(A10,"IQ_TEV",$A$5,,,,$A$3)</f>
        <v>8630.8427699999993</v>
      </c>
      <c r="F10" s="589">
        <f>_xll.ciqfunctions.udf.CIQ(A10,"IQ_MARKETCAP",$A$5,,,,$A$3)</f>
        <v>6097.9762199999996</v>
      </c>
      <c r="G10" s="590">
        <f>+_xll.ciqfunctions.udf.CIQ(A10,"IQ_TOTAL_ASSETS",IQ_LTM,$A$5,,,$A$3)</f>
        <v>9017.4972600000001</v>
      </c>
      <c r="H10" s="590">
        <f>+_xll.ciqfunctions.udf.CIQ($A10,"IQ_TOTAL_REV",IQ_LTM,A$5,,,$A$3)</f>
        <v>2649.6485600000001</v>
      </c>
    </row>
    <row r="11" spans="1:8">
      <c r="A11" t="str">
        <f>'Raw Data'!D10</f>
        <v>TSX:IMG</v>
      </c>
      <c r="B11">
        <f t="shared" si="0"/>
        <v>6</v>
      </c>
      <c r="C11" s="586" t="str">
        <f>_xll.ciqfunctions.udf.CIQ(A11,"IQ_COMPANY_NAME")</f>
        <v>IAMGOLD Corporation</v>
      </c>
      <c r="D11" s="587" t="str">
        <f>+_xll.ciqfunctions.udf.CIQ(A11,"IQ_COUNTRY_NAME")</f>
        <v>Canada</v>
      </c>
      <c r="E11" s="588">
        <f>_xll.ciqfunctions.udf.CIQ(A11,"IQ_TEV",$A$5,,,,$A$3)</f>
        <v>6736.32611</v>
      </c>
      <c r="F11" s="589">
        <f>_xll.ciqfunctions.udf.CIQ(A11,"IQ_MARKETCAP",$A$5,,,,$A$3)</f>
        <v>5457.2283399999997</v>
      </c>
      <c r="G11" s="590">
        <f>+_xll.ciqfunctions.udf.CIQ(A11,"IQ_TOTAL_ASSETS",IQ_LTM,$A$5,,,$A$3)</f>
        <v>7265.2822200000001</v>
      </c>
      <c r="H11" s="590">
        <f>+_xll.ciqfunctions.udf.CIQ($A11,"IQ_TOTAL_REV",IQ_LTM,A$5,,,$A$3)</f>
        <v>2682.4398500000002</v>
      </c>
    </row>
    <row r="12" spans="1:8">
      <c r="A12" t="str">
        <f>'Raw Data'!D11</f>
        <v>TSX:BTO</v>
      </c>
      <c r="B12">
        <f t="shared" si="0"/>
        <v>7</v>
      </c>
      <c r="C12" s="586" t="str">
        <f>_xll.ciqfunctions.udf.CIQ(A12,"IQ_COMPANY_NAME")</f>
        <v>B2Gold Corp.</v>
      </c>
      <c r="D12" s="587" t="str">
        <f>+_xll.ciqfunctions.udf.CIQ(A12,"IQ_COUNTRY_NAME")</f>
        <v>Canada</v>
      </c>
      <c r="E12" s="588">
        <f>_xll.ciqfunctions.udf.CIQ(A12,"IQ_TEV",$A$5,,,,$A$3)</f>
        <v>6459.0471900000002</v>
      </c>
      <c r="F12" s="589">
        <f>_xll.ciqfunctions.udf.CIQ(A12,"IQ_MARKETCAP",$A$5,,,,$A$3)</f>
        <v>6276.52099</v>
      </c>
      <c r="G12" s="590">
        <f>+_xll.ciqfunctions.udf.CIQ(A12,"IQ_TOTAL_ASSETS",IQ_LTM,$A$5,,,$A$3)</f>
        <v>7237.1430600000003</v>
      </c>
      <c r="H12" s="590">
        <f>+_xll.ciqfunctions.udf.CIQ($A12,"IQ_TOTAL_REV",IQ_LTM,A$5,,,$A$3)</f>
        <v>2962.7539900000002</v>
      </c>
    </row>
    <row r="13" spans="1:8">
      <c r="A13" t="str">
        <f>'Raw Data'!D12</f>
        <v>NYSE:HL</v>
      </c>
      <c r="B13">
        <f t="shared" si="0"/>
        <v>8</v>
      </c>
      <c r="C13" s="586" t="str">
        <f>_xll.ciqfunctions.udf.CIQ(A13,"IQ_COMPANY_NAME")</f>
        <v>Hecla Mining Company</v>
      </c>
      <c r="D13" s="587" t="str">
        <f>+_xll.ciqfunctions.udf.CIQ(A13,"IQ_COUNTRY_NAME")</f>
        <v>United States</v>
      </c>
      <c r="E13" s="588">
        <f>_xll.ciqfunctions.udf.CIQ(A13,"IQ_TEV",$A$5,,,,$A$3)</f>
        <v>5787.1292199999998</v>
      </c>
      <c r="F13" s="589">
        <f>_xll.ciqfunctions.udf.CIQ(A13,"IQ_MARKETCAP",$A$5,,,,$A$3)</f>
        <v>5027.7894800000004</v>
      </c>
      <c r="G13" s="590">
        <f>+_xll.ciqfunctions.udf.CIQ(A13,"IQ_TOTAL_ASSETS",IQ_LTM,$A$5,,,$A$3)</f>
        <v>4513.4969099999998</v>
      </c>
      <c r="H13" s="590">
        <f>+_xll.ciqfunctions.udf.CIQ($A13,"IQ_TOTAL_REV",IQ_LTM,A$5,,,$A$3)</f>
        <v>1445.83617</v>
      </c>
    </row>
    <row r="14" spans="1:8">
      <c r="A14" t="str">
        <f>'Raw Data'!D13</f>
        <v>TSX:NGD</v>
      </c>
      <c r="B14">
        <f t="shared" si="0"/>
        <v>9</v>
      </c>
      <c r="C14" s="586" t="str">
        <f>_xll.ciqfunctions.udf.CIQ(A14,"IQ_COMPANY_NAME")</f>
        <v>New Gold Inc.</v>
      </c>
      <c r="D14" s="587" t="str">
        <f>+_xll.ciqfunctions.udf.CIQ(A14,"IQ_COUNTRY_NAME")</f>
        <v>Canada</v>
      </c>
      <c r="E14" s="588">
        <f>_xll.ciqfunctions.udf.CIQ(A14,"IQ_TEV",$A$5,,,,$A$3)</f>
        <v>5496.9892799999998</v>
      </c>
      <c r="F14" s="589">
        <f>_xll.ciqfunctions.udf.CIQ(A14,"IQ_MARKETCAP",$A$5,,,,$A$3)</f>
        <v>5080.5889800000004</v>
      </c>
      <c r="G14" s="590">
        <f>+_xll.ciqfunctions.udf.CIQ(A14,"IQ_TOTAL_ASSETS",IQ_LTM,$A$5,,,$A$3)</f>
        <v>3357.2777799999999</v>
      </c>
      <c r="H14" s="590">
        <f>+_xll.ciqfunctions.udf.CIQ($A14,"IQ_TOTAL_REV",IQ_LTM,A$5,,,$A$3)</f>
        <v>1407.0943600000001</v>
      </c>
    </row>
    <row r="15" spans="1:8" ht="15" customHeight="1">
      <c r="A15" t="str">
        <f>'Raw Data'!D14</f>
        <v>TSX:ELD</v>
      </c>
      <c r="B15">
        <f t="shared" si="0"/>
        <v>10</v>
      </c>
      <c r="C15" s="586" t="str">
        <f>_xll.ciqfunctions.udf.CIQ(A15,"IQ_COMPANY_NAME")</f>
        <v>Eldorado Gold Corporation</v>
      </c>
      <c r="D15" s="587" t="str">
        <f>+_xll.ciqfunctions.udf.CIQ(A15,"IQ_COUNTRY_NAME")</f>
        <v>Canada</v>
      </c>
      <c r="E15" s="588">
        <f>_xll.ciqfunctions.udf.CIQ(A15,"IQ_TEV",$A$5,,,,$A$3)</f>
        <v>5486.7876399999996</v>
      </c>
      <c r="F15" s="589">
        <f>_xll.ciqfunctions.udf.CIQ(A15,"IQ_MARKETCAP",$A$5,,,,$A$3)</f>
        <v>5589.6573399999997</v>
      </c>
      <c r="G15" s="590">
        <f>+_xll.ciqfunctions.udf.CIQ(A15,"IQ_TOTAL_ASSETS",IQ_LTM,$A$5,,,$A$3)</f>
        <v>8597.5388600000006</v>
      </c>
      <c r="H15" s="590">
        <f>+_xll.ciqfunctions.udf.CIQ($A15,"IQ_TOTAL_REV",IQ_LTM,A$5,,,$A$3)</f>
        <v>2147.3184700000002</v>
      </c>
    </row>
    <row r="16" spans="1:8">
      <c r="A16" t="str">
        <f>'Raw Data'!D15</f>
        <v>TSX:SSRM</v>
      </c>
      <c r="B16">
        <f t="shared" si="0"/>
        <v>11</v>
      </c>
      <c r="C16" s="586" t="str">
        <f>_xll.ciqfunctions.udf.CIQ(A16,"IQ_COMPANY_NAME")</f>
        <v>SSR Mining Inc.</v>
      </c>
      <c r="D16" s="587" t="str">
        <f>+_xll.ciqfunctions.udf.CIQ(A16,"IQ_COUNTRY_NAME")</f>
        <v>United States</v>
      </c>
      <c r="E16" s="588">
        <f>_xll.ciqfunctions.udf.CIQ(A16,"IQ_TEV",$A$5,,,,$A$3)</f>
        <v>4649.66219</v>
      </c>
      <c r="F16" s="589">
        <f>_xll.ciqfunctions.udf.CIQ(A16,"IQ_MARKETCAP",$A$5,,,,$A$3)</f>
        <v>3439.1145200000001</v>
      </c>
      <c r="G16" s="590">
        <f>+_xll.ciqfunctions.udf.CIQ(A16,"IQ_TOTAL_ASSETS",IQ_LTM,$A$5,,,$A$3)</f>
        <v>7904.7648099999997</v>
      </c>
      <c r="H16" s="590">
        <f>+_xll.ciqfunctions.udf.CIQ($A16,"IQ_TOTAL_REV",IQ_LTM,A$5,,,$A$3)</f>
        <v>1776.5858599999999</v>
      </c>
    </row>
    <row r="17" spans="1:8">
      <c r="A17" t="str">
        <f>'Raw Data'!D16</f>
        <v xml:space="preserve">TSX:OGC
</v>
      </c>
      <c r="B17">
        <f t="shared" si="0"/>
        <v>12</v>
      </c>
      <c r="C17" s="586" t="str">
        <f>_xll.ciqfunctions.udf.CIQ(A17,"IQ_COMPANY_NAME")</f>
        <v>OceanaGold Corporation</v>
      </c>
      <c r="D17" s="587" t="str">
        <f>+_xll.ciqfunctions.udf.CIQ(A17,"IQ_COUNTRY_NAME")</f>
        <v>Canada</v>
      </c>
      <c r="E17" s="588">
        <f>_xll.ciqfunctions.udf.CIQ(A17,"IQ_TEV",$A$5,,,,$A$3)</f>
        <v>4372.5009399999999</v>
      </c>
      <c r="F17" s="589">
        <f>_xll.ciqfunctions.udf.CIQ(A17,"IQ_MARKETCAP",$A$5,,,,$A$3)</f>
        <v>4463.0539900000003</v>
      </c>
      <c r="G17" s="590">
        <f>+_xll.ciqfunctions.udf.CIQ(A17,"IQ_TOTAL_ASSETS",IQ_LTM,$A$5,,,$A$3)</f>
        <v>3794.39491</v>
      </c>
      <c r="H17" s="590">
        <f>+_xll.ciqfunctions.udf.CIQ($A17,"IQ_TOTAL_REV",IQ_LTM,A$5,,,$A$3)</f>
        <v>2134.16813</v>
      </c>
    </row>
    <row r="18" spans="1:8">
      <c r="A18" t="str">
        <f>'Raw Data'!D17</f>
        <v>TSX:ERO</v>
      </c>
      <c r="B18">
        <f t="shared" si="0"/>
        <v>13</v>
      </c>
      <c r="C18" s="586" t="str">
        <f>_xll.ciqfunctions.udf.CIQ(A18,"IQ_COMPANY_NAME")</f>
        <v>Ero Copper Corp.</v>
      </c>
      <c r="D18" s="587" t="str">
        <f>+_xll.ciqfunctions.udf.CIQ(A18,"IQ_COUNTRY_NAME")</f>
        <v>Canada</v>
      </c>
      <c r="E18" s="588">
        <f>_xll.ciqfunctions.udf.CIQ(A18,"IQ_TEV",$A$5,,,,$A$3)</f>
        <v>2932.4615100000001</v>
      </c>
      <c r="F18" s="589">
        <f>_xll.ciqfunctions.udf.CIQ(A18,"IQ_MARKETCAP",$A$5,,,,$A$3)</f>
        <v>2085.9414099999999</v>
      </c>
      <c r="G18" s="590">
        <f>+_xll.ciqfunctions.udf.CIQ(A18,"IQ_TOTAL_ASSETS",IQ_LTM,$A$5,,,$A$3)</f>
        <v>2417.3204700000001</v>
      </c>
      <c r="H18" s="590">
        <f>+_xll.ciqfunctions.udf.CIQ($A18,"IQ_TOTAL_REV",IQ_LTM,A$5,,,$A$3)</f>
        <v>730.99350000000004</v>
      </c>
    </row>
    <row r="19" spans="1:8">
      <c r="A19" t="str">
        <f>'Raw Data'!D18</f>
        <v>TSX:CG</v>
      </c>
      <c r="B19">
        <f t="shared" si="0"/>
        <v>14</v>
      </c>
      <c r="C19" s="586" t="str">
        <f>_xll.ciqfunctions.udf.CIQ(A19,"IQ_COMPANY_NAME")</f>
        <v>Centerra Gold Inc.</v>
      </c>
      <c r="D19" s="587" t="str">
        <f>+_xll.ciqfunctions.udf.CIQ(A19,"IQ_COUNTRY_NAME")</f>
        <v>Canada</v>
      </c>
      <c r="E19" s="588">
        <f>_xll.ciqfunctions.udf.CIQ(A19,"IQ_TEV",$A$5,,,,$A$3)</f>
        <v>1169.66723</v>
      </c>
      <c r="F19" s="589">
        <f>_xll.ciqfunctions.udf.CIQ(A19,"IQ_MARKETCAP",$A$5,,,,$A$3)</f>
        <v>2034.09671</v>
      </c>
      <c r="G19" s="590">
        <f>+_xll.ciqfunctions.udf.CIQ(A19,"IQ_TOTAL_ASSETS",IQ_LTM,$A$5,,,$A$3)</f>
        <v>3160.4905100000001</v>
      </c>
      <c r="H19" s="590">
        <f>+_xll.ciqfunctions.udf.CIQ($A19,"IQ_TOTAL_REV",IQ_LTM,A$5,,,$A$3)</f>
        <v>1655.9387999999999</v>
      </c>
    </row>
    <row r="20" spans="1:8" ht="15" customHeight="1">
      <c r="C20" s="574" t="s">
        <v>77</v>
      </c>
      <c r="D20" s="575"/>
      <c r="E20" s="576"/>
      <c r="F20" s="576"/>
      <c r="G20" s="576"/>
      <c r="H20" s="577"/>
    </row>
    <row r="21" spans="1:8">
      <c r="B21">
        <v>0.75</v>
      </c>
      <c r="C21" s="591" t="s">
        <v>236</v>
      </c>
      <c r="D21" s="592"/>
      <c r="E21" s="593">
        <f t="shared" ref="E21:H23" si="1">+PERCENTILE(E$6:E$19,$B21)</f>
        <v>12952.612860000001</v>
      </c>
      <c r="F21" s="593">
        <f t="shared" si="1"/>
        <v>10717.605272500001</v>
      </c>
      <c r="G21" s="593">
        <f t="shared" si="1"/>
        <v>8912.5076599999993</v>
      </c>
      <c r="H21" s="593">
        <f t="shared" si="1"/>
        <v>2892.6754550000001</v>
      </c>
    </row>
    <row r="22" spans="1:8">
      <c r="B22">
        <v>0.5</v>
      </c>
      <c r="C22" s="594" t="s">
        <v>237</v>
      </c>
      <c r="D22" s="595"/>
      <c r="E22" s="596">
        <f t="shared" si="1"/>
        <v>6123.088205</v>
      </c>
      <c r="F22" s="596">
        <f t="shared" si="1"/>
        <v>5523.4428399999997</v>
      </c>
      <c r="G22" s="596">
        <f t="shared" si="1"/>
        <v>7409.4422199999999</v>
      </c>
      <c r="H22" s="596">
        <f t="shared" si="1"/>
        <v>2140.7433000000001</v>
      </c>
    </row>
    <row r="23" spans="1:8">
      <c r="B23">
        <v>0.25</v>
      </c>
      <c r="C23" s="591" t="s">
        <v>238</v>
      </c>
      <c r="D23" s="592"/>
      <c r="E23" s="593">
        <f t="shared" si="1"/>
        <v>4858.9435524999999</v>
      </c>
      <c r="F23" s="593">
        <f t="shared" si="1"/>
        <v>4604.2378625000001</v>
      </c>
      <c r="G23" s="593">
        <f t="shared" si="1"/>
        <v>3974.1704099999997</v>
      </c>
      <c r="H23" s="593">
        <f t="shared" si="1"/>
        <v>1686.100565</v>
      </c>
    </row>
    <row r="24" spans="1:8">
      <c r="C24" s="597" t="s">
        <v>6</v>
      </c>
      <c r="D24" s="598"/>
      <c r="E24" s="599">
        <f>+AVERAGE(E$6:E$19)</f>
        <v>8864.6481892857137</v>
      </c>
      <c r="F24" s="599">
        <f>+AVERAGE(F$6:F$19)</f>
        <v>8069.8689492857156</v>
      </c>
      <c r="G24" s="599">
        <f>+AVERAGE(G$6:G$19)</f>
        <v>7425.3408357142862</v>
      </c>
      <c r="H24" s="599">
        <f>+AVERAGE(H$6:H$19)</f>
        <v>2795.5997992857133</v>
      </c>
    </row>
    <row r="25" spans="1:8">
      <c r="A25" s="337" t="str">
        <f>'Raw Data'!G6</f>
        <v>TSX:HBM</v>
      </c>
      <c r="C25" s="578" t="str">
        <f>_xll.ciqfunctions.udf.CIQ(A25,"IQ_COMPANY_NAME")</f>
        <v>Hudbay Minerals Inc.</v>
      </c>
      <c r="D25" s="579" t="str">
        <f>+_xll.ciqfunctions.udf.CIQ(A25,"IQ_COUNTRY_NAME")</f>
        <v>Canada</v>
      </c>
      <c r="E25" s="580">
        <f>_xll.ciqfunctions.udf.CIQ(A25,"IQ_TEV",$A$5,,,,$A$3)</f>
        <v>6927.87086</v>
      </c>
      <c r="F25" s="580">
        <f>_xll.ciqfunctions.udf.CIQ(A25,"IQ_MARKETCAP",$A$5,,,,$A$3)</f>
        <v>5818.3803900000003</v>
      </c>
      <c r="G25" s="580">
        <f>+_xll.ciqfunctions.udf.CIQ(A25,"IQ_TOTAL_ASSETS",IQ_LTM,$A$5,,,$A$3)</f>
        <v>7676.6224000000002</v>
      </c>
      <c r="H25" s="581">
        <f>+_xll.ciqfunctions.udf.CIQ($A25,"IQ_TOTAL_REV",IQ_LTM,A$5,,,$A$3)</f>
        <v>3003.2197200000001</v>
      </c>
    </row>
    <row r="26" spans="1:8">
      <c r="C26" s="582" t="s">
        <v>5</v>
      </c>
      <c r="D26" s="583"/>
      <c r="E26" s="584">
        <f>+IF(MAX(E6:E19)&lt;E25,"MAX",IF(MIN(E6:E19)&gt;E25,"MIN",_xlfn.PERCENTRANK.INC(E6:E19,E25)))*100</f>
        <v>62.3</v>
      </c>
      <c r="F26" s="584">
        <f>+IF(MAX(F6:F19)&lt;F25,"MAX",IF(MIN(F6:F19)&gt;F25,"MIN",_xlfn.PERCENTRANK.INC(F6:F19,F25)))*100</f>
        <v>57.3</v>
      </c>
      <c r="G26" s="584">
        <f>+IF(MAX(G6:G19)&lt;G25,"MAX",IF(MIN(G6:G19)&gt;G25,"MIN",_xlfn.PERCENTRANK.INC(G6:G19,G25)))*100</f>
        <v>56.499999999999993</v>
      </c>
      <c r="H26" s="585">
        <f>+IF(MAX(H6:H19)&lt;H25,"MAX",IF(MIN(H6:H19)&gt;H25,"MIN",_xlfn.PERCENTRANK.INC(H6:H19,H25)))*100</f>
        <v>77.100000000000009</v>
      </c>
    </row>
    <row r="27" spans="1:8">
      <c r="C27" s="338" t="str">
        <f>+"All figures as of "&amp;TEXT(A5,"mmm. dd, yyyy")&amp;" in $"&amp;$A$3&amp;". Source: S&amp;P Capital IQ"</f>
        <v>All figures as of Jul. 10, 2025 in $CAD. Source: S&amp;P Capital IQ</v>
      </c>
      <c r="E27" s="339"/>
      <c r="F27" s="340"/>
      <c r="G27" s="339"/>
      <c r="H27" s="339"/>
    </row>
    <row r="28" spans="1:8">
      <c r="C28" s="338"/>
    </row>
  </sheetData>
  <sortState xmlns:xlrd2="http://schemas.microsoft.com/office/spreadsheetml/2017/richdata2" ref="A6:H19">
    <sortCondition descending="1" ref="E6:E19"/>
  </sortState>
  <mergeCells count="6">
    <mergeCell ref="H4:H5"/>
    <mergeCell ref="C4:C5"/>
    <mergeCell ref="D4:D5"/>
    <mergeCell ref="E4:E5"/>
    <mergeCell ref="F4:F5"/>
    <mergeCell ref="G4:G5"/>
  </mergeCells>
  <conditionalFormatting sqref="C6:H19">
    <cfRule type="expression" dxfId="1" priority="1">
      <formula>MOD(ROW(),2)=0</formula>
    </cfRule>
  </conditionalFormatting>
  <pageMargins left="0.7" right="0.7" top="0.75" bottom="0.75" header="0.3" footer="0.3"/>
  <pageSetup scale="73"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9F9E-4480-48E6-B071-253EC956D72A}">
  <dimension ref="A1"/>
  <sheetViews>
    <sheetView workbookViewId="0"/>
  </sheetViews>
  <sheetFormatPr defaultRowHeight="14.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K29"/>
  <sheetViews>
    <sheetView workbookViewId="0"/>
  </sheetViews>
  <sheetFormatPr defaultRowHeight="14.5" outlineLevelCol="1"/>
  <cols>
    <col min="3" max="3" width="44" bestFit="1" customWidth="1"/>
    <col min="4" max="8" width="20.7265625" customWidth="1"/>
    <col min="9" max="10" width="9.1796875" hidden="1" customWidth="1" outlineLevel="1"/>
    <col min="11" max="11" width="9.1796875" collapsed="1"/>
  </cols>
  <sheetData>
    <row r="1" spans="1:10">
      <c r="C1" s="49" t="s">
        <v>24</v>
      </c>
      <c r="D1" s="53"/>
    </row>
    <row r="2" spans="1:10">
      <c r="C2" s="49" t="s">
        <v>23</v>
      </c>
      <c r="D2" s="53">
        <v>2018</v>
      </c>
    </row>
    <row r="4" spans="1:10" ht="35.15" customHeight="1">
      <c r="C4" s="1150" t="s">
        <v>22</v>
      </c>
      <c r="D4" s="147" t="s">
        <v>33</v>
      </c>
      <c r="E4" s="147" t="s">
        <v>34</v>
      </c>
      <c r="F4" s="147" t="s">
        <v>35</v>
      </c>
      <c r="G4" s="147" t="s">
        <v>44</v>
      </c>
      <c r="H4" s="148" t="s">
        <v>43</v>
      </c>
      <c r="I4" s="81" t="s">
        <v>61</v>
      </c>
    </row>
    <row r="5" spans="1:10" ht="22.5" customHeight="1">
      <c r="A5" s="82" t="s">
        <v>71</v>
      </c>
      <c r="B5" s="82" t="s">
        <v>25</v>
      </c>
      <c r="C5" s="1150"/>
      <c r="D5" s="152" t="s">
        <v>70</v>
      </c>
      <c r="E5" s="152" t="s">
        <v>70</v>
      </c>
      <c r="F5" s="152" t="s">
        <v>70</v>
      </c>
      <c r="G5" s="152" t="s">
        <v>70</v>
      </c>
      <c r="H5" s="153" t="s">
        <v>70</v>
      </c>
      <c r="I5" s="81"/>
    </row>
    <row r="6" spans="1:10">
      <c r="A6" t="str">
        <f>$B6&amp;"_"&amp;$D$2&amp;"_"&amp;$D$1</f>
        <v>TSX:A_2018_</v>
      </c>
      <c r="B6" s="10" t="s">
        <v>83</v>
      </c>
      <c r="C6" s="149" t="str">
        <f>IFERROR(INDEX('Raw Data'!$B$53:$AY$1048576,MATCH('Master - LTI Review'!$A6,'Raw Data'!$B$53:$B$1048576,0),MATCH('Master - LTI Review'!C$4,'Raw Data'!$C$31:$AY$31,0)+1),"N/A")</f>
        <v>N/A</v>
      </c>
      <c r="D6" s="150" t="str">
        <f>IFERROR(INDEX('Raw Data'!$B$53:$AY$1048576,MATCH('Master - LTI Review'!$A6,'Raw Data'!$B$53:$B$1048576,0),MATCH('Master - LTI Review'!D$4,'Raw Data'!$C$31:$AY$31,0)+1)/$I6,"N/A")</f>
        <v>N/A</v>
      </c>
      <c r="E6" s="150" t="str">
        <f>IFERROR(INDEX('Raw Data'!$B$53:$AY$1048576,MATCH('Master - LTI Review'!$A6,'Raw Data'!$B$53:$B$1048576,0),MATCH('Master - LTI Review'!E$4,'Raw Data'!$C$31:$AY$31,0)+1)/$I6,"N/A")</f>
        <v>N/A</v>
      </c>
      <c r="F6" s="150" t="str">
        <f>IFERROR(INDEX('Raw Data'!$B$53:$AY$1048576,MATCH('Master - LTI Review'!$A6,'Raw Data'!$B$53:$B$1048576,0),MATCH('Master - LTI Review'!F$4,'Raw Data'!$C$31:$AY$31,0)+1)/$I6,"N/A")</f>
        <v>N/A</v>
      </c>
      <c r="G6" s="150" t="str">
        <f>IFERROR(INDEX('Raw Data'!$B$53:$AY$1048576,MATCH('Master - LTI Review'!$A6,'Raw Data'!$B$53:$B$1048576,0),MATCH('Master - LTI Review'!G$4,'Raw Data'!$C$31:$AY$31,0)+1)/$I6,"N/A")</f>
        <v>N/A</v>
      </c>
      <c r="H6" s="151" t="str">
        <f>IFERROR(INDEX('Raw Data'!$B$53:$AY$1048576,MATCH('Master - LTI Review'!$A6,'Raw Data'!$B$53:$B$1048576,0),MATCH('Master - LTI Review'!H$4,'Raw Data'!$C$31:$AY$31,0)+1)/$I6,"N/A")</f>
        <v>N/A</v>
      </c>
      <c r="I6" t="str">
        <f>IFERROR(INDEX('Raw Data'!$B$53:$AY$1048576,MATCH('Master - LTI Review'!$A6,'Raw Data'!$B$53:$B$1048576,0),MATCH('Master - LTI Review'!I$4,'Raw Data'!$C$31:$AY$31,0)+1),"N/A")</f>
        <v>N/A</v>
      </c>
      <c r="J6" s="80">
        <f>SUM(D6:H6)</f>
        <v>0</v>
      </c>
    </row>
    <row r="7" spans="1:10">
      <c r="A7" t="str">
        <f t="shared" ref="A7:A25" si="0">$B7&amp;"_"&amp;$D$2&amp;"_"&amp;$D$1</f>
        <v>TSX:B_2018_</v>
      </c>
      <c r="B7" s="10" t="s">
        <v>84</v>
      </c>
      <c r="C7" s="149" t="str">
        <f>IFERROR(INDEX('Raw Data'!$B$53:$AY$1048576,MATCH('Master - LTI Review'!$A7,'Raw Data'!$B$53:$B$1048576,0),MATCH('Master - LTI Review'!C$4,'Raw Data'!$C$31:$AY$31,0)+1),"N/A")</f>
        <v>N/A</v>
      </c>
      <c r="D7" s="150" t="str">
        <f>IFERROR(INDEX('Raw Data'!$B$53:$AY$1048576,MATCH('Master - LTI Review'!$A7,'Raw Data'!$B$53:$B$1048576,0),MATCH('Master - LTI Review'!D$4,'Raw Data'!$C$31:$AY$31,0)+1)/$I7,"N/A")</f>
        <v>N/A</v>
      </c>
      <c r="E7" s="150" t="str">
        <f>IFERROR(INDEX('Raw Data'!$B$53:$AY$1048576,MATCH('Master - LTI Review'!$A7,'Raw Data'!$B$53:$B$1048576,0),MATCH('Master - LTI Review'!E$4,'Raw Data'!$C$31:$AY$31,0)+1)/$I7,"N/A")</f>
        <v>N/A</v>
      </c>
      <c r="F7" s="150" t="str">
        <f>IFERROR(INDEX('Raw Data'!$B$53:$AY$1048576,MATCH('Master - LTI Review'!$A7,'Raw Data'!$B$53:$B$1048576,0),MATCH('Master - LTI Review'!F$4,'Raw Data'!$C$31:$AY$31,0)+1)/$I7,"N/A")</f>
        <v>N/A</v>
      </c>
      <c r="G7" s="150" t="str">
        <f>IFERROR(INDEX('Raw Data'!$B$53:$AY$1048576,MATCH('Master - LTI Review'!$A7,'Raw Data'!$B$53:$B$1048576,0),MATCH('Master - LTI Review'!G$4,'Raw Data'!$C$31:$AY$31,0)+1)/$I7,"N/A")</f>
        <v>N/A</v>
      </c>
      <c r="H7" s="151" t="str">
        <f>IFERROR(INDEX('Raw Data'!$B$53:$AY$1048576,MATCH('Master - LTI Review'!$A7,'Raw Data'!$B$53:$B$1048576,0),MATCH('Master - LTI Review'!H$4,'Raw Data'!$C$31:$AY$31,0)+1)/$I7,"N/A")</f>
        <v>N/A</v>
      </c>
      <c r="I7" t="str">
        <f>IFERROR(INDEX('Raw Data'!$B$53:$AY$1048576,MATCH('Master - LTI Review'!$A7,'Raw Data'!$B$53:$B$1048576,0),MATCH('Master - LTI Review'!I$4,'Raw Data'!$C$31:$AY$31,0)+1),"N/A")</f>
        <v>N/A</v>
      </c>
      <c r="J7" s="80">
        <f t="shared" ref="J7:J25" si="1">SUM(D7:H7)</f>
        <v>0</v>
      </c>
    </row>
    <row r="8" spans="1:10">
      <c r="A8" t="str">
        <f t="shared" si="0"/>
        <v>TSX:C_2018_</v>
      </c>
      <c r="B8" s="10" t="s">
        <v>85</v>
      </c>
      <c r="C8" s="149" t="str">
        <f>IFERROR(INDEX('Raw Data'!$B$53:$AY$1048576,MATCH('Master - LTI Review'!$A8,'Raw Data'!$B$53:$B$1048576,0),MATCH('Master - LTI Review'!C$4,'Raw Data'!$C$31:$AY$31,0)+1),"N/A")</f>
        <v>N/A</v>
      </c>
      <c r="D8" s="150" t="str">
        <f>IFERROR(INDEX('Raw Data'!$B$53:$AY$1048576,MATCH('Master - LTI Review'!$A8,'Raw Data'!$B$53:$B$1048576,0),MATCH('Master - LTI Review'!D$4,'Raw Data'!$C$31:$AY$31,0)+1)/$I8,"N/A")</f>
        <v>N/A</v>
      </c>
      <c r="E8" s="150" t="str">
        <f>IFERROR(INDEX('Raw Data'!$B$53:$AY$1048576,MATCH('Master - LTI Review'!$A8,'Raw Data'!$B$53:$B$1048576,0),MATCH('Master - LTI Review'!E$4,'Raw Data'!$C$31:$AY$31,0)+1)/$I8,"N/A")</f>
        <v>N/A</v>
      </c>
      <c r="F8" s="150" t="str">
        <f>IFERROR(INDEX('Raw Data'!$B$53:$AY$1048576,MATCH('Master - LTI Review'!$A8,'Raw Data'!$B$53:$B$1048576,0),MATCH('Master - LTI Review'!F$4,'Raw Data'!$C$31:$AY$31,0)+1)/$I8,"N/A")</f>
        <v>N/A</v>
      </c>
      <c r="G8" s="150" t="str">
        <f>IFERROR(INDEX('Raw Data'!$B$53:$AY$1048576,MATCH('Master - LTI Review'!$A8,'Raw Data'!$B$53:$B$1048576,0),MATCH('Master - LTI Review'!G$4,'Raw Data'!$C$31:$AY$31,0)+1)/$I8,"N/A")</f>
        <v>N/A</v>
      </c>
      <c r="H8" s="151" t="str">
        <f>IFERROR(INDEX('Raw Data'!$B$53:$AY$1048576,MATCH('Master - LTI Review'!$A8,'Raw Data'!$B$53:$B$1048576,0),MATCH('Master - LTI Review'!H$4,'Raw Data'!$C$31:$AY$31,0)+1)/$I8,"N/A")</f>
        <v>N/A</v>
      </c>
      <c r="I8" t="str">
        <f>IFERROR(INDEX('Raw Data'!$B$53:$AY$1048576,MATCH('Master - LTI Review'!$A8,'Raw Data'!$B$53:$B$1048576,0),MATCH('Master - LTI Review'!I$4,'Raw Data'!$C$31:$AY$31,0)+1),"N/A")</f>
        <v>N/A</v>
      </c>
      <c r="J8" s="80">
        <f t="shared" si="1"/>
        <v>0</v>
      </c>
    </row>
    <row r="9" spans="1:10">
      <c r="A9" t="str">
        <f t="shared" si="0"/>
        <v>TSX:D_2018_</v>
      </c>
      <c r="B9" s="10" t="s">
        <v>86</v>
      </c>
      <c r="C9" s="149" t="str">
        <f>IFERROR(INDEX('Raw Data'!$B$53:$AY$1048576,MATCH('Master - LTI Review'!$A9,'Raw Data'!$B$53:$B$1048576,0),MATCH('Master - LTI Review'!C$4,'Raw Data'!$C$31:$AY$31,0)+1),"N/A")</f>
        <v>N/A</v>
      </c>
      <c r="D9" s="150" t="str">
        <f>IFERROR(INDEX('Raw Data'!$B$53:$AY$1048576,MATCH('Master - LTI Review'!$A9,'Raw Data'!$B$53:$B$1048576,0),MATCH('Master - LTI Review'!D$4,'Raw Data'!$C$31:$AY$31,0)+1)/$I9,"N/A")</f>
        <v>N/A</v>
      </c>
      <c r="E9" s="150" t="str">
        <f>IFERROR(INDEX('Raw Data'!$B$53:$AY$1048576,MATCH('Master - LTI Review'!$A9,'Raw Data'!$B$53:$B$1048576,0),MATCH('Master - LTI Review'!E$4,'Raw Data'!$C$31:$AY$31,0)+1)/$I9,"N/A")</f>
        <v>N/A</v>
      </c>
      <c r="F9" s="150" t="str">
        <f>IFERROR(INDEX('Raw Data'!$B$53:$AY$1048576,MATCH('Master - LTI Review'!$A9,'Raw Data'!$B$53:$B$1048576,0),MATCH('Master - LTI Review'!F$4,'Raw Data'!$C$31:$AY$31,0)+1)/$I9,"N/A")</f>
        <v>N/A</v>
      </c>
      <c r="G9" s="150" t="str">
        <f>IFERROR(INDEX('Raw Data'!$B$53:$AY$1048576,MATCH('Master - LTI Review'!$A9,'Raw Data'!$B$53:$B$1048576,0),MATCH('Master - LTI Review'!G$4,'Raw Data'!$C$31:$AY$31,0)+1)/$I9,"N/A")</f>
        <v>N/A</v>
      </c>
      <c r="H9" s="151" t="str">
        <f>IFERROR(INDEX('Raw Data'!$B$53:$AY$1048576,MATCH('Master - LTI Review'!$A9,'Raw Data'!$B$53:$B$1048576,0),MATCH('Master - LTI Review'!H$4,'Raw Data'!$C$31:$AY$31,0)+1)/$I9,"N/A")</f>
        <v>N/A</v>
      </c>
      <c r="I9" t="str">
        <f>IFERROR(INDEX('Raw Data'!$B$53:$AY$1048576,MATCH('Master - LTI Review'!$A9,'Raw Data'!$B$53:$B$1048576,0),MATCH('Master - LTI Review'!I$4,'Raw Data'!$C$31:$AY$31,0)+1),"N/A")</f>
        <v>N/A</v>
      </c>
      <c r="J9" s="80">
        <f t="shared" si="1"/>
        <v>0</v>
      </c>
    </row>
    <row r="10" spans="1:10">
      <c r="A10" t="str">
        <f t="shared" si="0"/>
        <v>TSX:E_2018_</v>
      </c>
      <c r="B10" s="10" t="s">
        <v>87</v>
      </c>
      <c r="C10" s="149" t="str">
        <f>IFERROR(INDEX('Raw Data'!$B$53:$AY$1048576,MATCH('Master - LTI Review'!$A10,'Raw Data'!$B$53:$B$1048576,0),MATCH('Master - LTI Review'!C$4,'Raw Data'!$C$31:$AY$31,0)+1),"N/A")</f>
        <v>N/A</v>
      </c>
      <c r="D10" s="150" t="str">
        <f>IFERROR(INDEX('Raw Data'!$B$53:$AY$1048576,MATCH('Master - LTI Review'!$A10,'Raw Data'!$B$53:$B$1048576,0),MATCH('Master - LTI Review'!D$4,'Raw Data'!$C$31:$AY$31,0)+1)/$I10,"N/A")</f>
        <v>N/A</v>
      </c>
      <c r="E10" s="150" t="str">
        <f>IFERROR(INDEX('Raw Data'!$B$53:$AY$1048576,MATCH('Master - LTI Review'!$A10,'Raw Data'!$B$53:$B$1048576,0),MATCH('Master - LTI Review'!E$4,'Raw Data'!$C$31:$AY$31,0)+1)/$I10,"N/A")</f>
        <v>N/A</v>
      </c>
      <c r="F10" s="150" t="str">
        <f>IFERROR(INDEX('Raw Data'!$B$53:$AY$1048576,MATCH('Master - LTI Review'!$A10,'Raw Data'!$B$53:$B$1048576,0),MATCH('Master - LTI Review'!F$4,'Raw Data'!$C$31:$AY$31,0)+1)/$I10,"N/A")</f>
        <v>N/A</v>
      </c>
      <c r="G10" s="150" t="str">
        <f>IFERROR(INDEX('Raw Data'!$B$53:$AY$1048576,MATCH('Master - LTI Review'!$A10,'Raw Data'!$B$53:$B$1048576,0),MATCH('Master - LTI Review'!G$4,'Raw Data'!$C$31:$AY$31,0)+1)/$I10,"N/A")</f>
        <v>N/A</v>
      </c>
      <c r="H10" s="151" t="str">
        <f>IFERROR(INDEX('Raw Data'!$B$53:$AY$1048576,MATCH('Master - LTI Review'!$A10,'Raw Data'!$B$53:$B$1048576,0),MATCH('Master - LTI Review'!H$4,'Raw Data'!$C$31:$AY$31,0)+1)/$I10,"N/A")</f>
        <v>N/A</v>
      </c>
      <c r="I10" t="str">
        <f>IFERROR(INDEX('Raw Data'!$B$53:$AY$1048576,MATCH('Master - LTI Review'!$A10,'Raw Data'!$B$53:$B$1048576,0),MATCH('Master - LTI Review'!I$4,'Raw Data'!$C$31:$AY$31,0)+1),"N/A")</f>
        <v>N/A</v>
      </c>
      <c r="J10" s="80">
        <f t="shared" si="1"/>
        <v>0</v>
      </c>
    </row>
    <row r="11" spans="1:10">
      <c r="A11" t="str">
        <f t="shared" si="0"/>
        <v>TSX:F_2018_</v>
      </c>
      <c r="B11" s="10" t="s">
        <v>88</v>
      </c>
      <c r="C11" s="149" t="str">
        <f>IFERROR(INDEX('Raw Data'!$B$53:$AY$1048576,MATCH('Master - LTI Review'!$A11,'Raw Data'!$B$53:$B$1048576,0),MATCH('Master - LTI Review'!C$4,'Raw Data'!$C$31:$AY$31,0)+1),"N/A")</f>
        <v>N/A</v>
      </c>
      <c r="D11" s="150" t="str">
        <f>IFERROR(INDEX('Raw Data'!$B$53:$AY$1048576,MATCH('Master - LTI Review'!$A11,'Raw Data'!$B$53:$B$1048576,0),MATCH('Master - LTI Review'!D$4,'Raw Data'!$C$31:$AY$31,0)+1)/$I11,"N/A")</f>
        <v>N/A</v>
      </c>
      <c r="E11" s="150" t="str">
        <f>IFERROR(INDEX('Raw Data'!$B$53:$AY$1048576,MATCH('Master - LTI Review'!$A11,'Raw Data'!$B$53:$B$1048576,0),MATCH('Master - LTI Review'!E$4,'Raw Data'!$C$31:$AY$31,0)+1)/$I11,"N/A")</f>
        <v>N/A</v>
      </c>
      <c r="F11" s="150" t="str">
        <f>IFERROR(INDEX('Raw Data'!$B$53:$AY$1048576,MATCH('Master - LTI Review'!$A11,'Raw Data'!$B$53:$B$1048576,0),MATCH('Master - LTI Review'!F$4,'Raw Data'!$C$31:$AY$31,0)+1)/$I11,"N/A")</f>
        <v>N/A</v>
      </c>
      <c r="G11" s="150" t="str">
        <f>IFERROR(INDEX('Raw Data'!$B$53:$AY$1048576,MATCH('Master - LTI Review'!$A11,'Raw Data'!$B$53:$B$1048576,0),MATCH('Master - LTI Review'!G$4,'Raw Data'!$C$31:$AY$31,0)+1)/$I11,"N/A")</f>
        <v>N/A</v>
      </c>
      <c r="H11" s="151" t="str">
        <f>IFERROR(INDEX('Raw Data'!$B$53:$AY$1048576,MATCH('Master - LTI Review'!$A11,'Raw Data'!$B$53:$B$1048576,0),MATCH('Master - LTI Review'!H$4,'Raw Data'!$C$31:$AY$31,0)+1)/$I11,"N/A")</f>
        <v>N/A</v>
      </c>
      <c r="I11" t="str">
        <f>IFERROR(INDEX('Raw Data'!$B$53:$AY$1048576,MATCH('Master - LTI Review'!$A11,'Raw Data'!$B$53:$B$1048576,0),MATCH('Master - LTI Review'!I$4,'Raw Data'!$C$31:$AY$31,0)+1),"N/A")</f>
        <v>N/A</v>
      </c>
      <c r="J11" s="80">
        <f t="shared" si="1"/>
        <v>0</v>
      </c>
    </row>
    <row r="12" spans="1:10">
      <c r="A12" t="str">
        <f t="shared" si="0"/>
        <v>TSX:G_2018_</v>
      </c>
      <c r="B12" s="10" t="s">
        <v>89</v>
      </c>
      <c r="C12" s="149" t="str">
        <f>IFERROR(INDEX('Raw Data'!$B$53:$AY$1048576,MATCH('Master - LTI Review'!$A12,'Raw Data'!$B$53:$B$1048576,0),MATCH('Master - LTI Review'!C$4,'Raw Data'!$C$31:$AY$31,0)+1),"N/A")</f>
        <v>N/A</v>
      </c>
      <c r="D12" s="150" t="str">
        <f>IFERROR(INDEX('Raw Data'!$B$53:$AY$1048576,MATCH('Master - LTI Review'!$A12,'Raw Data'!$B$53:$B$1048576,0),MATCH('Master - LTI Review'!D$4,'Raw Data'!$C$31:$AY$31,0)+1)/$I12,"N/A")</f>
        <v>N/A</v>
      </c>
      <c r="E12" s="150" t="str">
        <f>IFERROR(INDEX('Raw Data'!$B$53:$AY$1048576,MATCH('Master - LTI Review'!$A12,'Raw Data'!$B$53:$B$1048576,0),MATCH('Master - LTI Review'!E$4,'Raw Data'!$C$31:$AY$31,0)+1)/$I12,"N/A")</f>
        <v>N/A</v>
      </c>
      <c r="F12" s="150" t="str">
        <f>IFERROR(INDEX('Raw Data'!$B$53:$AY$1048576,MATCH('Master - LTI Review'!$A12,'Raw Data'!$B$53:$B$1048576,0),MATCH('Master - LTI Review'!F$4,'Raw Data'!$C$31:$AY$31,0)+1)/$I12,"N/A")</f>
        <v>N/A</v>
      </c>
      <c r="G12" s="150" t="str">
        <f>IFERROR(INDEX('Raw Data'!$B$53:$AY$1048576,MATCH('Master - LTI Review'!$A12,'Raw Data'!$B$53:$B$1048576,0),MATCH('Master - LTI Review'!G$4,'Raw Data'!$C$31:$AY$31,0)+1)/$I12,"N/A")</f>
        <v>N/A</v>
      </c>
      <c r="H12" s="151" t="str">
        <f>IFERROR(INDEX('Raw Data'!$B$53:$AY$1048576,MATCH('Master - LTI Review'!$A12,'Raw Data'!$B$53:$B$1048576,0),MATCH('Master - LTI Review'!H$4,'Raw Data'!$C$31:$AY$31,0)+1)/$I12,"N/A")</f>
        <v>N/A</v>
      </c>
      <c r="I12" t="str">
        <f>IFERROR(INDEX('Raw Data'!$B$53:$AY$1048576,MATCH('Master - LTI Review'!$A12,'Raw Data'!$B$53:$B$1048576,0),MATCH('Master - LTI Review'!I$4,'Raw Data'!$C$31:$AY$31,0)+1),"N/A")</f>
        <v>N/A</v>
      </c>
      <c r="J12" s="80">
        <f t="shared" si="1"/>
        <v>0</v>
      </c>
    </row>
    <row r="13" spans="1:10">
      <c r="A13" t="str">
        <f t="shared" si="0"/>
        <v>TSX:H_2018_</v>
      </c>
      <c r="B13" s="10" t="s">
        <v>90</v>
      </c>
      <c r="C13" s="149" t="str">
        <f>IFERROR(INDEX('Raw Data'!$B$53:$AY$1048576,MATCH('Master - LTI Review'!$A13,'Raw Data'!$B$53:$B$1048576,0),MATCH('Master - LTI Review'!C$4,'Raw Data'!$C$31:$AY$31,0)+1),"N/A")</f>
        <v>N/A</v>
      </c>
      <c r="D13" s="150" t="str">
        <f>IFERROR(INDEX('Raw Data'!$B$53:$AY$1048576,MATCH('Master - LTI Review'!$A13,'Raw Data'!$B$53:$B$1048576,0),MATCH('Master - LTI Review'!D$4,'Raw Data'!$C$31:$AY$31,0)+1)/$I13,"N/A")</f>
        <v>N/A</v>
      </c>
      <c r="E13" s="150" t="str">
        <f>IFERROR(INDEX('Raw Data'!$B$53:$AY$1048576,MATCH('Master - LTI Review'!$A13,'Raw Data'!$B$53:$B$1048576,0),MATCH('Master - LTI Review'!E$4,'Raw Data'!$C$31:$AY$31,0)+1)/$I13,"N/A")</f>
        <v>N/A</v>
      </c>
      <c r="F13" s="150" t="str">
        <f>IFERROR(INDEX('Raw Data'!$B$53:$AY$1048576,MATCH('Master - LTI Review'!$A13,'Raw Data'!$B$53:$B$1048576,0),MATCH('Master - LTI Review'!F$4,'Raw Data'!$C$31:$AY$31,0)+1)/$I13,"N/A")</f>
        <v>N/A</v>
      </c>
      <c r="G13" s="150" t="str">
        <f>IFERROR(INDEX('Raw Data'!$B$53:$AY$1048576,MATCH('Master - LTI Review'!$A13,'Raw Data'!$B$53:$B$1048576,0),MATCH('Master - LTI Review'!G$4,'Raw Data'!$C$31:$AY$31,0)+1)/$I13,"N/A")</f>
        <v>N/A</v>
      </c>
      <c r="H13" s="151" t="str">
        <f>IFERROR(INDEX('Raw Data'!$B$53:$AY$1048576,MATCH('Master - LTI Review'!$A13,'Raw Data'!$B$53:$B$1048576,0),MATCH('Master - LTI Review'!H$4,'Raw Data'!$C$31:$AY$31,0)+1)/$I13,"N/A")</f>
        <v>N/A</v>
      </c>
      <c r="I13" t="str">
        <f>IFERROR(INDEX('Raw Data'!$B$53:$AY$1048576,MATCH('Master - LTI Review'!$A13,'Raw Data'!$B$53:$B$1048576,0),MATCH('Master - LTI Review'!I$4,'Raw Data'!$C$31:$AY$31,0)+1),"N/A")</f>
        <v>N/A</v>
      </c>
      <c r="J13" s="80">
        <f t="shared" si="1"/>
        <v>0</v>
      </c>
    </row>
    <row r="14" spans="1:10">
      <c r="A14" t="str">
        <f t="shared" si="0"/>
        <v>TSX:I_2018_</v>
      </c>
      <c r="B14" s="10" t="s">
        <v>91</v>
      </c>
      <c r="C14" s="149" t="str">
        <f>IFERROR(INDEX('Raw Data'!$B$53:$AY$1048576,MATCH('Master - LTI Review'!$A14,'Raw Data'!$B$53:$B$1048576,0),MATCH('Master - LTI Review'!C$4,'Raw Data'!$C$31:$AY$31,0)+1),"N/A")</f>
        <v>N/A</v>
      </c>
      <c r="D14" s="150" t="str">
        <f>IFERROR(INDEX('Raw Data'!$B$53:$AY$1048576,MATCH('Master - LTI Review'!$A14,'Raw Data'!$B$53:$B$1048576,0),MATCH('Master - LTI Review'!D$4,'Raw Data'!$C$31:$AY$31,0)+1)/$I14,"N/A")</f>
        <v>N/A</v>
      </c>
      <c r="E14" s="150" t="str">
        <f>IFERROR(INDEX('Raw Data'!$B$53:$AY$1048576,MATCH('Master - LTI Review'!$A14,'Raw Data'!$B$53:$B$1048576,0),MATCH('Master - LTI Review'!E$4,'Raw Data'!$C$31:$AY$31,0)+1)/$I14,"N/A")</f>
        <v>N/A</v>
      </c>
      <c r="F14" s="150" t="str">
        <f>IFERROR(INDEX('Raw Data'!$B$53:$AY$1048576,MATCH('Master - LTI Review'!$A14,'Raw Data'!$B$53:$B$1048576,0),MATCH('Master - LTI Review'!F$4,'Raw Data'!$C$31:$AY$31,0)+1)/$I14,"N/A")</f>
        <v>N/A</v>
      </c>
      <c r="G14" s="150" t="str">
        <f>IFERROR(INDEX('Raw Data'!$B$53:$AY$1048576,MATCH('Master - LTI Review'!$A14,'Raw Data'!$B$53:$B$1048576,0),MATCH('Master - LTI Review'!G$4,'Raw Data'!$C$31:$AY$31,0)+1)/$I14,"N/A")</f>
        <v>N/A</v>
      </c>
      <c r="H14" s="151" t="str">
        <f>IFERROR(INDEX('Raw Data'!$B$53:$AY$1048576,MATCH('Master - LTI Review'!$A14,'Raw Data'!$B$53:$B$1048576,0),MATCH('Master - LTI Review'!H$4,'Raw Data'!$C$31:$AY$31,0)+1)/$I14,"N/A")</f>
        <v>N/A</v>
      </c>
      <c r="I14" t="str">
        <f>IFERROR(INDEX('Raw Data'!$B$53:$AY$1048576,MATCH('Master - LTI Review'!$A14,'Raw Data'!$B$53:$B$1048576,0),MATCH('Master - LTI Review'!I$4,'Raw Data'!$C$31:$AY$31,0)+1),"N/A")</f>
        <v>N/A</v>
      </c>
      <c r="J14" s="80">
        <f t="shared" si="1"/>
        <v>0</v>
      </c>
    </row>
    <row r="15" spans="1:10">
      <c r="A15" t="str">
        <f t="shared" si="0"/>
        <v>TSX:J_2018_</v>
      </c>
      <c r="B15" s="10" t="s">
        <v>92</v>
      </c>
      <c r="C15" s="149" t="str">
        <f>IFERROR(INDEX('Raw Data'!$B$53:$AY$1048576,MATCH('Master - LTI Review'!$A15,'Raw Data'!$B$53:$B$1048576,0),MATCH('Master - LTI Review'!C$4,'Raw Data'!$C$31:$AY$31,0)+1),"N/A")</f>
        <v>N/A</v>
      </c>
      <c r="D15" s="150" t="str">
        <f>IFERROR(INDEX('Raw Data'!$B$53:$AY$1048576,MATCH('Master - LTI Review'!$A15,'Raw Data'!$B$53:$B$1048576,0),MATCH('Master - LTI Review'!D$4,'Raw Data'!$C$31:$AY$31,0)+1)/$I15,"N/A")</f>
        <v>N/A</v>
      </c>
      <c r="E15" s="150" t="str">
        <f>IFERROR(INDEX('Raw Data'!$B$53:$AY$1048576,MATCH('Master - LTI Review'!$A15,'Raw Data'!$B$53:$B$1048576,0),MATCH('Master - LTI Review'!E$4,'Raw Data'!$C$31:$AY$31,0)+1)/$I15,"N/A")</f>
        <v>N/A</v>
      </c>
      <c r="F15" s="150" t="str">
        <f>IFERROR(INDEX('Raw Data'!$B$53:$AY$1048576,MATCH('Master - LTI Review'!$A15,'Raw Data'!$B$53:$B$1048576,0),MATCH('Master - LTI Review'!F$4,'Raw Data'!$C$31:$AY$31,0)+1)/$I15,"N/A")</f>
        <v>N/A</v>
      </c>
      <c r="G15" s="150" t="str">
        <f>IFERROR(INDEX('Raw Data'!$B$53:$AY$1048576,MATCH('Master - LTI Review'!$A15,'Raw Data'!$B$53:$B$1048576,0),MATCH('Master - LTI Review'!G$4,'Raw Data'!$C$31:$AY$31,0)+1)/$I15,"N/A")</f>
        <v>N/A</v>
      </c>
      <c r="H15" s="151" t="str">
        <f>IFERROR(INDEX('Raw Data'!$B$53:$AY$1048576,MATCH('Master - LTI Review'!$A15,'Raw Data'!$B$53:$B$1048576,0),MATCH('Master - LTI Review'!H$4,'Raw Data'!$C$31:$AY$31,0)+1)/$I15,"N/A")</f>
        <v>N/A</v>
      </c>
      <c r="I15" t="str">
        <f>IFERROR(INDEX('Raw Data'!$B$53:$AY$1048576,MATCH('Master - LTI Review'!$A15,'Raw Data'!$B$53:$B$1048576,0),MATCH('Master - LTI Review'!I$4,'Raw Data'!$C$31:$AY$31,0)+1),"N/A")</f>
        <v>N/A</v>
      </c>
      <c r="J15" s="80">
        <f t="shared" si="1"/>
        <v>0</v>
      </c>
    </row>
    <row r="16" spans="1:10">
      <c r="A16" t="str">
        <f t="shared" si="0"/>
        <v>TSX:K_2018_</v>
      </c>
      <c r="B16" s="10" t="s">
        <v>93</v>
      </c>
      <c r="C16" s="149" t="str">
        <f>IFERROR(INDEX('Raw Data'!$B$53:$AY$1048576,MATCH('Master - LTI Review'!$A16,'Raw Data'!$B$53:$B$1048576,0),MATCH('Master - LTI Review'!C$4,'Raw Data'!$C$31:$AY$31,0)+1),"N/A")</f>
        <v>N/A</v>
      </c>
      <c r="D16" s="150" t="str">
        <f>IFERROR(INDEX('Raw Data'!$B$53:$AY$1048576,MATCH('Master - LTI Review'!$A16,'Raw Data'!$B$53:$B$1048576,0),MATCH('Master - LTI Review'!D$4,'Raw Data'!$C$31:$AY$31,0)+1)/$I16,"N/A")</f>
        <v>N/A</v>
      </c>
      <c r="E16" s="150" t="str">
        <f>IFERROR(INDEX('Raw Data'!$B$53:$AY$1048576,MATCH('Master - LTI Review'!$A16,'Raw Data'!$B$53:$B$1048576,0),MATCH('Master - LTI Review'!E$4,'Raw Data'!$C$31:$AY$31,0)+1)/$I16,"N/A")</f>
        <v>N/A</v>
      </c>
      <c r="F16" s="150" t="str">
        <f>IFERROR(INDEX('Raw Data'!$B$53:$AY$1048576,MATCH('Master - LTI Review'!$A16,'Raw Data'!$B$53:$B$1048576,0),MATCH('Master - LTI Review'!F$4,'Raw Data'!$C$31:$AY$31,0)+1)/$I16,"N/A")</f>
        <v>N/A</v>
      </c>
      <c r="G16" s="150" t="str">
        <f>IFERROR(INDEX('Raw Data'!$B$53:$AY$1048576,MATCH('Master - LTI Review'!$A16,'Raw Data'!$B$53:$B$1048576,0),MATCH('Master - LTI Review'!G$4,'Raw Data'!$C$31:$AY$31,0)+1)/$I16,"N/A")</f>
        <v>N/A</v>
      </c>
      <c r="H16" s="151" t="str">
        <f>IFERROR(INDEX('Raw Data'!$B$53:$AY$1048576,MATCH('Master - LTI Review'!$A16,'Raw Data'!$B$53:$B$1048576,0),MATCH('Master - LTI Review'!H$4,'Raw Data'!$C$31:$AY$31,0)+1)/$I16,"N/A")</f>
        <v>N/A</v>
      </c>
      <c r="I16" t="str">
        <f>IFERROR(INDEX('Raw Data'!$B$53:$AY$1048576,MATCH('Master - LTI Review'!$A16,'Raw Data'!$B$53:$B$1048576,0),MATCH('Master - LTI Review'!I$4,'Raw Data'!$C$31:$AY$31,0)+1),"N/A")</f>
        <v>N/A</v>
      </c>
      <c r="J16" s="80">
        <f t="shared" si="1"/>
        <v>0</v>
      </c>
    </row>
    <row r="17" spans="1:10">
      <c r="A17" t="str">
        <f t="shared" si="0"/>
        <v>TSX:L_2018_</v>
      </c>
      <c r="B17" s="10" t="s">
        <v>94</v>
      </c>
      <c r="C17" s="149" t="str">
        <f>IFERROR(INDEX('Raw Data'!$B$53:$AY$1048576,MATCH('Master - LTI Review'!$A17,'Raw Data'!$B$53:$B$1048576,0),MATCH('Master - LTI Review'!C$4,'Raw Data'!$C$31:$AY$31,0)+1),"N/A")</f>
        <v>N/A</v>
      </c>
      <c r="D17" s="150" t="str">
        <f>IFERROR(INDEX('Raw Data'!$B$53:$AY$1048576,MATCH('Master - LTI Review'!$A17,'Raw Data'!$B$53:$B$1048576,0),MATCH('Master - LTI Review'!D$4,'Raw Data'!$C$31:$AY$31,0)+1)/$I17,"N/A")</f>
        <v>N/A</v>
      </c>
      <c r="E17" s="150" t="str">
        <f>IFERROR(INDEX('Raw Data'!$B$53:$AY$1048576,MATCH('Master - LTI Review'!$A17,'Raw Data'!$B$53:$B$1048576,0),MATCH('Master - LTI Review'!E$4,'Raw Data'!$C$31:$AY$31,0)+1)/$I17,"N/A")</f>
        <v>N/A</v>
      </c>
      <c r="F17" s="150" t="str">
        <f>IFERROR(INDEX('Raw Data'!$B$53:$AY$1048576,MATCH('Master - LTI Review'!$A17,'Raw Data'!$B$53:$B$1048576,0),MATCH('Master - LTI Review'!F$4,'Raw Data'!$C$31:$AY$31,0)+1)/$I17,"N/A")</f>
        <v>N/A</v>
      </c>
      <c r="G17" s="150" t="str">
        <f>IFERROR(INDEX('Raw Data'!$B$53:$AY$1048576,MATCH('Master - LTI Review'!$A17,'Raw Data'!$B$53:$B$1048576,0),MATCH('Master - LTI Review'!G$4,'Raw Data'!$C$31:$AY$31,0)+1)/$I17,"N/A")</f>
        <v>N/A</v>
      </c>
      <c r="H17" s="151" t="str">
        <f>IFERROR(INDEX('Raw Data'!$B$53:$AY$1048576,MATCH('Master - LTI Review'!$A17,'Raw Data'!$B$53:$B$1048576,0),MATCH('Master - LTI Review'!H$4,'Raw Data'!$C$31:$AY$31,0)+1)/$I17,"N/A")</f>
        <v>N/A</v>
      </c>
      <c r="I17" t="str">
        <f>IFERROR(INDEX('Raw Data'!$B$53:$AY$1048576,MATCH('Master - LTI Review'!$A17,'Raw Data'!$B$53:$B$1048576,0),MATCH('Master - LTI Review'!I$4,'Raw Data'!$C$31:$AY$31,0)+1),"N/A")</f>
        <v>N/A</v>
      </c>
      <c r="J17" s="80">
        <f t="shared" si="1"/>
        <v>0</v>
      </c>
    </row>
    <row r="18" spans="1:10">
      <c r="A18" t="str">
        <f t="shared" si="0"/>
        <v>TSX:M_2018_</v>
      </c>
      <c r="B18" s="10" t="s">
        <v>95</v>
      </c>
      <c r="C18" s="149" t="str">
        <f>IFERROR(INDEX('Raw Data'!$B$53:$AY$1048576,MATCH('Master - LTI Review'!$A18,'Raw Data'!$B$53:$B$1048576,0),MATCH('Master - LTI Review'!C$4,'Raw Data'!$C$31:$AY$31,0)+1),"N/A")</f>
        <v>N/A</v>
      </c>
      <c r="D18" s="150" t="str">
        <f>IFERROR(INDEX('Raw Data'!$B$53:$AY$1048576,MATCH('Master - LTI Review'!$A18,'Raw Data'!$B$53:$B$1048576,0),MATCH('Master - LTI Review'!D$4,'Raw Data'!$C$31:$AY$31,0)+1)/$I18,"N/A")</f>
        <v>N/A</v>
      </c>
      <c r="E18" s="150" t="str">
        <f>IFERROR(INDEX('Raw Data'!$B$53:$AY$1048576,MATCH('Master - LTI Review'!$A18,'Raw Data'!$B$53:$B$1048576,0),MATCH('Master - LTI Review'!E$4,'Raw Data'!$C$31:$AY$31,0)+1)/$I18,"N/A")</f>
        <v>N/A</v>
      </c>
      <c r="F18" s="150" t="str">
        <f>IFERROR(INDEX('Raw Data'!$B$53:$AY$1048576,MATCH('Master - LTI Review'!$A18,'Raw Data'!$B$53:$B$1048576,0),MATCH('Master - LTI Review'!F$4,'Raw Data'!$C$31:$AY$31,0)+1)/$I18,"N/A")</f>
        <v>N/A</v>
      </c>
      <c r="G18" s="150" t="str">
        <f>IFERROR(INDEX('Raw Data'!$B$53:$AY$1048576,MATCH('Master - LTI Review'!$A18,'Raw Data'!$B$53:$B$1048576,0),MATCH('Master - LTI Review'!G$4,'Raw Data'!$C$31:$AY$31,0)+1)/$I18,"N/A")</f>
        <v>N/A</v>
      </c>
      <c r="H18" s="151" t="str">
        <f>IFERROR(INDEX('Raw Data'!$B$53:$AY$1048576,MATCH('Master - LTI Review'!$A18,'Raw Data'!$B$53:$B$1048576,0),MATCH('Master - LTI Review'!H$4,'Raw Data'!$C$31:$AY$31,0)+1)/$I18,"N/A")</f>
        <v>N/A</v>
      </c>
      <c r="I18" t="str">
        <f>IFERROR(INDEX('Raw Data'!$B$53:$AY$1048576,MATCH('Master - LTI Review'!$A18,'Raw Data'!$B$53:$B$1048576,0),MATCH('Master - LTI Review'!I$4,'Raw Data'!$C$31:$AY$31,0)+1),"N/A")</f>
        <v>N/A</v>
      </c>
      <c r="J18" s="80">
        <f t="shared" si="1"/>
        <v>0</v>
      </c>
    </row>
    <row r="19" spans="1:10">
      <c r="A19" t="str">
        <f t="shared" si="0"/>
        <v>TSX:N_2018_</v>
      </c>
      <c r="B19" s="10" t="s">
        <v>96</v>
      </c>
      <c r="C19" s="149" t="str">
        <f>IFERROR(INDEX('Raw Data'!$B$53:$AY$1048576,MATCH('Master - LTI Review'!$A19,'Raw Data'!$B$53:$B$1048576,0),MATCH('Master - LTI Review'!C$4,'Raw Data'!$C$31:$AY$31,0)+1),"N/A")</f>
        <v>N/A</v>
      </c>
      <c r="D19" s="150" t="str">
        <f>IFERROR(INDEX('Raw Data'!$B$53:$AY$1048576,MATCH('Master - LTI Review'!$A19,'Raw Data'!$B$53:$B$1048576,0),MATCH('Master - LTI Review'!D$4,'Raw Data'!$C$31:$AY$31,0)+1)/$I19,"N/A")</f>
        <v>N/A</v>
      </c>
      <c r="E19" s="150" t="str">
        <f>IFERROR(INDEX('Raw Data'!$B$53:$AY$1048576,MATCH('Master - LTI Review'!$A19,'Raw Data'!$B$53:$B$1048576,0),MATCH('Master - LTI Review'!E$4,'Raw Data'!$C$31:$AY$31,0)+1)/$I19,"N/A")</f>
        <v>N/A</v>
      </c>
      <c r="F19" s="150" t="str">
        <f>IFERROR(INDEX('Raw Data'!$B$53:$AY$1048576,MATCH('Master - LTI Review'!$A19,'Raw Data'!$B$53:$B$1048576,0),MATCH('Master - LTI Review'!F$4,'Raw Data'!$C$31:$AY$31,0)+1)/$I19,"N/A")</f>
        <v>N/A</v>
      </c>
      <c r="G19" s="150" t="str">
        <f>IFERROR(INDEX('Raw Data'!$B$53:$AY$1048576,MATCH('Master - LTI Review'!$A19,'Raw Data'!$B$53:$B$1048576,0),MATCH('Master - LTI Review'!G$4,'Raw Data'!$C$31:$AY$31,0)+1)/$I19,"N/A")</f>
        <v>N/A</v>
      </c>
      <c r="H19" s="151" t="str">
        <f>IFERROR(INDEX('Raw Data'!$B$53:$AY$1048576,MATCH('Master - LTI Review'!$A19,'Raw Data'!$B$53:$B$1048576,0),MATCH('Master - LTI Review'!H$4,'Raw Data'!$C$31:$AY$31,0)+1)/$I19,"N/A")</f>
        <v>N/A</v>
      </c>
      <c r="I19" t="str">
        <f>IFERROR(INDEX('Raw Data'!$B$53:$AY$1048576,MATCH('Master - LTI Review'!$A19,'Raw Data'!$B$53:$B$1048576,0),MATCH('Master - LTI Review'!I$4,'Raw Data'!$C$31:$AY$31,0)+1),"N/A")</f>
        <v>N/A</v>
      </c>
      <c r="J19" s="80">
        <f t="shared" si="1"/>
        <v>0</v>
      </c>
    </row>
    <row r="20" spans="1:10">
      <c r="A20" t="str">
        <f t="shared" si="0"/>
        <v>TSX:O_2018_</v>
      </c>
      <c r="B20" s="10" t="s">
        <v>97</v>
      </c>
      <c r="C20" s="149" t="str">
        <f>IFERROR(INDEX('Raw Data'!$B$53:$AY$1048576,MATCH('Master - LTI Review'!$A20,'Raw Data'!$B$53:$B$1048576,0),MATCH('Master - LTI Review'!C$4,'Raw Data'!$C$31:$AY$31,0)+1),"N/A")</f>
        <v>N/A</v>
      </c>
      <c r="D20" s="150" t="str">
        <f>IFERROR(INDEX('Raw Data'!$B$53:$AY$1048576,MATCH('Master - LTI Review'!$A20,'Raw Data'!$B$53:$B$1048576,0),MATCH('Master - LTI Review'!D$4,'Raw Data'!$C$31:$AY$31,0)+1)/$I20,"N/A")</f>
        <v>N/A</v>
      </c>
      <c r="E20" s="150" t="str">
        <f>IFERROR(INDEX('Raw Data'!$B$53:$AY$1048576,MATCH('Master - LTI Review'!$A20,'Raw Data'!$B$53:$B$1048576,0),MATCH('Master - LTI Review'!E$4,'Raw Data'!$C$31:$AY$31,0)+1)/$I20,"N/A")</f>
        <v>N/A</v>
      </c>
      <c r="F20" s="150" t="str">
        <f>IFERROR(INDEX('Raw Data'!$B$53:$AY$1048576,MATCH('Master - LTI Review'!$A20,'Raw Data'!$B$53:$B$1048576,0),MATCH('Master - LTI Review'!F$4,'Raw Data'!$C$31:$AY$31,0)+1)/$I20,"N/A")</f>
        <v>N/A</v>
      </c>
      <c r="G20" s="150" t="str">
        <f>IFERROR(INDEX('Raw Data'!$B$53:$AY$1048576,MATCH('Master - LTI Review'!$A20,'Raw Data'!$B$53:$B$1048576,0),MATCH('Master - LTI Review'!G$4,'Raw Data'!$C$31:$AY$31,0)+1)/$I20,"N/A")</f>
        <v>N/A</v>
      </c>
      <c r="H20" s="151" t="str">
        <f>IFERROR(INDEX('Raw Data'!$B$53:$AY$1048576,MATCH('Master - LTI Review'!$A20,'Raw Data'!$B$53:$B$1048576,0),MATCH('Master - LTI Review'!H$4,'Raw Data'!$C$31:$AY$31,0)+1)/$I20,"N/A")</f>
        <v>N/A</v>
      </c>
      <c r="I20" t="str">
        <f>IFERROR(INDEX('Raw Data'!$B$53:$AY$1048576,MATCH('Master - LTI Review'!$A20,'Raw Data'!$B$53:$B$1048576,0),MATCH('Master - LTI Review'!I$4,'Raw Data'!$C$31:$AY$31,0)+1),"N/A")</f>
        <v>N/A</v>
      </c>
      <c r="J20" s="80">
        <f t="shared" si="1"/>
        <v>0</v>
      </c>
    </row>
    <row r="21" spans="1:10">
      <c r="A21" t="str">
        <f t="shared" si="0"/>
        <v>TSX:P_2018_</v>
      </c>
      <c r="B21" s="10" t="s">
        <v>98</v>
      </c>
      <c r="C21" s="149" t="str">
        <f>IFERROR(INDEX('Raw Data'!$B$53:$AY$1048576,MATCH('Master - LTI Review'!$A21,'Raw Data'!$B$53:$B$1048576,0),MATCH('Master - LTI Review'!C$4,'Raw Data'!$C$31:$AY$31,0)+1),"N/A")</f>
        <v>N/A</v>
      </c>
      <c r="D21" s="150" t="str">
        <f>IFERROR(INDEX('Raw Data'!$B$53:$AY$1048576,MATCH('Master - LTI Review'!$A21,'Raw Data'!$B$53:$B$1048576,0),MATCH('Master - LTI Review'!D$4,'Raw Data'!$C$31:$AY$31,0)+1)/$I21,"N/A")</f>
        <v>N/A</v>
      </c>
      <c r="E21" s="150" t="str">
        <f>IFERROR(INDEX('Raw Data'!$B$53:$AY$1048576,MATCH('Master - LTI Review'!$A21,'Raw Data'!$B$53:$B$1048576,0),MATCH('Master - LTI Review'!E$4,'Raw Data'!$C$31:$AY$31,0)+1)/$I21,"N/A")</f>
        <v>N/A</v>
      </c>
      <c r="F21" s="150" t="str">
        <f>IFERROR(INDEX('Raw Data'!$B$53:$AY$1048576,MATCH('Master - LTI Review'!$A21,'Raw Data'!$B$53:$B$1048576,0),MATCH('Master - LTI Review'!F$4,'Raw Data'!$C$31:$AY$31,0)+1)/$I21,"N/A")</f>
        <v>N/A</v>
      </c>
      <c r="G21" s="150" t="str">
        <f>IFERROR(INDEX('Raw Data'!$B$53:$AY$1048576,MATCH('Master - LTI Review'!$A21,'Raw Data'!$B$53:$B$1048576,0),MATCH('Master - LTI Review'!G$4,'Raw Data'!$C$31:$AY$31,0)+1)/$I21,"N/A")</f>
        <v>N/A</v>
      </c>
      <c r="H21" s="151" t="str">
        <f>IFERROR(INDEX('Raw Data'!$B$53:$AY$1048576,MATCH('Master - LTI Review'!$A21,'Raw Data'!$B$53:$B$1048576,0),MATCH('Master - LTI Review'!H$4,'Raw Data'!$C$31:$AY$31,0)+1)/$I21,"N/A")</f>
        <v>N/A</v>
      </c>
      <c r="I21" t="str">
        <f>IFERROR(INDEX('Raw Data'!$B$53:$AY$1048576,MATCH('Master - LTI Review'!$A21,'Raw Data'!$B$53:$B$1048576,0),MATCH('Master - LTI Review'!I$4,'Raw Data'!$C$31:$AY$31,0)+1),"N/A")</f>
        <v>N/A</v>
      </c>
      <c r="J21" s="80">
        <f t="shared" si="1"/>
        <v>0</v>
      </c>
    </row>
    <row r="22" spans="1:10">
      <c r="A22" t="str">
        <f t="shared" si="0"/>
        <v>TSX:Q_2018_</v>
      </c>
      <c r="B22" s="10" t="s">
        <v>99</v>
      </c>
      <c r="C22" s="149" t="str">
        <f>IFERROR(INDEX('Raw Data'!$B$53:$AY$1048576,MATCH('Master - LTI Review'!$A22,'Raw Data'!$B$53:$B$1048576,0),MATCH('Master - LTI Review'!C$4,'Raw Data'!$C$31:$AY$31,0)+1),"N/A")</f>
        <v>N/A</v>
      </c>
      <c r="D22" s="150" t="str">
        <f>IFERROR(INDEX('Raw Data'!$B$53:$AY$1048576,MATCH('Master - LTI Review'!$A22,'Raw Data'!$B$53:$B$1048576,0),MATCH('Master - LTI Review'!D$4,'Raw Data'!$C$31:$AY$31,0)+1)/$I22,"N/A")</f>
        <v>N/A</v>
      </c>
      <c r="E22" s="150" t="str">
        <f>IFERROR(INDEX('Raw Data'!$B$53:$AY$1048576,MATCH('Master - LTI Review'!$A22,'Raw Data'!$B$53:$B$1048576,0),MATCH('Master - LTI Review'!E$4,'Raw Data'!$C$31:$AY$31,0)+1)/$I22,"N/A")</f>
        <v>N/A</v>
      </c>
      <c r="F22" s="150" t="str">
        <f>IFERROR(INDEX('Raw Data'!$B$53:$AY$1048576,MATCH('Master - LTI Review'!$A22,'Raw Data'!$B$53:$B$1048576,0),MATCH('Master - LTI Review'!F$4,'Raw Data'!$C$31:$AY$31,0)+1)/$I22,"N/A")</f>
        <v>N/A</v>
      </c>
      <c r="G22" s="150" t="str">
        <f>IFERROR(INDEX('Raw Data'!$B$53:$AY$1048576,MATCH('Master - LTI Review'!$A22,'Raw Data'!$B$53:$B$1048576,0),MATCH('Master - LTI Review'!G$4,'Raw Data'!$C$31:$AY$31,0)+1)/$I22,"N/A")</f>
        <v>N/A</v>
      </c>
      <c r="H22" s="151" t="str">
        <f>IFERROR(INDEX('Raw Data'!$B$53:$AY$1048576,MATCH('Master - LTI Review'!$A22,'Raw Data'!$B$53:$B$1048576,0),MATCH('Master - LTI Review'!H$4,'Raw Data'!$C$31:$AY$31,0)+1)/$I22,"N/A")</f>
        <v>N/A</v>
      </c>
      <c r="I22" t="str">
        <f>IFERROR(INDEX('Raw Data'!$B$53:$AY$1048576,MATCH('Master - LTI Review'!$A22,'Raw Data'!$B$53:$B$1048576,0),MATCH('Master - LTI Review'!I$4,'Raw Data'!$C$31:$AY$31,0)+1),"N/A")</f>
        <v>N/A</v>
      </c>
      <c r="J22" s="80">
        <f t="shared" si="1"/>
        <v>0</v>
      </c>
    </row>
    <row r="23" spans="1:10">
      <c r="A23" t="str">
        <f t="shared" si="0"/>
        <v>TSX:R_2018_</v>
      </c>
      <c r="B23" s="10" t="s">
        <v>100</v>
      </c>
      <c r="C23" s="149" t="str">
        <f>IFERROR(INDEX('Raw Data'!$B$53:$AY$1048576,MATCH('Master - LTI Review'!$A23,'Raw Data'!$B$53:$B$1048576,0),MATCH('Master - LTI Review'!C$4,'Raw Data'!$C$31:$AY$31,0)+1),"N/A")</f>
        <v>N/A</v>
      </c>
      <c r="D23" s="150" t="str">
        <f>IFERROR(INDEX('Raw Data'!$B$53:$AY$1048576,MATCH('Master - LTI Review'!$A23,'Raw Data'!$B$53:$B$1048576,0),MATCH('Master - LTI Review'!D$4,'Raw Data'!$C$31:$AY$31,0)+1)/$I23,"N/A")</f>
        <v>N/A</v>
      </c>
      <c r="E23" s="150" t="str">
        <f>IFERROR(INDEX('Raw Data'!$B$53:$AY$1048576,MATCH('Master - LTI Review'!$A23,'Raw Data'!$B$53:$B$1048576,0),MATCH('Master - LTI Review'!E$4,'Raw Data'!$C$31:$AY$31,0)+1)/$I23,"N/A")</f>
        <v>N/A</v>
      </c>
      <c r="F23" s="150" t="str">
        <f>IFERROR(INDEX('Raw Data'!$B$53:$AY$1048576,MATCH('Master - LTI Review'!$A23,'Raw Data'!$B$53:$B$1048576,0),MATCH('Master - LTI Review'!F$4,'Raw Data'!$C$31:$AY$31,0)+1)/$I23,"N/A")</f>
        <v>N/A</v>
      </c>
      <c r="G23" s="150" t="str">
        <f>IFERROR(INDEX('Raw Data'!$B$53:$AY$1048576,MATCH('Master - LTI Review'!$A23,'Raw Data'!$B$53:$B$1048576,0),MATCH('Master - LTI Review'!G$4,'Raw Data'!$C$31:$AY$31,0)+1)/$I23,"N/A")</f>
        <v>N/A</v>
      </c>
      <c r="H23" s="151" t="str">
        <f>IFERROR(INDEX('Raw Data'!$B$53:$AY$1048576,MATCH('Master - LTI Review'!$A23,'Raw Data'!$B$53:$B$1048576,0),MATCH('Master - LTI Review'!H$4,'Raw Data'!$C$31:$AY$31,0)+1)/$I23,"N/A")</f>
        <v>N/A</v>
      </c>
      <c r="I23" t="str">
        <f>IFERROR(INDEX('Raw Data'!$B$53:$AY$1048576,MATCH('Master - LTI Review'!$A23,'Raw Data'!$B$53:$B$1048576,0),MATCH('Master - LTI Review'!I$4,'Raw Data'!$C$31:$AY$31,0)+1),"N/A")</f>
        <v>N/A</v>
      </c>
      <c r="J23" s="80">
        <f t="shared" si="1"/>
        <v>0</v>
      </c>
    </row>
    <row r="24" spans="1:10">
      <c r="A24" t="str">
        <f t="shared" si="0"/>
        <v>TSX:S_2018_</v>
      </c>
      <c r="B24" s="10" t="s">
        <v>101</v>
      </c>
      <c r="C24" s="149" t="str">
        <f>IFERROR(INDEX('Raw Data'!$B$53:$AY$1048576,MATCH('Master - LTI Review'!$A24,'Raw Data'!$B$53:$B$1048576,0),MATCH('Master - LTI Review'!C$4,'Raw Data'!$C$31:$AY$31,0)+1),"N/A")</f>
        <v>N/A</v>
      </c>
      <c r="D24" s="150" t="str">
        <f>IFERROR(INDEX('Raw Data'!$B$53:$AY$1048576,MATCH('Master - LTI Review'!$A24,'Raw Data'!$B$53:$B$1048576,0),MATCH('Master - LTI Review'!D$4,'Raw Data'!$C$31:$AY$31,0)+1)/$I24,"N/A")</f>
        <v>N/A</v>
      </c>
      <c r="E24" s="150" t="str">
        <f>IFERROR(INDEX('Raw Data'!$B$53:$AY$1048576,MATCH('Master - LTI Review'!$A24,'Raw Data'!$B$53:$B$1048576,0),MATCH('Master - LTI Review'!E$4,'Raw Data'!$C$31:$AY$31,0)+1)/$I24,"N/A")</f>
        <v>N/A</v>
      </c>
      <c r="F24" s="150" t="str">
        <f>IFERROR(INDEX('Raw Data'!$B$53:$AY$1048576,MATCH('Master - LTI Review'!$A24,'Raw Data'!$B$53:$B$1048576,0),MATCH('Master - LTI Review'!F$4,'Raw Data'!$C$31:$AY$31,0)+1)/$I24,"N/A")</f>
        <v>N/A</v>
      </c>
      <c r="G24" s="150" t="str">
        <f>IFERROR(INDEX('Raw Data'!$B$53:$AY$1048576,MATCH('Master - LTI Review'!$A24,'Raw Data'!$B$53:$B$1048576,0),MATCH('Master - LTI Review'!G$4,'Raw Data'!$C$31:$AY$31,0)+1)/$I24,"N/A")</f>
        <v>N/A</v>
      </c>
      <c r="H24" s="151" t="str">
        <f>IFERROR(INDEX('Raw Data'!$B$53:$AY$1048576,MATCH('Master - LTI Review'!$A24,'Raw Data'!$B$53:$B$1048576,0),MATCH('Master - LTI Review'!H$4,'Raw Data'!$C$31:$AY$31,0)+1)/$I24,"N/A")</f>
        <v>N/A</v>
      </c>
      <c r="I24" t="str">
        <f>IFERROR(INDEX('Raw Data'!$B$53:$AY$1048576,MATCH('Master - LTI Review'!$A24,'Raw Data'!$B$53:$B$1048576,0),MATCH('Master - LTI Review'!I$4,'Raw Data'!$C$31:$AY$31,0)+1),"N/A")</f>
        <v>N/A</v>
      </c>
      <c r="J24" s="80">
        <f t="shared" si="1"/>
        <v>0</v>
      </c>
    </row>
    <row r="25" spans="1:10">
      <c r="A25" t="str">
        <f t="shared" si="0"/>
        <v>TSX:T_2018_</v>
      </c>
      <c r="B25" s="10" t="s">
        <v>102</v>
      </c>
      <c r="C25" s="149" t="str">
        <f>IFERROR(INDEX('Raw Data'!$B$53:$AY$1048576,MATCH('Master - LTI Review'!$A25,'Raw Data'!$B$53:$B$1048576,0),MATCH('Master - LTI Review'!C$4,'Raw Data'!$C$31:$AY$31,0)+1),"N/A")</f>
        <v>N/A</v>
      </c>
      <c r="D25" s="150" t="str">
        <f>IFERROR(INDEX('Raw Data'!$B$53:$AY$1048576,MATCH('Master - LTI Review'!$A25,'Raw Data'!$B$53:$B$1048576,0),MATCH('Master - LTI Review'!D$4,'Raw Data'!$C$31:$AY$31,0)+1)/$I25,"N/A")</f>
        <v>N/A</v>
      </c>
      <c r="E25" s="150" t="str">
        <f>IFERROR(INDEX('Raw Data'!$B$53:$AY$1048576,MATCH('Master - LTI Review'!$A25,'Raw Data'!$B$53:$B$1048576,0),MATCH('Master - LTI Review'!E$4,'Raw Data'!$C$31:$AY$31,0)+1)/$I25,"N/A")</f>
        <v>N/A</v>
      </c>
      <c r="F25" s="150" t="str">
        <f>IFERROR(INDEX('Raw Data'!$B$53:$AY$1048576,MATCH('Master - LTI Review'!$A25,'Raw Data'!$B$53:$B$1048576,0),MATCH('Master - LTI Review'!F$4,'Raw Data'!$C$31:$AY$31,0)+1)/$I25,"N/A")</f>
        <v>N/A</v>
      </c>
      <c r="G25" s="150" t="str">
        <f>IFERROR(INDEX('Raw Data'!$B$53:$AY$1048576,MATCH('Master - LTI Review'!$A25,'Raw Data'!$B$53:$B$1048576,0),MATCH('Master - LTI Review'!G$4,'Raw Data'!$C$31:$AY$31,0)+1)/$I25,"N/A")</f>
        <v>N/A</v>
      </c>
      <c r="H25" s="151" t="str">
        <f>IFERROR(INDEX('Raw Data'!$B$53:$AY$1048576,MATCH('Master - LTI Review'!$A25,'Raw Data'!$B$53:$B$1048576,0),MATCH('Master - LTI Review'!H$4,'Raw Data'!$C$31:$AY$31,0)+1)/$I25,"N/A")</f>
        <v>N/A</v>
      </c>
      <c r="I25" t="str">
        <f>IFERROR(INDEX('Raw Data'!$B$53:$AY$1048576,MATCH('Master - LTI Review'!$A25,'Raw Data'!$B$53:$B$1048576,0),MATCH('Master - LTI Review'!I$4,'Raw Data'!$C$31:$AY$31,0)+1),"N/A")</f>
        <v>N/A</v>
      </c>
      <c r="J25" s="80">
        <f t="shared" si="1"/>
        <v>0</v>
      </c>
    </row>
    <row r="26" spans="1:10" ht="8.15" customHeight="1">
      <c r="D26" s="87"/>
      <c r="E26" s="87"/>
      <c r="F26" s="87"/>
      <c r="G26" s="87"/>
      <c r="H26" s="87"/>
      <c r="J26" s="80"/>
    </row>
    <row r="27" spans="1:10">
      <c r="C27" s="112" t="s">
        <v>69</v>
      </c>
      <c r="D27" s="113">
        <f>+COUNTIF(D6:D25,"&gt;0")</f>
        <v>0</v>
      </c>
      <c r="E27" s="113">
        <f>+COUNTIF(E6:E25,"&gt;0")</f>
        <v>0</v>
      </c>
      <c r="F27" s="113">
        <f>+COUNTIF(F6:F25,"&gt;0")</f>
        <v>0</v>
      </c>
      <c r="G27" s="113">
        <f>+COUNTIF(G6:G25,"&gt;0")</f>
        <v>0</v>
      </c>
      <c r="H27" s="113">
        <f>+COUNTIF(H6:H25,"&gt;0")</f>
        <v>0</v>
      </c>
    </row>
    <row r="28" spans="1:10" ht="8.15" customHeight="1"/>
    <row r="29" spans="1:10">
      <c r="A29" t="str">
        <f>$B29&amp;"_"&amp;$D$2&amp;"_"&amp;$D$1</f>
        <v>TSX:RY_2018_</v>
      </c>
      <c r="B29" t="s">
        <v>103</v>
      </c>
      <c r="C29" s="154" t="str">
        <f>IFERROR(INDEX('Raw Data'!$B$53:$AY$1048576,MATCH('Master - LTI Review'!$A29,'Raw Data'!$B$53:$B$1048576,0),MATCH('Master - LTI Review'!C$4,'Raw Data'!$C$31:$AY$31,0)+1),"N/A")</f>
        <v>N/A</v>
      </c>
      <c r="D29" s="155" t="str">
        <f>IFERROR(INDEX('Raw Data'!$B$53:$AY$1048576,MATCH('Master - LTI Review'!$A29,'Raw Data'!$B$53:$B$1048576,0),MATCH('Master - LTI Review'!D$4,'Raw Data'!$C$31:$AY$31,0)+1)/$I29,"N/A")</f>
        <v>N/A</v>
      </c>
      <c r="E29" s="155" t="str">
        <f>IFERROR(INDEX('Raw Data'!$B$53:$AY$1048576,MATCH('Master - LTI Review'!$A29,'Raw Data'!$B$53:$B$1048576,0),MATCH('Master - LTI Review'!E$4,'Raw Data'!$C$31:$AY$31,0)+1)/$I29,"N/A")</f>
        <v>N/A</v>
      </c>
      <c r="F29" s="155" t="str">
        <f>IFERROR(INDEX('Raw Data'!$B$53:$AY$1048576,MATCH('Master - LTI Review'!$A29,'Raw Data'!$B$53:$B$1048576,0),MATCH('Master - LTI Review'!F$4,'Raw Data'!$C$31:$AY$31,0)+1)/$I29,"N/A")</f>
        <v>N/A</v>
      </c>
      <c r="G29" s="155" t="str">
        <f>IFERROR(INDEX('Raw Data'!$B$53:$AY$1048576,MATCH('Master - LTI Review'!$A29,'Raw Data'!$B$53:$B$1048576,0),MATCH('Master - LTI Review'!G$4,'Raw Data'!$C$31:$AY$31,0)+1)/$I29,"N/A")</f>
        <v>N/A</v>
      </c>
      <c r="H29" s="156" t="str">
        <f>IFERROR(INDEX('Raw Data'!$B$53:$AY$1048576,MATCH('Master - LTI Review'!$A29,'Raw Data'!$B$53:$B$1048576,0),MATCH('Master - LTI Review'!H$4,'Raw Data'!$C$31:$AY$31,0)+1)/$I29,"N/A")</f>
        <v>N/A</v>
      </c>
      <c r="I29" t="str">
        <f>IFERROR(INDEX('Raw Data'!$B$53:$AY$1048576,MATCH('Master - LTI Review'!$A29,'Raw Data'!$B$53:$B$1048576,0),MATCH('Master - LTI Review'!I$4,'Raw Data'!$C$31:$AY$31,0)+1),"N/A")</f>
        <v>N/A</v>
      </c>
      <c r="J29">
        <f>SUM(D29:H29)</f>
        <v>0</v>
      </c>
    </row>
  </sheetData>
  <mergeCells count="1">
    <mergeCell ref="C4:C5"/>
  </mergeCells>
  <conditionalFormatting sqref="C6:H26">
    <cfRule type="expression" dxfId="0" priority="1">
      <formula>MOD(ROW(),2)=1</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B2:B4"/>
  <sheetViews>
    <sheetView workbookViewId="0"/>
  </sheetViews>
  <sheetFormatPr defaultRowHeight="14.5"/>
  <sheetData>
    <row r="2" spans="2:2">
      <c r="B2" t="s">
        <v>72</v>
      </c>
    </row>
    <row r="3" spans="2:2">
      <c r="B3" t="s">
        <v>73</v>
      </c>
    </row>
    <row r="4" spans="2:2">
      <c r="B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15</vt:i4>
      </vt:variant>
    </vt:vector>
  </HeadingPairs>
  <TitlesOfParts>
    <vt:vector size="52" baseType="lpstr">
      <vt:lpstr>Instructions</vt:lpstr>
      <vt:lpstr>Import 2023 Data</vt:lpstr>
      <vt:lpstr>Pension Analysis</vt:lpstr>
      <vt:lpstr>Target Comp</vt:lpstr>
      <vt:lpstr>Raw Data</vt:lpstr>
      <vt:lpstr>Master - Summary</vt:lpstr>
      <vt:lpstr>Master - Charts</vt:lpstr>
      <vt:lpstr>TC Chart</vt:lpstr>
      <vt:lpstr>CEO</vt:lpstr>
      <vt:lpstr>CFO</vt:lpstr>
      <vt:lpstr>NEO3</vt:lpstr>
      <vt:lpstr>NEO4</vt:lpstr>
      <vt:lpstr>NEO5</vt:lpstr>
      <vt:lpstr>Legal</vt:lpstr>
      <vt:lpstr>COO</vt:lpstr>
      <vt:lpstr>Tech</vt:lpstr>
      <vt:lpstr>Region</vt:lpstr>
      <vt:lpstr>CEO - YoY</vt:lpstr>
      <vt:lpstr>CFO - YoY</vt:lpstr>
      <vt:lpstr>COO - YoY</vt:lpstr>
      <vt:lpstr>Legal - YoY</vt:lpstr>
      <vt:lpstr>SVP US</vt:lpstr>
      <vt:lpstr>SVP-Explo.</vt:lpstr>
      <vt:lpstr>CIQ_LinkingNames</vt:lpstr>
      <vt:lpstr>SVP Canada</vt:lpstr>
      <vt:lpstr>Cash vs Equity</vt:lpstr>
      <vt:lpstr>NEO5 - YoY</vt:lpstr>
      <vt:lpstr>CEO - Charts</vt:lpstr>
      <vt:lpstr>CFO - Charts</vt:lpstr>
      <vt:lpstr>NEO1 - Charts</vt:lpstr>
      <vt:lpstr>NEO3 - Charts</vt:lpstr>
      <vt:lpstr>NEO2 - Charts</vt:lpstr>
      <vt:lpstr>Footnotes</vt:lpstr>
      <vt:lpstr>Peer Group</vt:lpstr>
      <vt:lpstr>Sheet2</vt:lpstr>
      <vt:lpstr>Master - LTI Review</vt:lpstr>
      <vt:lpstr>Tab-Sort</vt:lpstr>
      <vt:lpstr>Instructions!_Hlk3298152</vt:lpstr>
      <vt:lpstr>Component</vt:lpstr>
      <vt:lpstr>Look_Up</vt:lpstr>
      <vt:lpstr>Look_Up2</vt:lpstr>
      <vt:lpstr>CEO!Print_Area</vt:lpstr>
      <vt:lpstr>CFO!Print_Area</vt:lpstr>
      <vt:lpstr>COO!Print_Area</vt:lpstr>
      <vt:lpstr>Legal!Print_Area</vt:lpstr>
      <vt:lpstr>'Master - Summary'!Print_Area</vt:lpstr>
      <vt:lpstr>'NEO3'!Print_Area</vt:lpstr>
      <vt:lpstr>'NEO4'!Print_Area</vt:lpstr>
      <vt:lpstr>'NEO5'!Print_Area</vt:lpstr>
      <vt:lpstr>Region!Print_Area</vt:lpstr>
      <vt:lpstr>Tech!Print_Area</vt:lpstr>
      <vt:lpstr>Raw_Data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Williams</dc:creator>
  <cp:lastModifiedBy>Solomon Coupal</cp:lastModifiedBy>
  <dcterms:created xsi:type="dcterms:W3CDTF">2014-07-18T15:33:41Z</dcterms:created>
  <dcterms:modified xsi:type="dcterms:W3CDTF">2025-11-14T22:27:02Z</dcterms:modified>
</cp:coreProperties>
</file>