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C:\Users\kgordon\Desktop\Utility Cost Calculator\"/>
    </mc:Choice>
  </mc:AlternateContent>
  <xr:revisionPtr revIDLastSave="0" documentId="13_ncr:1_{F6CDF5B4-08B4-45DA-B567-078DD61C7AEE}" xr6:coauthVersionLast="36" xr6:coauthVersionMax="36" xr10:uidLastSave="{00000000-0000-0000-0000-000000000000}"/>
  <workbookProtection lockStructure="1"/>
  <bookViews>
    <workbookView xWindow="0" yWindow="0" windowWidth="28800" windowHeight="1243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1" l="1"/>
  <c r="F22" i="1" s="1"/>
  <c r="F20" i="1"/>
  <c r="F9" i="1"/>
  <c r="F8" i="1"/>
  <c r="F6" i="1"/>
  <c r="F12" i="1" s="1"/>
  <c r="F19" i="1"/>
  <c r="F24" i="1" l="1"/>
  <c r="Q38" i="1"/>
  <c r="F10" i="1" s="1"/>
  <c r="T38" i="1" l="1"/>
  <c r="F21" i="1" s="1"/>
  <c r="T39" i="1"/>
  <c r="F23" i="1"/>
  <c r="S32" i="1"/>
  <c r="U32" i="1" s="1"/>
  <c r="S33" i="1"/>
  <c r="U33" i="1" s="1"/>
  <c r="S34" i="1"/>
  <c r="U34" i="1" s="1"/>
  <c r="S35" i="1"/>
  <c r="U35" i="1" s="1"/>
  <c r="Q39" i="1"/>
  <c r="F11" i="1"/>
  <c r="P35" i="1" l="1"/>
  <c r="Q35" i="1" s="1"/>
  <c r="P34" i="1" l="1"/>
  <c r="Q34" i="1" s="1"/>
  <c r="P33" i="1"/>
  <c r="Q33" i="1" s="1"/>
  <c r="P32" i="1"/>
  <c r="F7" i="1" s="1"/>
  <c r="Q32" i="1" l="1"/>
  <c r="F18" i="1" s="1"/>
  <c r="F13" i="1" l="1"/>
  <c r="F25" i="1"/>
</calcChain>
</file>

<file path=xl/sharedStrings.xml><?xml version="1.0" encoding="utf-8"?>
<sst xmlns="http://schemas.openxmlformats.org/spreadsheetml/2006/main" count="101" uniqueCount="64">
  <si>
    <t>Effective Date</t>
  </si>
  <si>
    <t>Next 95,000 Cubic ft</t>
  </si>
  <si>
    <t>Next 4,600 Cubic ft</t>
  </si>
  <si>
    <t>First 400 Cubic ft</t>
  </si>
  <si>
    <t>First 3,000 Gallons</t>
  </si>
  <si>
    <t>Next 34,500 Gallons</t>
  </si>
  <si>
    <t>Next 711,000 Gallons</t>
  </si>
  <si>
    <t>Meter Size</t>
  </si>
  <si>
    <t>Meter Size (Inches)</t>
  </si>
  <si>
    <t>Readiness to Serve Charges Per Month</t>
  </si>
  <si>
    <t>Cubic Feet</t>
  </si>
  <si>
    <t>Meter Service Cost</t>
  </si>
  <si>
    <t>Readiness to Serve Cost</t>
  </si>
  <si>
    <t>Gallons</t>
  </si>
  <si>
    <t>Beyond 748,500 Gallons</t>
  </si>
  <si>
    <t>Beyond 100,000 Cubic ft</t>
  </si>
  <si>
    <t>CCF Water Rates for the Active Year</t>
  </si>
  <si>
    <t>Active Year</t>
  </si>
  <si>
    <t>Treatment plant</t>
  </si>
  <si>
    <t>Collection system</t>
  </si>
  <si>
    <t>Subtotal</t>
  </si>
  <si>
    <t>Inside City Base Sewage Unit Rate Per Gallon</t>
  </si>
  <si>
    <t>Inside City Base Sewage Unit Rate Per 100 Cubic Feet</t>
  </si>
  <si>
    <t>Administrative charge</t>
  </si>
  <si>
    <t>Debt service charge</t>
  </si>
  <si>
    <t>Inside City Water Rate Per 100 Cubic Feet</t>
  </si>
  <si>
    <t>Inside City Water Rate Per Gallon</t>
  </si>
  <si>
    <t>Outside City Base Sewage Unit Rate Per 100 Cubic Feet</t>
  </si>
  <si>
    <t>Outside City Base Sewage Unit Rate Per Gallon</t>
  </si>
  <si>
    <t>Administrative Fee</t>
  </si>
  <si>
    <t>Total</t>
  </si>
  <si>
    <t>Sewage Cost (Cubic Ft)</t>
  </si>
  <si>
    <t>Sewage Cost (Gal)</t>
  </si>
  <si>
    <t>Gallon Water Rates for the Active Year
Inside / Outside</t>
  </si>
  <si>
    <t>Inside City</t>
  </si>
  <si>
    <t>Outside City</t>
  </si>
  <si>
    <t>Outside City Sewage Rates for the Active Year</t>
  </si>
  <si>
    <t>Inside City Sewage Rates for the Active Year</t>
  </si>
  <si>
    <t>Meter Service Charges Per Month</t>
  </si>
  <si>
    <t>Less Than 1</t>
  </si>
  <si>
    <t>Useful Links</t>
  </si>
  <si>
    <t>Chapter 937 (Sewer)</t>
  </si>
  <si>
    <t>Chapter 941 (Water)</t>
  </si>
  <si>
    <t>https://codelibrary.amlegal.com/codes/mansfield/latest/mansfield_oh/0-0-0-18734</t>
  </si>
  <si>
    <t>https://codelibrary.amlegal.com/codes/mansfield/latest/mansfield_oh/0-0-0-19000</t>
  </si>
  <si>
    <t>###</t>
  </si>
  <si>
    <t>Inputs</t>
  </si>
  <si>
    <t>Administrative Charges</t>
  </si>
  <si>
    <t>Usage</t>
  </si>
  <si>
    <t>Water Cost</t>
  </si>
  <si>
    <t>Debt Service Charge</t>
  </si>
  <si>
    <t>Sewage Cost</t>
  </si>
  <si>
    <t xml:space="preserve">To use the calculator(s) above, please select a year. To do so, click on the blue highlighted cell in the "Active Year" section above. Then, please click the down arrow to reveal a dropdown menu with a list of years, afterwards select the year you would like to calculate for. </t>
  </si>
  <si>
    <t xml:space="preserve">After the active year is selected, you may now input values into the "inside city" or "outside city" cost calculators. Please input values into the inside city calculator if you live within the city. If you do not live inside the city, please input values into the outside city calculator. </t>
  </si>
  <si>
    <t xml:space="preserve">You may input values into either cell corresponding to "Cubic Feet" or "Gallons." If you choose to input values into the cubic feet corresponding cell, please do not input anything inside of the gallons corresponding cell, and vice versa. The corresponding cells for both cubic feet and gallons are highlighted in blue. </t>
  </si>
  <si>
    <t>Only input Cubic Feet or 
Gallons, not both.</t>
  </si>
  <si>
    <t>Rollover</t>
  </si>
  <si>
    <t xml:space="preserve">Water and sewer utility bills are currently calculated by the nearest CCF (Usage) unit. Any amount of cubic feet or gallons that are lost or gained are rolled over for the next month. If your rollover cell is negative, your bill for next month will start at that negative number instead of zero. If your rollover cell is positive, your bill for next month will start at that positive number instead of zero. </t>
  </si>
  <si>
    <t>Inside City Cost Calculator</t>
  </si>
  <si>
    <t>Outside City Cost Calculator</t>
  </si>
  <si>
    <t xml:space="preserve">You may also change the meter size by clicking the corresponding blue highlighted cell to "Meter Size." After clicking, a down arrow will appear to the right of the cell that reveals a dropdown menu where you may select your meter size. </t>
  </si>
  <si>
    <t xml:space="preserve">A breakdown of your projected bill will appear on the right side of the calculator. This bill breaks down your water and sewer usage costs, meter service costs, fees, and more. Your projected grand total will be displayed in the red highlighted cell that corresponds to the "Total" cell. </t>
  </si>
  <si>
    <t>Questions / Suggestions</t>
  </si>
  <si>
    <t>Please email kgordon@ci.mansfield.oh.us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</si>
</sst>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
    <numFmt numFmtId="165" formatCode="&quot;$&quot;#,##0.000000"/>
    <numFmt numFmtId="166" formatCode="&quot;$&quot;#,##0.0000000"/>
  </numFmts>
  <fonts count="7" x14ac:knownFonts="1">
    <font>
      <sz val="11"/>
      <color theme="1"/>
      <name val="Calibri"/>
      <family val="2"/>
      <scheme val="minor"/>
    </font>
    <font>
      <sz val="11"/>
      <color rgb="FF3F3F76"/>
      <name val="Calibri"/>
      <family val="2"/>
      <scheme val="minor"/>
    </font>
    <font>
      <sz val="11"/>
      <name val="Calibri"/>
      <family val="2"/>
      <scheme val="minor"/>
    </font>
    <font>
      <sz val="10"/>
      <name val="Wingdings 3"/>
      <family val="1"/>
      <charset val="2"/>
    </font>
    <font>
      <sz val="11"/>
      <color rgb="FF212529"/>
      <name val="Calibri"/>
      <family val="2"/>
      <scheme val="minor"/>
    </font>
    <font>
      <u/>
      <sz val="11"/>
      <color theme="10"/>
      <name val="Calibri"/>
      <family val="2"/>
      <scheme val="minor"/>
    </font>
    <font>
      <sz val="11"/>
      <color theme="1"/>
      <name val="Wingdings 3"/>
      <family val="1"/>
      <charset val="2"/>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style="thin">
        <color rgb="FF7F7F7F"/>
      </bottom>
      <diagonal/>
    </border>
    <border>
      <left/>
      <right/>
      <top/>
      <bottom style="thin">
        <color rgb="FF7F7F7F"/>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right style="medium">
        <color indexed="64"/>
      </right>
      <top/>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rgb="FF7F7F7F"/>
      </bottom>
      <diagonal/>
    </border>
    <border>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7F7F7F"/>
      </bottom>
      <diagonal/>
    </border>
    <border>
      <left/>
      <right style="medium">
        <color indexed="64"/>
      </right>
      <top/>
      <bottom style="thin">
        <color rgb="FF7F7F7F"/>
      </bottom>
      <diagonal/>
    </border>
    <border>
      <left style="medium">
        <color indexed="64"/>
      </left>
      <right/>
      <top style="thin">
        <color rgb="FF7F7F7F"/>
      </top>
      <bottom style="thin">
        <color rgb="FF7F7F7F"/>
      </bottom>
      <diagonal/>
    </border>
    <border>
      <left/>
      <right style="medium">
        <color indexed="64"/>
      </right>
      <top style="thin">
        <color rgb="FF7F7F7F"/>
      </top>
      <bottom style="thin">
        <color rgb="FF7F7F7F"/>
      </bottom>
      <diagonal/>
    </border>
    <border>
      <left style="medium">
        <color indexed="64"/>
      </left>
      <right/>
      <top style="thin">
        <color rgb="FF7F7F7F"/>
      </top>
      <bottom style="medium">
        <color indexed="64"/>
      </bottom>
      <diagonal/>
    </border>
    <border>
      <left/>
      <right style="medium">
        <color indexed="64"/>
      </right>
      <top style="thin">
        <color rgb="FF7F7F7F"/>
      </top>
      <bottom style="medium">
        <color indexed="64"/>
      </bottom>
      <diagonal/>
    </border>
    <border>
      <left/>
      <right/>
      <top style="thin">
        <color rgb="FF7F7F7F"/>
      </top>
      <bottom style="medium">
        <color indexed="64"/>
      </bottom>
      <diagonal/>
    </border>
    <border>
      <left style="thin">
        <color rgb="FF7F7F7F"/>
      </left>
      <right/>
      <top style="thin">
        <color rgb="FF7F7F7F"/>
      </top>
      <bottom style="medium">
        <color indexed="64"/>
      </bottom>
      <diagonal/>
    </border>
    <border>
      <left style="thin">
        <color rgb="FF7F7F7F"/>
      </left>
      <right style="medium">
        <color indexed="64"/>
      </right>
      <top style="thin">
        <color rgb="FF7F7F7F"/>
      </top>
      <bottom/>
      <diagonal/>
    </border>
  </borders>
  <cellStyleXfs count="7">
    <xf numFmtId="0" fontId="0" fillId="0" borderId="0" applyNumberFormat="0" applyFont="0" applyAlignment="0"/>
    <xf numFmtId="0" fontId="1" fillId="2" borderId="1" applyNumberFormat="0" applyAlignment="0" applyProtection="0"/>
    <xf numFmtId="0" fontId="2" fillId="3" borderId="1" applyNumberFormat="0" applyFont="0" applyAlignment="0" applyProtection="0"/>
    <xf numFmtId="0" fontId="2" fillId="4" borderId="1" applyNumberFormat="0" applyFont="0" applyAlignment="0" applyProtection="0"/>
    <xf numFmtId="0" fontId="2" fillId="2" borderId="1" applyNumberFormat="0" applyFont="0" applyAlignment="0" applyProtection="0"/>
    <xf numFmtId="0" fontId="5" fillId="0" borderId="0" applyNumberFormat="0" applyFill="0" applyBorder="0" applyAlignment="0" applyProtection="0"/>
    <xf numFmtId="0" fontId="2" fillId="5" borderId="1" applyNumberFormat="0" applyFont="0" applyAlignment="0" applyProtection="0"/>
  </cellStyleXfs>
  <cellXfs count="171">
    <xf numFmtId="0" fontId="0" fillId="0" borderId="0" xfId="0"/>
    <xf numFmtId="0" fontId="0" fillId="0" borderId="0" xfId="0" applyBorder="1"/>
    <xf numFmtId="0" fontId="0" fillId="0" borderId="0" xfId="0" applyAlignment="1"/>
    <xf numFmtId="0" fontId="0" fillId="0" borderId="0" xfId="0" applyAlignment="1">
      <alignment horizontal="center"/>
    </xf>
    <xf numFmtId="0" fontId="2" fillId="0" borderId="0" xfId="0" applyFont="1" applyBorder="1"/>
    <xf numFmtId="0" fontId="2" fillId="0" borderId="0" xfId="0" applyFont="1"/>
    <xf numFmtId="0" fontId="2" fillId="0" borderId="0" xfId="0" applyFont="1" applyBorder="1" applyAlignment="1"/>
    <xf numFmtId="0" fontId="0" fillId="0" borderId="0" xfId="0"/>
    <xf numFmtId="0" fontId="0" fillId="0" borderId="0" xfId="0" applyFont="1"/>
    <xf numFmtId="0" fontId="0" fillId="0" borderId="0" xfId="0" applyFont="1" applyAlignment="1">
      <alignment horizontal="center"/>
    </xf>
    <xf numFmtId="14" fontId="0" fillId="4" borderId="0" xfId="3" applyNumberFormat="1" applyFont="1" applyBorder="1" applyAlignment="1">
      <alignment horizontal="center"/>
    </xf>
    <xf numFmtId="165" fontId="0" fillId="4" borderId="0" xfId="3" applyNumberFormat="1" applyFont="1" applyBorder="1" applyAlignment="1">
      <alignment horizontal="center"/>
    </xf>
    <xf numFmtId="0" fontId="2" fillId="4" borderId="9" xfId="3" applyFont="1" applyBorder="1"/>
    <xf numFmtId="14" fontId="2" fillId="4" borderId="1" xfId="3" applyNumberFormat="1" applyFont="1" applyBorder="1" applyAlignment="1">
      <alignment horizontal="center"/>
    </xf>
    <xf numFmtId="14" fontId="2" fillId="4" borderId="10" xfId="3" applyNumberFormat="1" applyFont="1" applyBorder="1" applyAlignment="1">
      <alignment horizontal="center"/>
    </xf>
    <xf numFmtId="0" fontId="2" fillId="0" borderId="7" xfId="0" applyFont="1" applyBorder="1"/>
    <xf numFmtId="164" fontId="2" fillId="0" borderId="0" xfId="0" applyNumberFormat="1" applyFont="1" applyBorder="1" applyAlignment="1">
      <alignment horizontal="center"/>
    </xf>
    <xf numFmtId="164" fontId="2" fillId="0" borderId="8" xfId="0" applyNumberFormat="1" applyFont="1" applyBorder="1" applyAlignment="1">
      <alignment horizontal="center"/>
    </xf>
    <xf numFmtId="164" fontId="2" fillId="4" borderId="1" xfId="3" applyNumberFormat="1" applyFont="1" applyBorder="1" applyAlignment="1">
      <alignment horizontal="center"/>
    </xf>
    <xf numFmtId="164" fontId="2" fillId="4" borderId="10" xfId="3" applyNumberFormat="1" applyFont="1" applyBorder="1" applyAlignment="1">
      <alignment horizontal="center"/>
    </xf>
    <xf numFmtId="0" fontId="2" fillId="4" borderId="11" xfId="3" applyFont="1" applyBorder="1"/>
    <xf numFmtId="164" fontId="2" fillId="4" borderId="12" xfId="3" applyNumberFormat="1" applyFont="1" applyBorder="1" applyAlignment="1">
      <alignment horizontal="center"/>
    </xf>
    <xf numFmtId="164" fontId="2" fillId="4" borderId="13" xfId="3" applyNumberFormat="1" applyFont="1" applyBorder="1" applyAlignment="1">
      <alignment horizontal="center"/>
    </xf>
    <xf numFmtId="165" fontId="2" fillId="0" borderId="0" xfId="0" applyNumberFormat="1" applyFont="1" applyBorder="1" applyAlignment="1">
      <alignment horizontal="center"/>
    </xf>
    <xf numFmtId="165" fontId="2" fillId="0" borderId="8" xfId="0" applyNumberFormat="1" applyFont="1" applyBorder="1" applyAlignment="1">
      <alignment horizontal="center"/>
    </xf>
    <xf numFmtId="165" fontId="2" fillId="4" borderId="1" xfId="3" applyNumberFormat="1" applyFont="1" applyBorder="1" applyAlignment="1">
      <alignment horizontal="center"/>
    </xf>
    <xf numFmtId="165" fontId="2" fillId="4" borderId="10" xfId="3" applyNumberFormat="1" applyFont="1" applyBorder="1" applyAlignment="1">
      <alignment horizontal="center"/>
    </xf>
    <xf numFmtId="165" fontId="2" fillId="4" borderId="12" xfId="3" applyNumberFormat="1" applyFont="1" applyBorder="1" applyAlignment="1">
      <alignment horizontal="center"/>
    </xf>
    <xf numFmtId="165" fontId="2" fillId="4" borderId="13" xfId="3" applyNumberFormat="1" applyFont="1" applyBorder="1" applyAlignment="1">
      <alignment horizontal="center"/>
    </xf>
    <xf numFmtId="0" fontId="2" fillId="0" borderId="14" xfId="0" applyFont="1" applyBorder="1"/>
    <xf numFmtId="165" fontId="2" fillId="0" borderId="15" xfId="0" applyNumberFormat="1" applyFont="1" applyBorder="1" applyAlignment="1">
      <alignment horizontal="center"/>
    </xf>
    <xf numFmtId="165" fontId="2" fillId="0" borderId="16" xfId="0" applyNumberFormat="1" applyFont="1" applyBorder="1" applyAlignment="1">
      <alignment horizontal="center"/>
    </xf>
    <xf numFmtId="164" fontId="2" fillId="0" borderId="15" xfId="0" applyNumberFormat="1" applyFont="1" applyBorder="1" applyAlignment="1">
      <alignment horizontal="center"/>
    </xf>
    <xf numFmtId="164" fontId="2" fillId="0" borderId="16" xfId="0" applyNumberFormat="1" applyFont="1" applyBorder="1" applyAlignment="1">
      <alignment horizontal="center"/>
    </xf>
    <xf numFmtId="0" fontId="0" fillId="0" borderId="7" xfId="0" applyBorder="1"/>
    <xf numFmtId="0" fontId="0" fillId="4" borderId="9" xfId="3" applyFont="1" applyBorder="1"/>
    <xf numFmtId="0" fontId="0" fillId="0" borderId="14" xfId="0" applyBorder="1"/>
    <xf numFmtId="14" fontId="0" fillId="4" borderId="1" xfId="3" applyNumberFormat="1" applyFont="1" applyBorder="1" applyAlignment="1">
      <alignment horizontal="center"/>
    </xf>
    <xf numFmtId="14" fontId="0" fillId="4" borderId="10" xfId="3" applyNumberFormat="1" applyFont="1" applyBorder="1" applyAlignment="1">
      <alignment horizontal="center"/>
    </xf>
    <xf numFmtId="0" fontId="0" fillId="0" borderId="7" xfId="0" applyFont="1" applyBorder="1"/>
    <xf numFmtId="0" fontId="0" fillId="0" borderId="14" xfId="0" applyFont="1" applyBorder="1"/>
    <xf numFmtId="165" fontId="0" fillId="0" borderId="0" xfId="0" applyNumberFormat="1" applyFont="1" applyBorder="1" applyAlignment="1">
      <alignment horizontal="center"/>
    </xf>
    <xf numFmtId="165" fontId="0" fillId="0" borderId="8" xfId="0" applyNumberFormat="1" applyFont="1" applyBorder="1" applyAlignment="1">
      <alignment horizontal="center"/>
    </xf>
    <xf numFmtId="165" fontId="0" fillId="0" borderId="15" xfId="0" applyNumberFormat="1" applyFont="1" applyBorder="1" applyAlignment="1">
      <alignment horizontal="center"/>
    </xf>
    <xf numFmtId="165" fontId="0" fillId="0" borderId="16" xfId="0" applyNumberFormat="1" applyFont="1" applyBorder="1" applyAlignment="1">
      <alignment horizontal="center"/>
    </xf>
    <xf numFmtId="0" fontId="2" fillId="0" borderId="7" xfId="0" applyFont="1" applyBorder="1" applyAlignment="1">
      <alignment horizontal="left" vertical="center"/>
    </xf>
    <xf numFmtId="0" fontId="2" fillId="4" borderId="9" xfId="3" applyNumberFormat="1" applyFont="1" applyBorder="1" applyAlignment="1">
      <alignment horizontal="left" vertical="center"/>
    </xf>
    <xf numFmtId="0" fontId="2" fillId="4" borderId="9" xfId="3" applyFont="1" applyBorder="1" applyAlignment="1">
      <alignment horizontal="left" vertical="center"/>
    </xf>
    <xf numFmtId="0" fontId="2" fillId="4" borderId="11" xfId="3" applyFont="1" applyBorder="1" applyAlignment="1">
      <alignment horizontal="left" vertical="center"/>
    </xf>
    <xf numFmtId="0" fontId="2" fillId="0" borderId="0" xfId="0" applyFont="1" applyBorder="1" applyAlignment="1">
      <alignment horizontal="left"/>
    </xf>
    <xf numFmtId="0" fontId="2" fillId="3" borderId="1" xfId="2" applyFont="1" applyBorder="1" applyAlignment="1">
      <alignment horizontal="center"/>
    </xf>
    <xf numFmtId="0" fontId="3" fillId="0" borderId="0" xfId="0" applyFont="1" applyBorder="1" applyAlignment="1">
      <alignment horizontal="center" vertical="center"/>
    </xf>
    <xf numFmtId="0" fontId="2" fillId="0" borderId="0" xfId="0" applyFont="1" applyFill="1" applyBorder="1" applyAlignment="1">
      <alignment horizontal="left"/>
    </xf>
    <xf numFmtId="0" fontId="2" fillId="0" borderId="0" xfId="0" applyFont="1" applyBorder="1" applyAlignment="1">
      <alignment horizontal="center"/>
    </xf>
    <xf numFmtId="164" fontId="0" fillId="4" borderId="10" xfId="3" applyNumberFormat="1" applyFont="1" applyBorder="1" applyAlignment="1">
      <alignment horizontal="center"/>
    </xf>
    <xf numFmtId="164" fontId="2" fillId="0" borderId="7" xfId="0" applyNumberFormat="1" applyFont="1" applyBorder="1" applyAlignment="1">
      <alignment horizontal="center" wrapText="1"/>
    </xf>
    <xf numFmtId="164" fontId="2" fillId="0" borderId="7" xfId="0" applyNumberFormat="1" applyFont="1" applyBorder="1" applyAlignment="1">
      <alignment horizontal="center"/>
    </xf>
    <xf numFmtId="164" fontId="2" fillId="0" borderId="14" xfId="0" applyNumberFormat="1" applyFont="1" applyBorder="1" applyAlignment="1">
      <alignment horizontal="center"/>
    </xf>
    <xf numFmtId="0" fontId="2" fillId="0" borderId="15" xfId="0" applyFont="1" applyBorder="1"/>
    <xf numFmtId="0" fontId="0" fillId="0" borderId="0" xfId="0" applyFont="1" applyAlignment="1"/>
    <xf numFmtId="0" fontId="4" fillId="0" borderId="7" xfId="0" applyFont="1" applyBorder="1" applyAlignment="1">
      <alignment horizontal="left" vertical="center" wrapText="1"/>
    </xf>
    <xf numFmtId="8" fontId="4" fillId="0" borderId="0" xfId="0" applyNumberFormat="1" applyFont="1" applyBorder="1" applyAlignment="1">
      <alignment horizontal="left" vertical="center" wrapText="1"/>
    </xf>
    <xf numFmtId="8" fontId="4" fillId="0" borderId="8" xfId="0" applyNumberFormat="1" applyFont="1" applyBorder="1" applyAlignment="1">
      <alignment horizontal="left" vertical="center" wrapText="1"/>
    </xf>
    <xf numFmtId="0" fontId="4" fillId="4" borderId="9" xfId="3" applyFont="1" applyBorder="1" applyAlignment="1">
      <alignment horizontal="left" vertical="center" wrapText="1"/>
    </xf>
    <xf numFmtId="8" fontId="4" fillId="4" borderId="1" xfId="3" applyNumberFormat="1" applyFont="1" applyBorder="1" applyAlignment="1">
      <alignment horizontal="left" vertical="center" wrapText="1"/>
    </xf>
    <xf numFmtId="8" fontId="4" fillId="4" borderId="10" xfId="3" applyNumberFormat="1" applyFont="1" applyBorder="1" applyAlignment="1">
      <alignment horizontal="left" vertical="center" wrapText="1"/>
    </xf>
    <xf numFmtId="0" fontId="4" fillId="4" borderId="11" xfId="3" applyFont="1" applyBorder="1" applyAlignment="1">
      <alignment horizontal="left" vertical="center" wrapText="1"/>
    </xf>
    <xf numFmtId="8" fontId="4" fillId="4" borderId="12" xfId="3" applyNumberFormat="1" applyFont="1" applyBorder="1" applyAlignment="1">
      <alignment horizontal="left" vertical="center" wrapText="1"/>
    </xf>
    <xf numFmtId="8" fontId="4" fillId="4" borderId="13" xfId="3" applyNumberFormat="1" applyFont="1" applyBorder="1" applyAlignment="1">
      <alignment horizontal="left" vertical="center" wrapText="1"/>
    </xf>
    <xf numFmtId="164" fontId="2" fillId="4" borderId="9" xfId="3" applyNumberFormat="1" applyFont="1" applyBorder="1" applyAlignment="1">
      <alignment horizontal="center"/>
    </xf>
    <xf numFmtId="0" fontId="0" fillId="4" borderId="11" xfId="3" applyFont="1" applyBorder="1"/>
    <xf numFmtId="0" fontId="6" fillId="0" borderId="0" xfId="0" applyFont="1" applyBorder="1" applyAlignment="1">
      <alignment horizontal="center"/>
    </xf>
    <xf numFmtId="0" fontId="0" fillId="4" borderId="7" xfId="3" applyFont="1" applyBorder="1"/>
    <xf numFmtId="14" fontId="0" fillId="4" borderId="8" xfId="3" applyNumberFormat="1" applyFont="1" applyBorder="1" applyAlignment="1">
      <alignment horizontal="center"/>
    </xf>
    <xf numFmtId="165" fontId="0" fillId="4" borderId="8" xfId="3" applyNumberFormat="1" applyFont="1" applyBorder="1" applyAlignment="1">
      <alignment horizontal="center"/>
    </xf>
    <xf numFmtId="0" fontId="0" fillId="0" borderId="0" xfId="0" applyBorder="1" applyAlignment="1"/>
    <xf numFmtId="0" fontId="0" fillId="0" borderId="15" xfId="0" applyBorder="1"/>
    <xf numFmtId="0" fontId="0" fillId="0" borderId="16" xfId="0" applyBorder="1"/>
    <xf numFmtId="1" fontId="2" fillId="3" borderId="1" xfId="2" applyNumberFormat="1" applyFont="1" applyBorder="1" applyAlignment="1">
      <alignment horizontal="center"/>
    </xf>
    <xf numFmtId="164" fontId="2" fillId="4" borderId="31" xfId="3" applyNumberFormat="1" applyFont="1" applyBorder="1" applyAlignment="1">
      <alignment horizontal="center"/>
    </xf>
    <xf numFmtId="164" fontId="2" fillId="5" borderId="10" xfId="6" applyNumberFormat="1" applyFont="1" applyBorder="1" applyAlignment="1">
      <alignment horizontal="center"/>
    </xf>
    <xf numFmtId="0" fontId="0" fillId="0" borderId="16" xfId="0" applyBorder="1" applyAlignment="1">
      <alignment horizontal="center"/>
    </xf>
    <xf numFmtId="0" fontId="0" fillId="4" borderId="10" xfId="3" applyFont="1" applyBorder="1" applyAlignment="1">
      <alignment horizontal="center"/>
    </xf>
    <xf numFmtId="0" fontId="0" fillId="0" borderId="0" xfId="0" applyFont="1" applyAlignment="1">
      <alignment vertical="center" wrapText="1"/>
    </xf>
    <xf numFmtId="0" fontId="0" fillId="0" borderId="7" xfId="0" applyFont="1" applyBorder="1" applyAlignment="1">
      <alignment wrapText="1"/>
    </xf>
    <xf numFmtId="0" fontId="0" fillId="0" borderId="0" xfId="0" applyFont="1" applyBorder="1" applyAlignment="1">
      <alignment wrapText="1"/>
    </xf>
    <xf numFmtId="0" fontId="0" fillId="2" borderId="1" xfId="4" applyFont="1" applyAlignment="1">
      <alignment horizontal="center" vertical="center" wrapText="1"/>
    </xf>
    <xf numFmtId="0" fontId="2" fillId="0" borderId="7"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3" borderId="4" xfId="2" applyFont="1" applyBorder="1" applyAlignment="1">
      <alignment horizontal="center"/>
    </xf>
    <xf numFmtId="0" fontId="2" fillId="3" borderId="5" xfId="2" applyFont="1" applyBorder="1" applyAlignment="1">
      <alignment horizontal="center"/>
    </xf>
    <xf numFmtId="0" fontId="2" fillId="3" borderId="6" xfId="2" applyFont="1" applyBorder="1" applyAlignment="1">
      <alignment horizontal="center"/>
    </xf>
    <xf numFmtId="14" fontId="2" fillId="3" borderId="27" xfId="2" applyNumberFormat="1" applyFont="1" applyBorder="1" applyAlignment="1">
      <alignment horizontal="center"/>
    </xf>
    <xf numFmtId="14" fontId="2" fillId="3" borderId="29" xfId="2" applyNumberFormat="1" applyFont="1" applyBorder="1" applyAlignment="1">
      <alignment horizontal="center"/>
    </xf>
    <xf numFmtId="14" fontId="2" fillId="3" borderId="28" xfId="2" applyNumberFormat="1" applyFont="1" applyBorder="1" applyAlignment="1">
      <alignment horizontal="center"/>
    </xf>
    <xf numFmtId="0" fontId="2" fillId="2" borderId="4" xfId="4" applyFont="1" applyBorder="1" applyAlignment="1">
      <alignment horizontal="center"/>
    </xf>
    <xf numFmtId="0" fontId="2" fillId="2" borderId="5" xfId="4" applyFont="1" applyBorder="1" applyAlignment="1">
      <alignment horizontal="center"/>
    </xf>
    <xf numFmtId="0" fontId="2" fillId="2" borderId="6" xfId="4" applyFont="1" applyBorder="1" applyAlignment="1">
      <alignment horizontal="center"/>
    </xf>
    <xf numFmtId="0" fontId="0" fillId="3" borderId="17" xfId="2" applyFont="1" applyBorder="1" applyAlignment="1">
      <alignment horizontal="center"/>
    </xf>
    <xf numFmtId="0" fontId="0" fillId="3" borderId="18" xfId="2" applyFont="1" applyBorder="1" applyAlignment="1">
      <alignment horizontal="center"/>
    </xf>
    <xf numFmtId="0" fontId="0" fillId="3" borderId="19" xfId="2" applyFont="1" applyBorder="1" applyAlignment="1">
      <alignment horizontal="center"/>
    </xf>
    <xf numFmtId="0" fontId="0" fillId="3" borderId="20" xfId="2" applyFont="1" applyBorder="1" applyAlignment="1">
      <alignment horizontal="center"/>
    </xf>
    <xf numFmtId="0" fontId="0" fillId="3" borderId="21" xfId="2" applyFont="1" applyBorder="1" applyAlignment="1">
      <alignment horizontal="center"/>
    </xf>
    <xf numFmtId="0" fontId="0" fillId="3" borderId="22" xfId="2" applyFont="1" applyBorder="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0" fontId="0" fillId="0" borderId="8" xfId="0" applyFont="1" applyBorder="1" applyAlignment="1">
      <alignment horizontal="center"/>
    </xf>
    <xf numFmtId="0" fontId="0" fillId="0" borderId="25" xfId="0" applyFont="1" applyBorder="1" applyAlignment="1">
      <alignment horizontal="center"/>
    </xf>
    <xf numFmtId="0" fontId="0" fillId="0" borderId="2" xfId="0" applyFont="1" applyBorder="1" applyAlignment="1">
      <alignment horizontal="center"/>
    </xf>
    <xf numFmtId="0" fontId="0" fillId="0" borderId="26" xfId="0" applyFont="1" applyBorder="1" applyAlignment="1">
      <alignment horizontal="center"/>
    </xf>
    <xf numFmtId="0" fontId="0" fillId="2" borderId="1" xfId="4" applyFont="1" applyAlignment="1">
      <alignment horizontal="center" vertical="top" wrapText="1"/>
    </xf>
    <xf numFmtId="0" fontId="2" fillId="2" borderId="17" xfId="4" applyFont="1" applyBorder="1" applyAlignment="1">
      <alignment horizontal="center"/>
    </xf>
    <xf numFmtId="0" fontId="2" fillId="2" borderId="18" xfId="4" applyFont="1" applyBorder="1" applyAlignment="1">
      <alignment horizontal="center"/>
    </xf>
    <xf numFmtId="0" fontId="2" fillId="2" borderId="19" xfId="4" applyFont="1" applyBorder="1" applyAlignment="1">
      <alignment horizontal="center"/>
    </xf>
    <xf numFmtId="0" fontId="2" fillId="0" borderId="25" xfId="0" applyFont="1" applyBorder="1" applyAlignment="1">
      <alignment horizontal="center"/>
    </xf>
    <xf numFmtId="0" fontId="2" fillId="0" borderId="2" xfId="0" applyFont="1" applyBorder="1" applyAlignment="1">
      <alignment horizontal="center"/>
    </xf>
    <xf numFmtId="0" fontId="2" fillId="0" borderId="26" xfId="0" applyFont="1" applyBorder="1" applyAlignment="1">
      <alignment horizontal="center"/>
    </xf>
    <xf numFmtId="0" fontId="2" fillId="3" borderId="4" xfId="2" applyFont="1" applyBorder="1" applyAlignment="1">
      <alignment horizontal="center" wrapText="1"/>
    </xf>
    <xf numFmtId="0" fontId="2" fillId="3" borderId="5" xfId="2" applyFont="1" applyBorder="1" applyAlignment="1">
      <alignment horizontal="center" wrapText="1"/>
    </xf>
    <xf numFmtId="0" fontId="2" fillId="3" borderId="6" xfId="2" applyFont="1" applyBorder="1" applyAlignment="1">
      <alignment horizontal="center" wrapText="1"/>
    </xf>
    <xf numFmtId="0" fontId="2" fillId="3" borderId="17" xfId="2" applyFont="1" applyBorder="1" applyAlignment="1">
      <alignment horizontal="center"/>
    </xf>
    <xf numFmtId="0" fontId="2" fillId="3" borderId="18" xfId="2" applyFont="1" applyBorder="1" applyAlignment="1">
      <alignment horizontal="center"/>
    </xf>
    <xf numFmtId="0" fontId="2" fillId="3" borderId="19" xfId="2" applyFont="1" applyBorder="1" applyAlignment="1">
      <alignment horizontal="center"/>
    </xf>
    <xf numFmtId="0" fontId="2" fillId="0" borderId="3" xfId="0" applyFont="1" applyBorder="1" applyAlignment="1">
      <alignment horizontal="center"/>
    </xf>
    <xf numFmtId="0" fontId="2" fillId="0" borderId="24" xfId="0" applyFont="1" applyBorder="1" applyAlignment="1">
      <alignment horizontal="center"/>
    </xf>
    <xf numFmtId="166" fontId="2" fillId="4" borderId="1" xfId="3" applyNumberFormat="1" applyFont="1" applyBorder="1" applyAlignment="1">
      <alignment horizontal="center"/>
    </xf>
    <xf numFmtId="166" fontId="2" fillId="4" borderId="10" xfId="3" applyNumberFormat="1" applyFont="1" applyBorder="1" applyAlignment="1">
      <alignment horizontal="center"/>
    </xf>
    <xf numFmtId="164" fontId="2" fillId="0" borderId="3" xfId="0" applyNumberFormat="1" applyFont="1" applyBorder="1" applyAlignment="1">
      <alignment horizontal="center" wrapText="1"/>
    </xf>
    <xf numFmtId="164" fontId="2" fillId="0" borderId="24" xfId="0" applyNumberFormat="1" applyFont="1" applyBorder="1" applyAlignment="1">
      <alignment horizontal="center" wrapText="1"/>
    </xf>
    <xf numFmtId="164" fontId="2" fillId="4" borderId="1" xfId="3" applyNumberFormat="1" applyFont="1" applyBorder="1" applyAlignment="1">
      <alignment horizontal="center" wrapText="1"/>
    </xf>
    <xf numFmtId="164" fontId="2" fillId="4" borderId="10" xfId="3" applyNumberFormat="1" applyFont="1" applyBorder="1" applyAlignment="1">
      <alignment horizontal="center" wrapText="1"/>
    </xf>
    <xf numFmtId="164" fontId="2" fillId="0" borderId="2" xfId="0" applyNumberFormat="1" applyFont="1" applyBorder="1" applyAlignment="1">
      <alignment horizontal="center"/>
    </xf>
    <xf numFmtId="164" fontId="2" fillId="0" borderId="26" xfId="0" applyNumberFormat="1" applyFont="1" applyBorder="1" applyAlignment="1">
      <alignment horizontal="center"/>
    </xf>
    <xf numFmtId="0" fontId="0" fillId="3" borderId="4" xfId="2" applyFont="1" applyBorder="1" applyAlignment="1">
      <alignment horizontal="center"/>
    </xf>
    <xf numFmtId="0" fontId="0" fillId="3" borderId="5" xfId="2" applyFont="1" applyBorder="1" applyAlignment="1">
      <alignment horizontal="center"/>
    </xf>
    <xf numFmtId="0" fontId="0" fillId="3" borderId="6" xfId="2" applyFont="1" applyBorder="1" applyAlignment="1">
      <alignment horizontal="center"/>
    </xf>
    <xf numFmtId="0" fontId="2" fillId="0" borderId="23" xfId="0" applyFont="1" applyBorder="1" applyAlignment="1">
      <alignment horizontal="center"/>
    </xf>
    <xf numFmtId="165" fontId="2" fillId="4" borderId="9" xfId="3" applyNumberFormat="1" applyFont="1" applyBorder="1" applyAlignment="1">
      <alignment horizontal="center"/>
    </xf>
    <xf numFmtId="165" fontId="2" fillId="4" borderId="1" xfId="3" applyNumberFormat="1" applyFont="1" applyBorder="1" applyAlignment="1">
      <alignment horizontal="center"/>
    </xf>
    <xf numFmtId="165" fontId="2" fillId="0" borderId="27" xfId="0" applyNumberFormat="1" applyFont="1" applyBorder="1" applyAlignment="1">
      <alignment horizontal="center"/>
    </xf>
    <xf numFmtId="165" fontId="2" fillId="0" borderId="29" xfId="0" applyNumberFormat="1" applyFont="1" applyBorder="1" applyAlignment="1">
      <alignment horizontal="center"/>
    </xf>
    <xf numFmtId="166" fontId="2" fillId="0" borderId="29" xfId="0" applyNumberFormat="1" applyFont="1" applyBorder="1" applyAlignment="1">
      <alignment horizontal="center"/>
    </xf>
    <xf numFmtId="166" fontId="2" fillId="0" borderId="28" xfId="0" applyNumberFormat="1" applyFont="1" applyBorder="1" applyAlignment="1">
      <alignment horizontal="center"/>
    </xf>
    <xf numFmtId="165" fontId="2" fillId="0" borderId="25" xfId="0" applyNumberFormat="1" applyFont="1" applyBorder="1" applyAlignment="1">
      <alignment horizontal="center"/>
    </xf>
    <xf numFmtId="165" fontId="2" fillId="0" borderId="2" xfId="0" applyNumberFormat="1" applyFont="1" applyBorder="1" applyAlignment="1">
      <alignment horizontal="center"/>
    </xf>
    <xf numFmtId="166" fontId="2" fillId="0" borderId="2" xfId="0" applyNumberFormat="1" applyFont="1" applyBorder="1" applyAlignment="1">
      <alignment horizontal="center"/>
    </xf>
    <xf numFmtId="166" fontId="2" fillId="0" borderId="26" xfId="0" applyNumberFormat="1" applyFont="1" applyBorder="1" applyAlignment="1">
      <alignment horizontal="center"/>
    </xf>
    <xf numFmtId="164" fontId="2" fillId="0" borderId="2" xfId="0" applyNumberFormat="1" applyFont="1" applyBorder="1" applyAlignment="1">
      <alignment horizontal="center" wrapText="1"/>
    </xf>
    <xf numFmtId="164" fontId="2" fillId="0" borderId="26" xfId="0" applyNumberFormat="1" applyFont="1" applyBorder="1" applyAlignment="1">
      <alignment horizontal="center" wrapText="1"/>
    </xf>
    <xf numFmtId="165" fontId="0" fillId="4" borderId="12" xfId="3" applyNumberFormat="1" applyFont="1" applyBorder="1" applyAlignment="1">
      <alignment horizontal="center"/>
    </xf>
    <xf numFmtId="165" fontId="0" fillId="4" borderId="13" xfId="3" applyNumberFormat="1" applyFont="1" applyBorder="1" applyAlignment="1">
      <alignment horizontal="center"/>
    </xf>
    <xf numFmtId="0" fontId="5" fillId="0" borderId="0" xfId="5" applyBorder="1"/>
    <xf numFmtId="0" fontId="5" fillId="0" borderId="8" xfId="5" applyBorder="1"/>
    <xf numFmtId="0" fontId="5" fillId="4" borderId="1" xfId="5" applyFill="1" applyBorder="1"/>
    <xf numFmtId="0" fontId="0" fillId="4" borderId="1" xfId="3" applyFont="1" applyBorder="1"/>
    <xf numFmtId="0" fontId="0" fillId="4" borderId="10" xfId="3" applyFont="1" applyBorder="1"/>
    <xf numFmtId="0" fontId="5" fillId="0" borderId="15" xfId="5" applyBorder="1"/>
    <xf numFmtId="0" fontId="0" fillId="0" borderId="15" xfId="0" applyBorder="1"/>
    <xf numFmtId="0" fontId="0" fillId="0" borderId="16" xfId="0" applyBorder="1"/>
    <xf numFmtId="164" fontId="2" fillId="0" borderId="29" xfId="0" applyNumberFormat="1" applyFont="1" applyBorder="1" applyAlignment="1">
      <alignment horizontal="center" wrapText="1"/>
    </xf>
    <xf numFmtId="164" fontId="2" fillId="0" borderId="28" xfId="0" applyNumberFormat="1" applyFont="1" applyBorder="1" applyAlignment="1">
      <alignment horizontal="center" wrapText="1"/>
    </xf>
    <xf numFmtId="0" fontId="0" fillId="0" borderId="2" xfId="0" applyBorder="1" applyAlignment="1">
      <alignment horizontal="center"/>
    </xf>
    <xf numFmtId="0" fontId="0" fillId="0" borderId="26" xfId="0" applyBorder="1" applyAlignment="1">
      <alignment horizontal="center"/>
    </xf>
    <xf numFmtId="0" fontId="0" fillId="4" borderId="30" xfId="3" applyFont="1" applyBorder="1" applyAlignment="1">
      <alignment horizontal="center"/>
    </xf>
    <xf numFmtId="0" fontId="0" fillId="4" borderId="29" xfId="3" applyFont="1" applyBorder="1" applyAlignment="1">
      <alignment horizontal="center"/>
    </xf>
    <xf numFmtId="0" fontId="0" fillId="4" borderId="28" xfId="3" applyFont="1" applyBorder="1" applyAlignment="1">
      <alignment horizontal="center"/>
    </xf>
    <xf numFmtId="0" fontId="0" fillId="2" borderId="9" xfId="4" applyFont="1" applyBorder="1" applyAlignment="1">
      <alignment horizontal="center" vertical="top" wrapText="1"/>
    </xf>
    <xf numFmtId="0" fontId="0" fillId="2" borderId="1" xfId="4" applyFont="1" applyBorder="1" applyAlignment="1">
      <alignment horizontal="center" vertical="top" wrapText="1"/>
    </xf>
    <xf numFmtId="0" fontId="0" fillId="2" borderId="11" xfId="4" applyFont="1" applyBorder="1" applyAlignment="1">
      <alignment horizontal="center" vertical="top" wrapText="1"/>
    </xf>
    <xf numFmtId="0" fontId="0" fillId="2" borderId="12" xfId="4" applyFont="1" applyBorder="1" applyAlignment="1">
      <alignment horizontal="center" vertical="top" wrapText="1"/>
    </xf>
  </cellXfs>
  <cellStyles count="7">
    <cellStyle name="Hyperlink" xfId="5" builtinId="8"/>
    <cellStyle name="Input" xfId="1" builtinId="20" customBuiltin="1"/>
    <cellStyle name="Kaleb - Light Blue" xfId="2" xr:uid="{FC5F636D-1A1A-458E-B632-A2C3F5293846}"/>
    <cellStyle name="Kaleb - Light Green" xfId="3" xr:uid="{967B15A5-721C-48A1-BED6-973D82BFB518}"/>
    <cellStyle name="Kaleb - Light Red" xfId="6" xr:uid="{1997E942-C749-45D5-B913-B86DC24C9E34}"/>
    <cellStyle name="Kaleb - Light Yellow" xfId="4" xr:uid="{F8A0D9D2-E95E-4CA8-B65E-E4D020F98259}"/>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gordon@ci.mansfield.oh.us" TargetMode="External"/><Relationship Id="rId2" Type="http://schemas.openxmlformats.org/officeDocument/2006/relationships/hyperlink" Target="https://codelibrary.amlegal.com/codes/mansfield/latest/mansfield_oh/0-0-0-19000" TargetMode="External"/><Relationship Id="rId1" Type="http://schemas.openxmlformats.org/officeDocument/2006/relationships/hyperlink" Target="https://codelibrary.amlegal.com/codes/mansfield/latest/mansfield_oh/0-0-0-18734"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G75"/>
  <sheetViews>
    <sheetView tabSelected="1" workbookViewId="0">
      <selection activeCell="B3" sqref="B3"/>
    </sheetView>
  </sheetViews>
  <sheetFormatPr defaultRowHeight="15" x14ac:dyDescent="0.25"/>
  <cols>
    <col min="1" max="1" width="3.140625" customWidth="1"/>
    <col min="2" max="2" width="17.7109375" bestFit="1" customWidth="1"/>
    <col min="3" max="3" width="15.7109375" customWidth="1"/>
    <col min="4" max="4" width="2.85546875" customWidth="1"/>
    <col min="5" max="5" width="26.5703125" bestFit="1" customWidth="1"/>
    <col min="6" max="6" width="15.7109375" customWidth="1"/>
    <col min="7" max="7" width="3.140625" customWidth="1"/>
    <col min="8" max="8" width="22.28515625" bestFit="1" customWidth="1"/>
    <col min="9" max="14" width="10.5703125" bestFit="1" customWidth="1"/>
    <col min="15" max="15" width="3.140625" style="1" customWidth="1"/>
    <col min="16" max="16" width="22.7109375" bestFit="1" customWidth="1"/>
    <col min="17" max="17" width="8.7109375" bestFit="1" customWidth="1"/>
    <col min="18" max="18" width="11.140625" customWidth="1"/>
    <col min="19" max="19" width="21.42578125" bestFit="1" customWidth="1"/>
    <col min="20" max="20" width="8.7109375" bestFit="1" customWidth="1"/>
    <col min="21" max="21" width="9" bestFit="1" customWidth="1"/>
    <col min="22" max="22" width="8.7109375" bestFit="1" customWidth="1"/>
    <col min="24" max="24" width="19.28515625" bestFit="1" customWidth="1"/>
    <col min="25" max="25" width="25.7109375" customWidth="1"/>
    <col min="26" max="26" width="3.42578125" customWidth="1"/>
    <col min="27" max="27" width="25.7109375" customWidth="1"/>
    <col min="28" max="28" width="19.28515625" customWidth="1"/>
  </cols>
  <sheetData>
    <row r="1" spans="2:85" ht="15.75" thickBot="1" x14ac:dyDescent="0.3"/>
    <row r="2" spans="2:85" ht="15" customHeight="1" x14ac:dyDescent="0.25">
      <c r="C2" s="112" t="s">
        <v>17</v>
      </c>
      <c r="D2" s="113"/>
      <c r="E2" s="114"/>
      <c r="H2" s="90" t="s">
        <v>25</v>
      </c>
      <c r="I2" s="91"/>
      <c r="J2" s="91"/>
      <c r="K2" s="91"/>
      <c r="L2" s="91"/>
      <c r="M2" s="91"/>
      <c r="N2" s="92"/>
      <c r="O2" s="4"/>
      <c r="P2" s="90" t="s">
        <v>38</v>
      </c>
      <c r="Q2" s="91"/>
      <c r="R2" s="91"/>
      <c r="S2" s="91"/>
      <c r="T2" s="91"/>
      <c r="U2" s="91"/>
      <c r="V2" s="92"/>
      <c r="W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row>
    <row r="3" spans="2:85" ht="15.75" thickBot="1" x14ac:dyDescent="0.3">
      <c r="B3" s="5"/>
      <c r="C3" s="93">
        <v>44927</v>
      </c>
      <c r="D3" s="94"/>
      <c r="E3" s="95"/>
      <c r="F3" s="5"/>
      <c r="H3" s="87" t="s">
        <v>0</v>
      </c>
      <c r="I3" s="88"/>
      <c r="J3" s="88"/>
      <c r="K3" s="88"/>
      <c r="L3" s="88"/>
      <c r="M3" s="88"/>
      <c r="N3" s="89"/>
      <c r="O3" s="4"/>
      <c r="P3" s="87" t="s">
        <v>0</v>
      </c>
      <c r="Q3" s="88"/>
      <c r="R3" s="88"/>
      <c r="S3" s="88"/>
      <c r="T3" s="88"/>
      <c r="U3" s="88"/>
      <c r="V3" s="89"/>
      <c r="W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row>
    <row r="4" spans="2:85" ht="15.75" thickBot="1" x14ac:dyDescent="0.3">
      <c r="B4" s="5"/>
      <c r="C4" s="5"/>
      <c r="D4" s="5"/>
      <c r="E4" s="5"/>
      <c r="F4" s="5"/>
      <c r="H4" s="12"/>
      <c r="I4" s="13">
        <v>44197</v>
      </c>
      <c r="J4" s="13">
        <v>44562</v>
      </c>
      <c r="K4" s="13">
        <v>44927</v>
      </c>
      <c r="L4" s="13">
        <v>45292</v>
      </c>
      <c r="M4" s="13">
        <v>45658</v>
      </c>
      <c r="N4" s="14">
        <v>46023</v>
      </c>
      <c r="O4" s="4"/>
      <c r="P4" s="12" t="s">
        <v>8</v>
      </c>
      <c r="Q4" s="13">
        <v>44197</v>
      </c>
      <c r="R4" s="13">
        <v>44562</v>
      </c>
      <c r="S4" s="13">
        <v>44927</v>
      </c>
      <c r="T4" s="13">
        <v>45292</v>
      </c>
      <c r="U4" s="13">
        <v>45658</v>
      </c>
      <c r="V4" s="14">
        <v>46023</v>
      </c>
      <c r="W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row>
    <row r="5" spans="2:85" x14ac:dyDescent="0.25">
      <c r="B5" s="96" t="s">
        <v>58</v>
      </c>
      <c r="C5" s="97"/>
      <c r="D5" s="97"/>
      <c r="E5" s="97"/>
      <c r="F5" s="98"/>
      <c r="H5" s="15" t="s">
        <v>3</v>
      </c>
      <c r="I5" s="16">
        <v>2.78</v>
      </c>
      <c r="J5" s="16">
        <v>2.86</v>
      </c>
      <c r="K5" s="16">
        <v>2.95</v>
      </c>
      <c r="L5" s="16">
        <v>3.04</v>
      </c>
      <c r="M5" s="16">
        <v>3.13</v>
      </c>
      <c r="N5" s="17">
        <v>3.22</v>
      </c>
      <c r="O5" s="4"/>
      <c r="P5" s="45" t="s">
        <v>39</v>
      </c>
      <c r="Q5" s="16">
        <v>3.3</v>
      </c>
      <c r="R5" s="16">
        <v>3.8</v>
      </c>
      <c r="S5" s="16">
        <v>4.37</v>
      </c>
      <c r="T5" s="16">
        <v>4.8099999999999996</v>
      </c>
      <c r="U5" s="16">
        <v>4.95</v>
      </c>
      <c r="V5" s="17">
        <v>5.0999999999999996</v>
      </c>
      <c r="W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row>
    <row r="6" spans="2:85" x14ac:dyDescent="0.25">
      <c r="B6" s="15" t="s">
        <v>10</v>
      </c>
      <c r="C6" s="78">
        <v>5500</v>
      </c>
      <c r="D6" s="4"/>
      <c r="E6" s="1" t="s">
        <v>48</v>
      </c>
      <c r="F6" s="82">
        <f>IF(ISBLANK(C6),ROUND(C7/748,0),ROUND(C6/100,0))</f>
        <v>55</v>
      </c>
      <c r="H6" s="12" t="s">
        <v>2</v>
      </c>
      <c r="I6" s="18">
        <v>3.14</v>
      </c>
      <c r="J6" s="18">
        <v>3.61</v>
      </c>
      <c r="K6" s="18">
        <v>4.1500000000000004</v>
      </c>
      <c r="L6" s="18">
        <v>4.57</v>
      </c>
      <c r="M6" s="18">
        <v>4.71</v>
      </c>
      <c r="N6" s="19">
        <v>4.8499999999999996</v>
      </c>
      <c r="O6" s="4"/>
      <c r="P6" s="46">
        <v>1.25</v>
      </c>
      <c r="Q6" s="18">
        <v>6.6</v>
      </c>
      <c r="R6" s="18">
        <v>7.59</v>
      </c>
      <c r="S6" s="18">
        <v>8.73</v>
      </c>
      <c r="T6" s="18">
        <v>9.6</v>
      </c>
      <c r="U6" s="18">
        <v>9.89</v>
      </c>
      <c r="V6" s="19">
        <v>10.19</v>
      </c>
      <c r="W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row>
    <row r="7" spans="2:85" x14ac:dyDescent="0.25">
      <c r="B7" s="15" t="s">
        <v>13</v>
      </c>
      <c r="C7" s="50"/>
      <c r="D7" s="4"/>
      <c r="E7" s="1" t="s">
        <v>49</v>
      </c>
      <c r="F7" s="19">
        <f>IF(F6&lt;=4,F6*P32,IF(AND(F6&gt;4,F6&lt;=50),(4*P32)+((F6-4)*P33),IF(AND(F6&gt;50,F6&lt;=1000),(4*P32)+(46*P33)+((F6-50)*P34),IF(F6&gt;1000,(4*P32)+(46*P33)+((950)*P34)+((F6-1000)*P35)))))</f>
        <v>225.3</v>
      </c>
      <c r="H7" s="15" t="s">
        <v>1</v>
      </c>
      <c r="I7" s="16">
        <v>3.42</v>
      </c>
      <c r="J7" s="16">
        <v>3.93</v>
      </c>
      <c r="K7" s="16">
        <v>4.5199999999999996</v>
      </c>
      <c r="L7" s="16">
        <v>4.97</v>
      </c>
      <c r="M7" s="16">
        <v>5.12</v>
      </c>
      <c r="N7" s="17">
        <v>5.27</v>
      </c>
      <c r="O7" s="4"/>
      <c r="P7" s="45">
        <v>1.5</v>
      </c>
      <c r="Q7" s="16">
        <v>6.6</v>
      </c>
      <c r="R7" s="16">
        <v>7.59</v>
      </c>
      <c r="S7" s="16">
        <v>8.73</v>
      </c>
      <c r="T7" s="16">
        <v>9.6</v>
      </c>
      <c r="U7" s="16">
        <v>9.89</v>
      </c>
      <c r="V7" s="17">
        <v>10.19</v>
      </c>
      <c r="W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row>
    <row r="8" spans="2:85" ht="15.75" thickBot="1" x14ac:dyDescent="0.3">
      <c r="B8" s="15" t="s">
        <v>7</v>
      </c>
      <c r="C8" s="50" t="s">
        <v>39</v>
      </c>
      <c r="D8" s="51"/>
      <c r="E8" s="49" t="s">
        <v>11</v>
      </c>
      <c r="F8" s="19">
        <f>VLOOKUP(C8,P4:V14,IF(C3=DATEVALUE("1/1/2021"),2,IF(C3=DATEVALUE("1/1/2022"),3,IF(C3=DATEVALUE("1/1/2023"),4,IF(C3=DATEVALUE("1/1/2024"),5,IF(C3=DATEVALUE("1/1/2025"),6,IF(C3=DATEVALUE("1/1/2026"),7)))))), FALSE)</f>
        <v>4.37</v>
      </c>
      <c r="H8" s="20" t="s">
        <v>15</v>
      </c>
      <c r="I8" s="21">
        <v>3</v>
      </c>
      <c r="J8" s="21">
        <v>3.45</v>
      </c>
      <c r="K8" s="21">
        <v>3.97</v>
      </c>
      <c r="L8" s="21">
        <v>4.37</v>
      </c>
      <c r="M8" s="21">
        <v>4.5</v>
      </c>
      <c r="N8" s="22">
        <v>4.6399999999999997</v>
      </c>
      <c r="O8" s="4"/>
      <c r="P8" s="47">
        <v>2</v>
      </c>
      <c r="Q8" s="18">
        <v>13.2</v>
      </c>
      <c r="R8" s="18">
        <v>15.18</v>
      </c>
      <c r="S8" s="18">
        <v>17.46</v>
      </c>
      <c r="T8" s="18">
        <v>19.21</v>
      </c>
      <c r="U8" s="18">
        <v>19.79</v>
      </c>
      <c r="V8" s="19">
        <v>20.38</v>
      </c>
      <c r="W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row>
    <row r="9" spans="2:85" ht="15.75" thickBot="1" x14ac:dyDescent="0.3">
      <c r="B9" s="34"/>
      <c r="C9" s="71"/>
      <c r="D9" s="51"/>
      <c r="E9" s="49" t="s">
        <v>12</v>
      </c>
      <c r="F9" s="19">
        <f>VLOOKUP(C8,P18:V28,IF(C3=DATEVALUE("1/1/2021"),2,IF(C3=DATEVALUE("1/1/2022"),3,IF(C3=DATEVALUE("1/1/2023"),4,IF(C3=DATEVALUE("1/1/2024"),5,IF(C3=DATEVALUE("1/1/2025"),6,IF(C3=DATEVALUE("1/1/2026"),7)))))), FALSE)</f>
        <v>10.93</v>
      </c>
      <c r="H9" s="5"/>
      <c r="I9" s="5"/>
      <c r="J9" s="5"/>
      <c r="K9" s="5"/>
      <c r="L9" s="5"/>
      <c r="M9" s="5"/>
      <c r="N9" s="5"/>
      <c r="O9" s="6"/>
      <c r="P9" s="45">
        <v>2.5</v>
      </c>
      <c r="Q9" s="16">
        <v>13.2</v>
      </c>
      <c r="R9" s="16">
        <v>15.18</v>
      </c>
      <c r="S9" s="16">
        <v>17.46</v>
      </c>
      <c r="T9" s="16">
        <v>19.21</v>
      </c>
      <c r="U9" s="16">
        <v>19.79</v>
      </c>
      <c r="V9" s="17">
        <v>20.38</v>
      </c>
      <c r="W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row>
    <row r="10" spans="2:85" x14ac:dyDescent="0.25">
      <c r="B10" s="34"/>
      <c r="C10" s="53"/>
      <c r="D10" s="4"/>
      <c r="E10" s="52" t="s">
        <v>51</v>
      </c>
      <c r="F10" s="54">
        <f>F6*Q38</f>
        <v>358.05</v>
      </c>
      <c r="H10" s="90" t="s">
        <v>26</v>
      </c>
      <c r="I10" s="91"/>
      <c r="J10" s="91"/>
      <c r="K10" s="91"/>
      <c r="L10" s="91"/>
      <c r="M10" s="91"/>
      <c r="N10" s="92"/>
      <c r="O10" s="4"/>
      <c r="P10" s="47">
        <v>3</v>
      </c>
      <c r="Q10" s="18">
        <v>27.5</v>
      </c>
      <c r="R10" s="18">
        <v>31.63</v>
      </c>
      <c r="S10" s="18">
        <v>36.369999999999997</v>
      </c>
      <c r="T10" s="18">
        <v>40.01</v>
      </c>
      <c r="U10" s="18">
        <v>41.21</v>
      </c>
      <c r="V10" s="19">
        <v>42.45</v>
      </c>
      <c r="W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row>
    <row r="11" spans="2:85" x14ac:dyDescent="0.25">
      <c r="B11" s="34"/>
      <c r="C11" s="1"/>
      <c r="D11" s="1"/>
      <c r="E11" s="4" t="s">
        <v>29</v>
      </c>
      <c r="F11" s="19">
        <f>VLOOKUP("Administrative Charge",H49:N50,IF(C3=DATEVALUE("1/1/2021"),2,IF(C3=DATEVALUE("1/1/2022"),3,IF(C3=DATEVALUE("1/1/2023"),4,IF(C3=DATEVALUE("1/1/2024"),5,IF(C3=DATEVALUE("1/1/2025"),6,IF(C3=DATEVALUE("1/1/2026"),7)))))))</f>
        <v>4.8600000000000003</v>
      </c>
      <c r="H11" s="87" t="s">
        <v>0</v>
      </c>
      <c r="I11" s="88"/>
      <c r="J11" s="88"/>
      <c r="K11" s="88"/>
      <c r="L11" s="88"/>
      <c r="M11" s="88"/>
      <c r="N11" s="89"/>
      <c r="O11" s="4"/>
      <c r="P11" s="45">
        <v>4</v>
      </c>
      <c r="Q11" s="16">
        <v>55</v>
      </c>
      <c r="R11" s="16">
        <v>63.25</v>
      </c>
      <c r="S11" s="16">
        <v>72.739999999999995</v>
      </c>
      <c r="T11" s="16">
        <v>80.010000000000005</v>
      </c>
      <c r="U11" s="16">
        <v>82.41</v>
      </c>
      <c r="V11" s="17">
        <v>84.88</v>
      </c>
      <c r="W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row>
    <row r="12" spans="2:85" x14ac:dyDescent="0.25">
      <c r="B12" s="84"/>
      <c r="C12" s="85"/>
      <c r="D12" s="1"/>
      <c r="E12" s="1" t="s">
        <v>56</v>
      </c>
      <c r="F12" s="82" t="str">
        <f>IF(ISBLANK(C6),(C7-(F6*748)&amp;" Gallons"),(C6-(F6*100))&amp;" Cubic Feet")</f>
        <v>0 Cubic Feet</v>
      </c>
      <c r="H12" s="12"/>
      <c r="I12" s="13">
        <v>44197</v>
      </c>
      <c r="J12" s="13">
        <v>44562</v>
      </c>
      <c r="K12" s="13">
        <v>44927</v>
      </c>
      <c r="L12" s="13">
        <v>45292</v>
      </c>
      <c r="M12" s="13">
        <v>45658</v>
      </c>
      <c r="N12" s="14">
        <v>46023</v>
      </c>
      <c r="O12" s="4"/>
      <c r="P12" s="47">
        <v>6</v>
      </c>
      <c r="Q12" s="18">
        <v>110</v>
      </c>
      <c r="R12" s="18">
        <v>126.5</v>
      </c>
      <c r="S12" s="18">
        <v>145.47999999999999</v>
      </c>
      <c r="T12" s="18">
        <v>160.03</v>
      </c>
      <c r="U12" s="18">
        <v>164.83</v>
      </c>
      <c r="V12" s="19">
        <v>169.77</v>
      </c>
      <c r="W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row>
    <row r="13" spans="2:85" x14ac:dyDescent="0.25">
      <c r="B13" s="167" t="s">
        <v>55</v>
      </c>
      <c r="C13" s="168"/>
      <c r="D13" s="1"/>
      <c r="E13" s="4" t="s">
        <v>30</v>
      </c>
      <c r="F13" s="80">
        <f>SUM(F7:F11)</f>
        <v>603.5100000000001</v>
      </c>
      <c r="H13" s="15" t="s">
        <v>4</v>
      </c>
      <c r="I13" s="23">
        <v>3.7169999999999998E-3</v>
      </c>
      <c r="J13" s="23">
        <v>3.8289999999999999E-3</v>
      </c>
      <c r="K13" s="23">
        <v>3.9439999999999996E-3</v>
      </c>
      <c r="L13" s="23">
        <v>4.0619999999999996E-3</v>
      </c>
      <c r="M13" s="23">
        <v>4.1840000000000002E-3</v>
      </c>
      <c r="N13" s="24">
        <v>4.3099999999999996E-3</v>
      </c>
      <c r="O13" s="4"/>
      <c r="P13" s="45">
        <v>8</v>
      </c>
      <c r="Q13" s="16">
        <v>165</v>
      </c>
      <c r="R13" s="16">
        <v>189.75</v>
      </c>
      <c r="S13" s="16">
        <v>218.21</v>
      </c>
      <c r="T13" s="16">
        <v>240.03</v>
      </c>
      <c r="U13" s="16">
        <v>247.23</v>
      </c>
      <c r="V13" s="17">
        <v>254.65</v>
      </c>
      <c r="W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row>
    <row r="14" spans="2:85" ht="15.75" thickBot="1" x14ac:dyDescent="0.3">
      <c r="B14" s="169"/>
      <c r="C14" s="170"/>
      <c r="D14" s="58"/>
      <c r="E14" s="76"/>
      <c r="F14" s="77"/>
      <c r="H14" s="12" t="s">
        <v>5</v>
      </c>
      <c r="I14" s="25">
        <v>4.1910000000000003E-3</v>
      </c>
      <c r="J14" s="25">
        <v>4.8199999999999996E-3</v>
      </c>
      <c r="K14" s="25">
        <v>5.5430000000000002E-3</v>
      </c>
      <c r="L14" s="25">
        <v>6.097E-3</v>
      </c>
      <c r="M14" s="25">
        <v>6.28E-3</v>
      </c>
      <c r="N14" s="26">
        <v>6.4679999999999998E-3</v>
      </c>
      <c r="O14" s="4"/>
      <c r="P14" s="48">
        <v>10</v>
      </c>
      <c r="Q14" s="21">
        <v>220</v>
      </c>
      <c r="R14" s="21">
        <v>253</v>
      </c>
      <c r="S14" s="21">
        <v>290.95</v>
      </c>
      <c r="T14" s="21">
        <v>320.05</v>
      </c>
      <c r="U14" s="21">
        <v>329.65</v>
      </c>
      <c r="V14" s="22">
        <v>339.54</v>
      </c>
      <c r="W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row>
    <row r="15" spans="2:85" ht="15.75" thickBot="1" x14ac:dyDescent="0.3">
      <c r="D15" s="1"/>
      <c r="H15" s="15" t="s">
        <v>6</v>
      </c>
      <c r="I15" s="23">
        <v>4.5729999999999998E-3</v>
      </c>
      <c r="J15" s="23">
        <v>5.2589999999999998E-3</v>
      </c>
      <c r="K15" s="23">
        <v>6.0480000000000004E-3</v>
      </c>
      <c r="L15" s="23">
        <v>6.6530000000000001E-3</v>
      </c>
      <c r="M15" s="23">
        <v>6.8529999999999997E-3</v>
      </c>
      <c r="N15" s="24">
        <v>7.0590000000000002E-3</v>
      </c>
      <c r="O15" s="4"/>
      <c r="P15" s="5"/>
      <c r="Q15" s="5"/>
      <c r="R15" s="5"/>
      <c r="S15" s="5"/>
      <c r="T15" s="5"/>
      <c r="U15" s="5"/>
      <c r="V15" s="5"/>
      <c r="W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row>
    <row r="16" spans="2:85" ht="15.75" thickBot="1" x14ac:dyDescent="0.3">
      <c r="B16" s="96" t="s">
        <v>59</v>
      </c>
      <c r="C16" s="97"/>
      <c r="D16" s="97"/>
      <c r="E16" s="97"/>
      <c r="F16" s="98"/>
      <c r="H16" s="20" t="s">
        <v>14</v>
      </c>
      <c r="I16" s="27">
        <v>4.0140000000000002E-3</v>
      </c>
      <c r="J16" s="27">
        <v>4.6160000000000003E-3</v>
      </c>
      <c r="K16" s="27">
        <v>5.3080000000000002E-3</v>
      </c>
      <c r="L16" s="27">
        <v>5.8389999999999996E-3</v>
      </c>
      <c r="M16" s="27">
        <v>6.0140000000000002E-3</v>
      </c>
      <c r="N16" s="28">
        <v>6.1939999999999999E-3</v>
      </c>
      <c r="O16" s="4"/>
      <c r="P16" s="121" t="s">
        <v>9</v>
      </c>
      <c r="Q16" s="122"/>
      <c r="R16" s="122"/>
      <c r="S16" s="122"/>
      <c r="T16" s="122"/>
      <c r="U16" s="122"/>
      <c r="V16" s="123"/>
      <c r="W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row>
    <row r="17" spans="2:85" ht="15.75" thickBot="1" x14ac:dyDescent="0.3">
      <c r="B17" s="15" t="s">
        <v>10</v>
      </c>
      <c r="C17" s="78"/>
      <c r="D17" s="4"/>
      <c r="E17" s="1" t="s">
        <v>48</v>
      </c>
      <c r="F17" s="82">
        <f>IF(ISBLANK(C17),ROUND(C18/748,0),ROUND(C17/100,0))</f>
        <v>0</v>
      </c>
      <c r="H17" s="5"/>
      <c r="I17" s="5"/>
      <c r="J17" s="5"/>
      <c r="K17" s="5"/>
      <c r="L17" s="5"/>
      <c r="M17" s="5"/>
      <c r="N17" s="5"/>
      <c r="O17" s="4"/>
      <c r="P17" s="115" t="s">
        <v>0</v>
      </c>
      <c r="Q17" s="116"/>
      <c r="R17" s="116"/>
      <c r="S17" s="116"/>
      <c r="T17" s="116"/>
      <c r="U17" s="116"/>
      <c r="V17" s="117"/>
      <c r="W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row>
    <row r="18" spans="2:85" x14ac:dyDescent="0.25">
      <c r="B18" s="15" t="s">
        <v>13</v>
      </c>
      <c r="C18" s="50"/>
      <c r="D18" s="4"/>
      <c r="E18" s="49" t="s">
        <v>49</v>
      </c>
      <c r="F18" s="19">
        <f>IF(F17&lt;=4,F17*Q32,IF(AND(F17&gt;4,F17&lt;=50),(4*Q32)+((F17-4)*Q33),IF(AND(F17&gt;50,F17&lt;=1000),(4*Q32)+(46*Q33)+((F17-50)*Q34),IF(F17&gt;1000,(4*Q32)+(46*Q33)+((950)*Q34)+((F17-1000)*Q35)))))</f>
        <v>0</v>
      </c>
      <c r="H18" s="90" t="s">
        <v>22</v>
      </c>
      <c r="I18" s="91"/>
      <c r="J18" s="91"/>
      <c r="K18" s="91"/>
      <c r="L18" s="91"/>
      <c r="M18" s="91"/>
      <c r="N18" s="92"/>
      <c r="O18" s="4"/>
      <c r="P18" s="12" t="s">
        <v>8</v>
      </c>
      <c r="Q18" s="13">
        <v>44197</v>
      </c>
      <c r="R18" s="13">
        <v>44562</v>
      </c>
      <c r="S18" s="13">
        <v>44927</v>
      </c>
      <c r="T18" s="13">
        <v>45292</v>
      </c>
      <c r="U18" s="13">
        <v>45658</v>
      </c>
      <c r="V18" s="14">
        <v>46023</v>
      </c>
      <c r="W18" s="5"/>
      <c r="AC18" s="5"/>
      <c r="AD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row>
    <row r="19" spans="2:85" x14ac:dyDescent="0.25">
      <c r="B19" s="15" t="s">
        <v>7</v>
      </c>
      <c r="C19" s="50">
        <v>1.5</v>
      </c>
      <c r="D19" s="51"/>
      <c r="E19" s="49" t="s">
        <v>11</v>
      </c>
      <c r="F19" s="19">
        <f>VLOOKUP(C19,P4:V14,IF(C3=DATEVALUE("1/1/2021"),2,IF(C3=DATEVALUE("1/1/2022"),3,IF(C3=DATEVALUE("1/1/2023"),4,IF(C3=DATEVALUE("1/1/2024"),5,IF(C3=DATEVALUE("1/1/2025"),6,IF(C3=DATEVALUE("1/1/2026"),7)))))), FALSE)</f>
        <v>8.73</v>
      </c>
      <c r="H19" s="87" t="s">
        <v>0</v>
      </c>
      <c r="I19" s="88"/>
      <c r="J19" s="88"/>
      <c r="K19" s="88"/>
      <c r="L19" s="88"/>
      <c r="M19" s="88"/>
      <c r="N19" s="89"/>
      <c r="O19" s="4"/>
      <c r="P19" s="45" t="s">
        <v>39</v>
      </c>
      <c r="Q19" s="16">
        <v>0</v>
      </c>
      <c r="R19" s="16">
        <v>0</v>
      </c>
      <c r="S19" s="16">
        <v>10.93</v>
      </c>
      <c r="T19" s="16">
        <v>12.03</v>
      </c>
      <c r="U19" s="16">
        <v>12.38</v>
      </c>
      <c r="V19" s="17">
        <v>12.75</v>
      </c>
      <c r="W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row>
    <row r="20" spans="2:85" x14ac:dyDescent="0.25">
      <c r="B20" s="34"/>
      <c r="C20" s="71" t="s">
        <v>45</v>
      </c>
      <c r="D20" s="51"/>
      <c r="E20" s="49" t="s">
        <v>12</v>
      </c>
      <c r="F20" s="19">
        <f>VLOOKUP(C19,P18:V28,IF(C3=DATEVALUE("1/1/2021"),2,IF(C3=DATEVALUE("1/1/2022"),3,IF(C3=DATEVALUE("1/1/2023"),4,IF(C3=DATEVALUE("1/1/2024"),5,IF(C3=DATEVALUE("1/1/2025"),6,IF(C3=DATEVALUE("1/1/2026"),7)))))), FALSE)</f>
        <v>21.83</v>
      </c>
      <c r="H20" s="12"/>
      <c r="I20" s="13">
        <v>44197</v>
      </c>
      <c r="J20" s="13">
        <v>44562</v>
      </c>
      <c r="K20" s="13">
        <v>44927</v>
      </c>
      <c r="L20" s="13">
        <v>45292</v>
      </c>
      <c r="M20" s="13">
        <v>45658</v>
      </c>
      <c r="N20" s="14">
        <v>46023</v>
      </c>
      <c r="O20" s="4"/>
      <c r="P20" s="46">
        <v>1.25</v>
      </c>
      <c r="Q20" s="18">
        <v>0</v>
      </c>
      <c r="R20" s="18">
        <v>0</v>
      </c>
      <c r="S20" s="18">
        <v>21.83</v>
      </c>
      <c r="T20" s="18">
        <v>24</v>
      </c>
      <c r="U20" s="18">
        <v>24.73</v>
      </c>
      <c r="V20" s="19">
        <v>25.48</v>
      </c>
      <c r="W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row>
    <row r="21" spans="2:85" x14ac:dyDescent="0.25">
      <c r="B21" s="34"/>
      <c r="C21" s="53" t="s">
        <v>46</v>
      </c>
      <c r="D21" s="4"/>
      <c r="E21" s="52" t="s">
        <v>51</v>
      </c>
      <c r="F21" s="54">
        <f>F17*T38</f>
        <v>0</v>
      </c>
      <c r="H21" s="15" t="s">
        <v>18</v>
      </c>
      <c r="I21" s="16">
        <v>4.05</v>
      </c>
      <c r="J21" s="16">
        <v>4.17</v>
      </c>
      <c r="K21" s="16">
        <v>4.3</v>
      </c>
      <c r="L21" s="16">
        <v>4.43</v>
      </c>
      <c r="M21" s="16">
        <v>4.5599999999999996</v>
      </c>
      <c r="N21" s="17">
        <v>4.7</v>
      </c>
      <c r="O21" s="4"/>
      <c r="P21" s="45">
        <v>1.5</v>
      </c>
      <c r="Q21" s="16">
        <v>0</v>
      </c>
      <c r="R21" s="16">
        <v>0</v>
      </c>
      <c r="S21" s="16">
        <v>21.83</v>
      </c>
      <c r="T21" s="16">
        <v>24</v>
      </c>
      <c r="U21" s="16">
        <v>24.73</v>
      </c>
      <c r="V21" s="17">
        <v>25.48</v>
      </c>
      <c r="W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row>
    <row r="22" spans="2:85" x14ac:dyDescent="0.25">
      <c r="B22" s="34"/>
      <c r="C22" s="53" t="s">
        <v>46</v>
      </c>
      <c r="D22" s="1"/>
      <c r="E22" s="52" t="s">
        <v>50</v>
      </c>
      <c r="F22" s="54">
        <f>F17*0.63</f>
        <v>0</v>
      </c>
      <c r="H22" s="12" t="s">
        <v>19</v>
      </c>
      <c r="I22" s="18">
        <v>2.09</v>
      </c>
      <c r="J22" s="18">
        <v>2.15</v>
      </c>
      <c r="K22" s="18">
        <v>2.21</v>
      </c>
      <c r="L22" s="18">
        <v>2.2799999999999998</v>
      </c>
      <c r="M22" s="18">
        <v>2.35</v>
      </c>
      <c r="N22" s="19">
        <v>2.42</v>
      </c>
      <c r="O22" s="4"/>
      <c r="P22" s="47">
        <v>2</v>
      </c>
      <c r="Q22" s="18">
        <v>0</v>
      </c>
      <c r="R22" s="18">
        <v>0</v>
      </c>
      <c r="S22" s="18">
        <v>43.65</v>
      </c>
      <c r="T22" s="18">
        <v>48.03</v>
      </c>
      <c r="U22" s="18">
        <v>49.48</v>
      </c>
      <c r="V22" s="19">
        <v>50.95</v>
      </c>
      <c r="W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row>
    <row r="23" spans="2:85" ht="15.75" thickBot="1" x14ac:dyDescent="0.3">
      <c r="B23" s="34"/>
      <c r="C23" s="1"/>
      <c r="D23" s="1"/>
      <c r="E23" s="4" t="s">
        <v>29</v>
      </c>
      <c r="F23" s="79">
        <f>VLOOKUP("Administrative Charge",H49:N50,IF(C3=DATEVALUE("1/1/2021"),2,IF(C3=DATEVALUE("1/1/2022"),3,IF(C3=DATEVALUE("1/1/2023"),4,IF(C3=DATEVALUE("1/1/2024"),5,IF(C3=DATEVALUE("1/1/2025"),6,IF(C3=DATEVALUE("1/1/2026"),7)))))))</f>
        <v>4.8600000000000003</v>
      </c>
      <c r="H23" s="29" t="s">
        <v>20</v>
      </c>
      <c r="I23" s="32">
        <v>6.14</v>
      </c>
      <c r="J23" s="32">
        <v>6.32</v>
      </c>
      <c r="K23" s="32">
        <v>6.51</v>
      </c>
      <c r="L23" s="32">
        <v>6.71</v>
      </c>
      <c r="M23" s="32">
        <v>6.91</v>
      </c>
      <c r="N23" s="33">
        <v>7.12</v>
      </c>
      <c r="O23" s="4"/>
      <c r="P23" s="45">
        <v>2.5</v>
      </c>
      <c r="Q23" s="16">
        <v>0</v>
      </c>
      <c r="R23" s="16">
        <v>0</v>
      </c>
      <c r="S23" s="16">
        <v>43.65</v>
      </c>
      <c r="T23" s="16">
        <v>48.03</v>
      </c>
      <c r="U23" s="16">
        <v>49.48</v>
      </c>
      <c r="V23" s="17">
        <v>50.95</v>
      </c>
      <c r="W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row>
    <row r="24" spans="2:85" ht="15" customHeight="1" thickBot="1" x14ac:dyDescent="0.3">
      <c r="B24" s="84"/>
      <c r="C24" s="85"/>
      <c r="D24" s="1"/>
      <c r="E24" s="1" t="s">
        <v>56</v>
      </c>
      <c r="F24" s="82" t="str">
        <f>IF(ISBLANK(C17),(C18-(F17*748)&amp;" Gallons"),(C17-(F17*100))&amp;" Cubic Feet")</f>
        <v>0 Gallons</v>
      </c>
      <c r="H24" s="5"/>
      <c r="I24" s="5"/>
      <c r="J24" s="5"/>
      <c r="K24" s="5"/>
      <c r="L24" s="5"/>
      <c r="M24" s="5"/>
      <c r="N24" s="5"/>
      <c r="O24" s="4"/>
      <c r="P24" s="47">
        <v>3</v>
      </c>
      <c r="Q24" s="18">
        <v>0</v>
      </c>
      <c r="R24" s="18">
        <v>0</v>
      </c>
      <c r="S24" s="18">
        <v>90.93</v>
      </c>
      <c r="T24" s="18">
        <v>100.03</v>
      </c>
      <c r="U24" s="18">
        <v>103.03</v>
      </c>
      <c r="V24" s="19">
        <v>106.13</v>
      </c>
      <c r="W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row>
    <row r="25" spans="2:85" x14ac:dyDescent="0.25">
      <c r="B25" s="167" t="s">
        <v>55</v>
      </c>
      <c r="C25" s="168"/>
      <c r="D25" s="4"/>
      <c r="E25" s="4" t="s">
        <v>30</v>
      </c>
      <c r="F25" s="80">
        <f>SUM(F18:F23)</f>
        <v>35.42</v>
      </c>
      <c r="H25" s="90" t="s">
        <v>21</v>
      </c>
      <c r="I25" s="91"/>
      <c r="J25" s="91"/>
      <c r="K25" s="91"/>
      <c r="L25" s="91"/>
      <c r="M25" s="91"/>
      <c r="N25" s="92"/>
      <c r="O25" s="4"/>
      <c r="P25" s="45">
        <v>4</v>
      </c>
      <c r="Q25" s="16">
        <v>0</v>
      </c>
      <c r="R25" s="16">
        <v>0</v>
      </c>
      <c r="S25" s="16">
        <v>181.85</v>
      </c>
      <c r="T25" s="16">
        <v>200.03</v>
      </c>
      <c r="U25" s="16">
        <v>206.03</v>
      </c>
      <c r="V25" s="17">
        <v>212.2</v>
      </c>
      <c r="W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row>
    <row r="26" spans="2:85" ht="15" customHeight="1" thickBot="1" x14ac:dyDescent="0.3">
      <c r="B26" s="169"/>
      <c r="C26" s="170"/>
      <c r="D26" s="76"/>
      <c r="E26" s="76"/>
      <c r="F26" s="81"/>
      <c r="H26" s="87" t="s">
        <v>0</v>
      </c>
      <c r="I26" s="88"/>
      <c r="J26" s="88"/>
      <c r="K26" s="88"/>
      <c r="L26" s="88"/>
      <c r="M26" s="88"/>
      <c r="N26" s="89"/>
      <c r="O26" s="4"/>
      <c r="P26" s="47">
        <v>6</v>
      </c>
      <c r="Q26" s="18">
        <v>0</v>
      </c>
      <c r="R26" s="18">
        <v>0</v>
      </c>
      <c r="S26" s="18">
        <v>363.7</v>
      </c>
      <c r="T26" s="18">
        <v>400.08</v>
      </c>
      <c r="U26" s="18">
        <v>412.08</v>
      </c>
      <c r="V26" s="19">
        <v>424.43</v>
      </c>
      <c r="W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row>
    <row r="27" spans="2:85" x14ac:dyDescent="0.25">
      <c r="B27" s="1"/>
      <c r="C27" s="1"/>
      <c r="D27" s="1"/>
      <c r="H27" s="12"/>
      <c r="I27" s="13">
        <v>44197</v>
      </c>
      <c r="J27" s="13">
        <v>44562</v>
      </c>
      <c r="K27" s="13">
        <v>44927</v>
      </c>
      <c r="L27" s="13">
        <v>45292</v>
      </c>
      <c r="M27" s="13">
        <v>45658</v>
      </c>
      <c r="N27" s="14">
        <v>46023</v>
      </c>
      <c r="O27" s="4"/>
      <c r="P27" s="45">
        <v>8</v>
      </c>
      <c r="Q27" s="16">
        <v>0</v>
      </c>
      <c r="R27" s="16">
        <v>0</v>
      </c>
      <c r="S27" s="16">
        <v>545.53</v>
      </c>
      <c r="T27" s="16">
        <v>600.08000000000004</v>
      </c>
      <c r="U27" s="16">
        <v>614.08000000000004</v>
      </c>
      <c r="V27" s="17">
        <v>636.63</v>
      </c>
      <c r="W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row>
    <row r="28" spans="2:85" ht="15.75" thickBot="1" x14ac:dyDescent="0.3">
      <c r="B28" s="111" t="s">
        <v>52</v>
      </c>
      <c r="C28" s="111"/>
      <c r="D28" s="111"/>
      <c r="E28" s="111"/>
      <c r="F28" s="111"/>
      <c r="H28" s="15" t="s">
        <v>18</v>
      </c>
      <c r="I28" s="23">
        <v>5.4180000000000001E-3</v>
      </c>
      <c r="J28" s="23">
        <v>5.581E-3</v>
      </c>
      <c r="K28" s="23">
        <v>5.7479999999999996E-3</v>
      </c>
      <c r="L28" s="23">
        <v>5.9199999999999999E-3</v>
      </c>
      <c r="M28" s="23">
        <v>6.0980000000000001E-3</v>
      </c>
      <c r="N28" s="24">
        <v>6.2810000000000001E-3</v>
      </c>
      <c r="O28" s="4"/>
      <c r="P28" s="48">
        <v>10</v>
      </c>
      <c r="Q28" s="21">
        <v>0</v>
      </c>
      <c r="R28" s="21">
        <v>0</v>
      </c>
      <c r="S28" s="21">
        <v>727.38</v>
      </c>
      <c r="T28" s="21">
        <v>800.13</v>
      </c>
      <c r="U28" s="21">
        <v>824.13</v>
      </c>
      <c r="V28" s="22">
        <v>848.85</v>
      </c>
      <c r="W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row>
    <row r="29" spans="2:85" ht="15" customHeight="1" thickBot="1" x14ac:dyDescent="0.3">
      <c r="B29" s="111"/>
      <c r="C29" s="111"/>
      <c r="D29" s="111"/>
      <c r="E29" s="111"/>
      <c r="F29" s="111"/>
      <c r="H29" s="12" t="s">
        <v>19</v>
      </c>
      <c r="I29" s="25">
        <v>2.794E-3</v>
      </c>
      <c r="J29" s="25">
        <v>2.8779999999999999E-3</v>
      </c>
      <c r="K29" s="25">
        <v>2.9640000000000001E-3</v>
      </c>
      <c r="L29" s="25">
        <v>3.0530000000000002E-3</v>
      </c>
      <c r="M29" s="25">
        <v>3.1449999999999998E-3</v>
      </c>
      <c r="N29" s="26">
        <v>3.2390000000000001E-3</v>
      </c>
      <c r="O29" s="4"/>
      <c r="P29" s="5"/>
      <c r="Q29" s="5"/>
      <c r="R29" s="5"/>
      <c r="S29" s="5"/>
      <c r="T29" s="5"/>
      <c r="U29" s="5"/>
      <c r="V29" s="5"/>
      <c r="W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row>
    <row r="30" spans="2:85" ht="15.75" thickBot="1" x14ac:dyDescent="0.3">
      <c r="B30" s="111"/>
      <c r="C30" s="111"/>
      <c r="D30" s="111"/>
      <c r="E30" s="111"/>
      <c r="F30" s="111"/>
      <c r="H30" s="29" t="s">
        <v>20</v>
      </c>
      <c r="I30" s="30">
        <v>8.2120000000000005E-3</v>
      </c>
      <c r="J30" s="30">
        <v>8.4589999999999995E-3</v>
      </c>
      <c r="K30" s="30">
        <v>8.7119999999999993E-3</v>
      </c>
      <c r="L30" s="30">
        <v>8.9730000000000001E-3</v>
      </c>
      <c r="M30" s="30">
        <v>9.2429999999999995E-3</v>
      </c>
      <c r="N30" s="31">
        <v>9.5200000000000007E-3</v>
      </c>
      <c r="O30" s="4"/>
      <c r="P30" s="118" t="s">
        <v>16</v>
      </c>
      <c r="Q30" s="119"/>
      <c r="R30" s="120"/>
      <c r="S30" s="118" t="s">
        <v>33</v>
      </c>
      <c r="T30" s="119"/>
      <c r="U30" s="119"/>
      <c r="V30" s="120"/>
      <c r="W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row>
    <row r="31" spans="2:85" ht="15.75" customHeight="1" thickBot="1" x14ac:dyDescent="0.3">
      <c r="B31" s="111"/>
      <c r="C31" s="111"/>
      <c r="D31" s="111"/>
      <c r="E31" s="111"/>
      <c r="F31" s="111"/>
      <c r="H31" s="5"/>
      <c r="I31" s="5"/>
      <c r="J31" s="5"/>
      <c r="K31" s="5"/>
      <c r="L31" s="5"/>
      <c r="M31" s="5"/>
      <c r="N31" s="5"/>
      <c r="O31" s="4"/>
      <c r="P31" s="55" t="s">
        <v>34</v>
      </c>
      <c r="Q31" s="128" t="s">
        <v>35</v>
      </c>
      <c r="R31" s="129"/>
      <c r="S31" s="137" t="s">
        <v>34</v>
      </c>
      <c r="T31" s="124"/>
      <c r="U31" s="124" t="s">
        <v>35</v>
      </c>
      <c r="V31" s="125"/>
      <c r="W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row>
    <row r="32" spans="2:85" ht="15" customHeight="1" x14ac:dyDescent="0.25">
      <c r="B32" s="7"/>
      <c r="C32" s="7"/>
      <c r="D32" s="7"/>
      <c r="E32" s="7"/>
      <c r="F32" s="7"/>
      <c r="H32" s="99" t="s">
        <v>27</v>
      </c>
      <c r="I32" s="100"/>
      <c r="J32" s="100"/>
      <c r="K32" s="100"/>
      <c r="L32" s="100"/>
      <c r="M32" s="100"/>
      <c r="N32" s="101"/>
      <c r="O32" s="4"/>
      <c r="P32" s="69">
        <f>VLOOKUP("First 400 Cubic ft",H4:N8,IF(C3=DATEVALUE("1/1/2021"),2,IF(C3=DATEVALUE("1/1/2022"),3,IF(C3=DATEVALUE("1/1/2023"),4,IF(C3=DATEVALUE("1/1/2024"),5,IF(C3=DATEVALUE("1/1/2025"),6,7))))))</f>
        <v>2.95</v>
      </c>
      <c r="Q32" s="130">
        <f>P32*2</f>
        <v>5.9</v>
      </c>
      <c r="R32" s="131"/>
      <c r="S32" s="138">
        <f>VLOOKUP("First 3,000 Gallons",H12:N16,IF(C3=DATEVALUE("1/1/2021"),2,IF(C3=DATEVALUE("1/1/2022"),3,IF(C3=DATEVALUE("1/1/2023"),4,IF(C3=DATEVALUE("1/1/2024"),5,IF(C3=DATEVALUE("1/1/2025"),6,IF(C3=DATEVALUE("1/1/2026"),7)))))))</f>
        <v>3.9439999999999996E-3</v>
      </c>
      <c r="T32" s="139"/>
      <c r="U32" s="126">
        <f>S32*2</f>
        <v>7.8879999999999992E-3</v>
      </c>
      <c r="V32" s="127"/>
      <c r="W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row>
    <row r="33" spans="2:85" ht="15" customHeight="1" x14ac:dyDescent="0.25">
      <c r="B33" s="86" t="s">
        <v>53</v>
      </c>
      <c r="C33" s="86"/>
      <c r="D33" s="86"/>
      <c r="E33" s="86"/>
      <c r="F33" s="86"/>
      <c r="H33" s="108" t="s">
        <v>0</v>
      </c>
      <c r="I33" s="109"/>
      <c r="J33" s="109"/>
      <c r="K33" s="109"/>
      <c r="L33" s="109"/>
      <c r="M33" s="109"/>
      <c r="N33" s="110"/>
      <c r="O33" s="4"/>
      <c r="P33" s="56">
        <f>VLOOKUP("Next 4,600 Cubic ft",H4:N8,IF(C3=DATEVALUE("1/1/2021"),2,IF(C3=DATEVALUE("1/1/2022"),3,IF(C3=DATEVALUE("1/1/2023"),4,IF(C3=DATEVALUE("1/1/2024"),5,IF(C3=DATEVALUE("1/1/2025"),6,7))))))</f>
        <v>4.1500000000000004</v>
      </c>
      <c r="Q33" s="148">
        <f t="shared" ref="Q33:Q35" si="0">P33*2</f>
        <v>8.3000000000000007</v>
      </c>
      <c r="R33" s="149"/>
      <c r="S33" s="144">
        <f>VLOOKUP("Next 34,500 Gallons",H12:N16,IF(C3=DATEVALUE("1/1/2021"),2,IF(C3=DATEVALUE("1/1/2022"),3,IF(C3=DATEVALUE("1/1/2023"),4,IF(C3=DATEVALUE("1/1/2024"),5,IF(C3=DATEVALUE("1/1/2025"),6,IF(C3=DATEVALUE("1/1/2026"),7)))))))</f>
        <v>5.5430000000000002E-3</v>
      </c>
      <c r="T33" s="145"/>
      <c r="U33" s="146">
        <f t="shared" ref="U33:U35" si="1">S33*2</f>
        <v>1.1086E-2</v>
      </c>
      <c r="V33" s="147"/>
      <c r="W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row>
    <row r="34" spans="2:85" x14ac:dyDescent="0.25">
      <c r="B34" s="86"/>
      <c r="C34" s="86"/>
      <c r="D34" s="86"/>
      <c r="E34" s="86"/>
      <c r="F34" s="86"/>
      <c r="H34" s="35"/>
      <c r="I34" s="37">
        <v>44197</v>
      </c>
      <c r="J34" s="37">
        <v>44562</v>
      </c>
      <c r="K34" s="37">
        <v>44927</v>
      </c>
      <c r="L34" s="37">
        <v>45292</v>
      </c>
      <c r="M34" s="37">
        <v>45658</v>
      </c>
      <c r="N34" s="38">
        <v>46023</v>
      </c>
      <c r="O34" s="4"/>
      <c r="P34" s="69">
        <f>VLOOKUP("Next 95,000 Cubic ft",H4:N8,IF(C3=DATEVALUE("1/1/2021"),2,IF(C3=DATEVALUE("1/1/2022"),3,IF(C3=DATEVALUE("1/1/2023"),4,IF(C3=DATEVALUE("1/1/2024"),5,IF(C3=DATEVALUE("1/1/2025"),6,7))))))</f>
        <v>4.5199999999999996</v>
      </c>
      <c r="Q34" s="130">
        <f t="shared" si="0"/>
        <v>9.0399999999999991</v>
      </c>
      <c r="R34" s="131"/>
      <c r="S34" s="138">
        <f>VLOOKUP("Next 711,000 Gallons",H12:N16,IF(C3=DATEVALUE("1/1/2021"),2,IF(C3=DATEVALUE("1/1/2022"),3,IF(C3=DATEVALUE("1/1/2023"),4,IF(C3=DATEVALUE("1/1/2024"),5,IF(C3=DATEVALUE("1/1/2025"),6,IF(C3=DATEVALUE("1/1/2026"),7)))))))</f>
        <v>6.0480000000000004E-3</v>
      </c>
      <c r="T34" s="139"/>
      <c r="U34" s="126">
        <f t="shared" si="1"/>
        <v>1.2096000000000001E-2</v>
      </c>
      <c r="V34" s="127"/>
      <c r="W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row>
    <row r="35" spans="2:85" ht="15.75" thickBot="1" x14ac:dyDescent="0.3">
      <c r="B35" s="86"/>
      <c r="C35" s="86"/>
      <c r="D35" s="86"/>
      <c r="E35" s="86"/>
      <c r="F35" s="86"/>
      <c r="H35" s="60" t="s">
        <v>18</v>
      </c>
      <c r="I35" s="61">
        <v>4.05</v>
      </c>
      <c r="J35" s="61">
        <v>4.17</v>
      </c>
      <c r="K35" s="61">
        <v>4.3</v>
      </c>
      <c r="L35" s="61">
        <v>4.43</v>
      </c>
      <c r="M35" s="61">
        <v>4.5599999999999996</v>
      </c>
      <c r="N35" s="62">
        <v>4.7</v>
      </c>
      <c r="O35" s="4"/>
      <c r="P35" s="57">
        <f>VLOOKUP("Beyond 100,000 Cubic ft",H5:N8,IF(C3=DATEVALUE("1/1/2021"),2,IF(C3=DATEVALUE("1/1/2022"),3,IF(C3=DATEVALUE("1/1/2023"),4,IF(C3=DATEVALUE("1/1/2024"),5,IF(C3=DATEVALUE("1/1/2025"),6,7))))), FALSE)</f>
        <v>3.97</v>
      </c>
      <c r="Q35" s="160">
        <f t="shared" si="0"/>
        <v>7.94</v>
      </c>
      <c r="R35" s="161"/>
      <c r="S35" s="140">
        <f>VLOOKUP("Beyond 748,500 Gallons",H12:N16,IF(C3=DATEVALUE("1/1/2021"),2,IF(C3=DATEVALUE("1/1/2022"),3,IF(C3=DATEVALUE("1/1/2023"),4,IF(C3=DATEVALUE("1/1/2024"),5,IF(C3=DATEVALUE("1/1/2025"),6,IF(C3=DATEVALUE("1/1/2026"),7)))))),FALSE )</f>
        <v>5.3080000000000002E-3</v>
      </c>
      <c r="T35" s="141"/>
      <c r="U35" s="142">
        <f t="shared" si="1"/>
        <v>1.0616E-2</v>
      </c>
      <c r="V35" s="143"/>
      <c r="W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row>
    <row r="36" spans="2:85" ht="15.75" thickBot="1" x14ac:dyDescent="0.3">
      <c r="B36" s="86"/>
      <c r="C36" s="86"/>
      <c r="D36" s="86"/>
      <c r="E36" s="86"/>
      <c r="F36" s="86"/>
      <c r="H36" s="63" t="s">
        <v>19</v>
      </c>
      <c r="I36" s="64">
        <v>0.98</v>
      </c>
      <c r="J36" s="64">
        <v>1.01</v>
      </c>
      <c r="K36" s="64">
        <v>1.04</v>
      </c>
      <c r="L36" s="64">
        <v>1.07</v>
      </c>
      <c r="M36" s="64">
        <v>1.1000000000000001</v>
      </c>
      <c r="N36" s="65">
        <v>1.1299999999999999</v>
      </c>
    </row>
    <row r="37" spans="2:85" ht="15" customHeight="1" x14ac:dyDescent="0.25">
      <c r="H37" s="60" t="s">
        <v>20</v>
      </c>
      <c r="I37" s="61">
        <v>5.03</v>
      </c>
      <c r="J37" s="61">
        <v>5.18</v>
      </c>
      <c r="K37" s="61">
        <v>5.34</v>
      </c>
      <c r="L37" s="61">
        <v>5.5</v>
      </c>
      <c r="M37" s="61">
        <v>5.66</v>
      </c>
      <c r="N37" s="62">
        <v>5.83</v>
      </c>
      <c r="P37" s="90" t="s">
        <v>37</v>
      </c>
      <c r="Q37" s="91"/>
      <c r="R37" s="92"/>
      <c r="S37" s="134" t="s">
        <v>36</v>
      </c>
      <c r="T37" s="135"/>
      <c r="U37" s="135"/>
      <c r="V37" s="136"/>
    </row>
    <row r="38" spans="2:85" ht="15.75" thickBot="1" x14ac:dyDescent="0.3">
      <c r="B38" s="86" t="s">
        <v>54</v>
      </c>
      <c r="C38" s="86"/>
      <c r="D38" s="86"/>
      <c r="E38" s="86"/>
      <c r="F38" s="86"/>
      <c r="H38" s="66" t="s">
        <v>24</v>
      </c>
      <c r="I38" s="67">
        <v>0.63</v>
      </c>
      <c r="J38" s="67">
        <v>0.63</v>
      </c>
      <c r="K38" s="67">
        <v>0.63</v>
      </c>
      <c r="L38" s="67">
        <v>0.63</v>
      </c>
      <c r="M38" s="67">
        <v>0.63</v>
      </c>
      <c r="N38" s="68">
        <v>0.63</v>
      </c>
      <c r="P38" s="15" t="s">
        <v>31</v>
      </c>
      <c r="Q38" s="132">
        <f>VLOOKUP("Subtotal", H23:N23, IF(C3=DATEVALUE("1/1/2021"),2,IF(C3=DATEVALUE("1/1/2022"),3,IF(C3=DATEVALUE("1/1/2023"),4,IF(C3=DATEVALUE("1/1/2024"),5,IF(C3=DATEVALUE("1/1/2025"),6,IF(C3=DATEVALUE("1/1/2026"),7)))))))</f>
        <v>6.51</v>
      </c>
      <c r="R38" s="133"/>
      <c r="S38" s="34" t="s">
        <v>31</v>
      </c>
      <c r="T38" s="162">
        <f>VLOOKUP("Subtotal", H37:N37, IF(C3=DATEVALUE("1/1/2021"),2,IF(C3=DATEVALUE("1/1/2022"),3,IF(C3=DATEVALUE("1/1/2023"),4,IF(C3=DATEVALUE("1/1/2024"),5,IF(C3=DATEVALUE("1/1/2025"),6,IF(C3=DATEVALUE("1/1/2026"),7)))))))</f>
        <v>5.34</v>
      </c>
      <c r="U38" s="162"/>
      <c r="V38" s="163"/>
    </row>
    <row r="39" spans="2:85" ht="15" customHeight="1" thickBot="1" x14ac:dyDescent="0.3">
      <c r="B39" s="86"/>
      <c r="C39" s="86"/>
      <c r="D39" s="86"/>
      <c r="E39" s="86"/>
      <c r="F39" s="86"/>
      <c r="P39" s="70" t="s">
        <v>32</v>
      </c>
      <c r="Q39" s="150">
        <f>VLOOKUP("Subtotal",H30:N30, IF(C3=DATEVALUE("1/1/2021"),2,IF(C3=DATEVALUE("1/1/2022"),3,IF(C3=DATEVALUE("1/1/2023"),4,IF(C3=DATEVALUE("1/1/2024"),5,IF(C3=DATEVALUE("1/1/2025"),6,IF(C3=DATEVALUE("1/1/2026"),7)))))))</f>
        <v>8.7119999999999993E-3</v>
      </c>
      <c r="R39" s="151"/>
      <c r="S39" s="70" t="s">
        <v>32</v>
      </c>
      <c r="T39" s="164">
        <f>VLOOKUP("Subtotal",H43:N45, IF(C3=DATEVALUE("1/1/2021"),2,IF(C3=DATEVALUE("1/1/2022"),3,IF(C3=DATEVALUE("1/1/2023"),4,IF(C3=DATEVALUE("1/1/2024"),5,IF(C3=DATEVALUE("1/1/2025"),6,IF(C3=DATEVALUE("1/1/2026"),7)))))))</f>
        <v>8.7119999999999993E-3</v>
      </c>
      <c r="U39" s="165"/>
      <c r="V39" s="166"/>
    </row>
    <row r="40" spans="2:85" ht="15.75" thickBot="1" x14ac:dyDescent="0.3">
      <c r="B40" s="86"/>
      <c r="C40" s="86"/>
      <c r="D40" s="86"/>
      <c r="E40" s="86"/>
      <c r="F40" s="86"/>
      <c r="H40" s="102" t="s">
        <v>28</v>
      </c>
      <c r="I40" s="103"/>
      <c r="J40" s="103"/>
      <c r="K40" s="103"/>
      <c r="L40" s="103"/>
      <c r="M40" s="103"/>
      <c r="N40" s="104"/>
    </row>
    <row r="41" spans="2:85" x14ac:dyDescent="0.25">
      <c r="B41" s="86"/>
      <c r="C41" s="86"/>
      <c r="D41" s="86"/>
      <c r="E41" s="86"/>
      <c r="F41" s="86"/>
      <c r="H41" s="105" t="s">
        <v>0</v>
      </c>
      <c r="I41" s="106"/>
      <c r="J41" s="106"/>
      <c r="K41" s="106"/>
      <c r="L41" s="106"/>
      <c r="M41" s="106"/>
      <c r="N41" s="107"/>
      <c r="P41" s="102" t="s">
        <v>40</v>
      </c>
      <c r="Q41" s="103"/>
      <c r="R41" s="103"/>
      <c r="S41" s="103"/>
      <c r="T41" s="103"/>
      <c r="U41" s="103"/>
      <c r="V41" s="104"/>
    </row>
    <row r="42" spans="2:85" x14ac:dyDescent="0.25">
      <c r="H42" s="72"/>
      <c r="I42" s="10">
        <v>44197</v>
      </c>
      <c r="J42" s="10">
        <v>44562</v>
      </c>
      <c r="K42" s="10">
        <v>44927</v>
      </c>
      <c r="L42" s="10">
        <v>45292</v>
      </c>
      <c r="M42" s="10">
        <v>45658</v>
      </c>
      <c r="N42" s="73">
        <v>46023</v>
      </c>
      <c r="P42" s="34" t="s">
        <v>41</v>
      </c>
      <c r="Q42" s="152" t="s">
        <v>43</v>
      </c>
      <c r="R42" s="152"/>
      <c r="S42" s="152"/>
      <c r="T42" s="152"/>
      <c r="U42" s="152"/>
      <c r="V42" s="153"/>
    </row>
    <row r="43" spans="2:85" ht="15" customHeight="1" x14ac:dyDescent="0.25">
      <c r="B43" s="86" t="s">
        <v>60</v>
      </c>
      <c r="C43" s="86"/>
      <c r="D43" s="86"/>
      <c r="E43" s="86"/>
      <c r="F43" s="86"/>
      <c r="H43" s="39" t="s">
        <v>18</v>
      </c>
      <c r="I43" s="41">
        <v>5.4180000000000001E-3</v>
      </c>
      <c r="J43" s="41">
        <v>5.581E-3</v>
      </c>
      <c r="K43" s="41">
        <v>5.7479999999999996E-3</v>
      </c>
      <c r="L43" s="41">
        <v>5.9199999999999999E-3</v>
      </c>
      <c r="M43" s="41">
        <v>6.0980000000000001E-3</v>
      </c>
      <c r="N43" s="42">
        <v>6.2810000000000001E-3</v>
      </c>
      <c r="P43" s="35" t="s">
        <v>42</v>
      </c>
      <c r="Q43" s="154" t="s">
        <v>44</v>
      </c>
      <c r="R43" s="155"/>
      <c r="S43" s="155"/>
      <c r="T43" s="155"/>
      <c r="U43" s="155"/>
      <c r="V43" s="156"/>
    </row>
    <row r="44" spans="2:85" ht="15.75" thickBot="1" x14ac:dyDescent="0.3">
      <c r="B44" s="86"/>
      <c r="C44" s="86"/>
      <c r="D44" s="86"/>
      <c r="E44" s="86"/>
      <c r="F44" s="86"/>
      <c r="H44" s="72" t="s">
        <v>19</v>
      </c>
      <c r="I44" s="11">
        <v>2.794E-3</v>
      </c>
      <c r="J44" s="11">
        <v>2.8779999999999999E-3</v>
      </c>
      <c r="K44" s="11">
        <v>2.9640000000000001E-3</v>
      </c>
      <c r="L44" s="11">
        <v>3.0530000000000002E-3</v>
      </c>
      <c r="M44" s="11">
        <v>3.1449999999999998E-3</v>
      </c>
      <c r="N44" s="74">
        <v>3.2390000000000001E-3</v>
      </c>
      <c r="P44" s="36" t="s">
        <v>62</v>
      </c>
      <c r="Q44" s="157" t="s">
        <v>63</v>
      </c>
      <c r="R44" s="158"/>
      <c r="S44" s="158"/>
      <c r="T44" s="158"/>
      <c r="U44" s="158"/>
      <c r="V44" s="159"/>
    </row>
    <row r="45" spans="2:85" ht="15.75" thickBot="1" x14ac:dyDescent="0.3">
      <c r="B45" s="86"/>
      <c r="C45" s="86"/>
      <c r="D45" s="86"/>
      <c r="E45" s="86"/>
      <c r="F45" s="86"/>
      <c r="H45" s="40" t="s">
        <v>20</v>
      </c>
      <c r="I45" s="43">
        <v>8.2120000000000005E-3</v>
      </c>
      <c r="J45" s="43">
        <v>8.4589999999999995E-3</v>
      </c>
      <c r="K45" s="43">
        <v>8.7119999999999993E-3</v>
      </c>
      <c r="L45" s="43">
        <v>8.9730000000000001E-3</v>
      </c>
      <c r="M45" s="43">
        <v>9.2429999999999995E-3</v>
      </c>
      <c r="N45" s="44">
        <v>9.5200000000000007E-3</v>
      </c>
      <c r="P45" s="2"/>
      <c r="Q45" s="2"/>
      <c r="R45" s="2"/>
      <c r="S45" s="2"/>
      <c r="T45" s="2"/>
      <c r="U45" s="2"/>
      <c r="V45" s="2"/>
    </row>
    <row r="46" spans="2:85" ht="15.75" thickBot="1" x14ac:dyDescent="0.3">
      <c r="B46" s="83"/>
      <c r="C46" s="83"/>
      <c r="D46" s="83"/>
      <c r="E46" s="83"/>
      <c r="F46" s="83"/>
      <c r="P46" s="7"/>
      <c r="Q46" s="2"/>
      <c r="R46" s="2"/>
      <c r="S46" s="2"/>
      <c r="T46" s="2"/>
      <c r="U46" s="2"/>
      <c r="V46" s="2"/>
    </row>
    <row r="47" spans="2:85" ht="15" customHeight="1" x14ac:dyDescent="0.25">
      <c r="B47" s="86" t="s">
        <v>57</v>
      </c>
      <c r="C47" s="86"/>
      <c r="D47" s="86"/>
      <c r="E47" s="86"/>
      <c r="F47" s="86"/>
      <c r="H47" s="90" t="s">
        <v>47</v>
      </c>
      <c r="I47" s="91"/>
      <c r="J47" s="91"/>
      <c r="K47" s="91"/>
      <c r="L47" s="91"/>
      <c r="M47" s="91"/>
      <c r="N47" s="92"/>
      <c r="P47" s="7"/>
      <c r="Q47" s="75"/>
      <c r="R47" s="75"/>
      <c r="S47" s="75"/>
      <c r="T47" s="75"/>
      <c r="U47" s="75"/>
      <c r="V47" s="75"/>
    </row>
    <row r="48" spans="2:85" x14ac:dyDescent="0.25">
      <c r="B48" s="86"/>
      <c r="C48" s="86"/>
      <c r="D48" s="86"/>
      <c r="E48" s="86"/>
      <c r="F48" s="86"/>
      <c r="H48" s="87" t="s">
        <v>0</v>
      </c>
      <c r="I48" s="88"/>
      <c r="J48" s="88"/>
      <c r="K48" s="88"/>
      <c r="L48" s="88"/>
      <c r="M48" s="88"/>
      <c r="N48" s="89"/>
      <c r="P48" s="7"/>
      <c r="Q48" s="7"/>
      <c r="R48" s="7"/>
      <c r="S48" s="7"/>
      <c r="T48" s="7"/>
      <c r="U48" s="7"/>
      <c r="V48" s="7"/>
    </row>
    <row r="49" spans="2:23" x14ac:dyDescent="0.25">
      <c r="B49" s="86"/>
      <c r="C49" s="86"/>
      <c r="D49" s="86"/>
      <c r="E49" s="86"/>
      <c r="F49" s="86"/>
      <c r="H49" s="12"/>
      <c r="I49" s="13">
        <v>44197</v>
      </c>
      <c r="J49" s="13">
        <v>44562</v>
      </c>
      <c r="K49" s="13">
        <v>44927</v>
      </c>
      <c r="L49" s="13">
        <v>45292</v>
      </c>
      <c r="M49" s="13">
        <v>45658</v>
      </c>
      <c r="N49" s="14">
        <v>46023</v>
      </c>
    </row>
    <row r="50" spans="2:23" ht="15.75" thickBot="1" x14ac:dyDescent="0.3">
      <c r="B50" s="86"/>
      <c r="C50" s="86"/>
      <c r="D50" s="86"/>
      <c r="E50" s="86"/>
      <c r="F50" s="86"/>
      <c r="H50" s="29" t="s">
        <v>23</v>
      </c>
      <c r="I50" s="32">
        <v>4.58</v>
      </c>
      <c r="J50" s="32">
        <v>4.72</v>
      </c>
      <c r="K50" s="32">
        <v>4.8600000000000003</v>
      </c>
      <c r="L50" s="32">
        <v>5.01</v>
      </c>
      <c r="M50" s="32">
        <v>5.16</v>
      </c>
      <c r="N50" s="33">
        <v>5.31</v>
      </c>
    </row>
    <row r="51" spans="2:23" x14ac:dyDescent="0.25">
      <c r="B51" s="86"/>
      <c r="C51" s="86"/>
      <c r="D51" s="86"/>
      <c r="E51" s="86"/>
      <c r="F51" s="86"/>
    </row>
    <row r="53" spans="2:23" x14ac:dyDescent="0.25">
      <c r="B53" s="86" t="s">
        <v>61</v>
      </c>
      <c r="C53" s="86"/>
      <c r="D53" s="86"/>
      <c r="E53" s="86"/>
      <c r="F53" s="86"/>
    </row>
    <row r="54" spans="2:23" x14ac:dyDescent="0.25">
      <c r="B54" s="86"/>
      <c r="C54" s="86"/>
      <c r="D54" s="86"/>
      <c r="E54" s="86"/>
      <c r="F54" s="86"/>
    </row>
    <row r="55" spans="2:23" x14ac:dyDescent="0.25">
      <c r="B55" s="86"/>
      <c r="C55" s="86"/>
      <c r="D55" s="86"/>
      <c r="E55" s="86"/>
      <c r="F55" s="86"/>
    </row>
    <row r="56" spans="2:23" x14ac:dyDescent="0.25">
      <c r="B56" s="86"/>
      <c r="C56" s="86"/>
      <c r="D56" s="86"/>
      <c r="E56" s="86"/>
      <c r="F56" s="86"/>
    </row>
    <row r="57" spans="2:23" x14ac:dyDescent="0.25">
      <c r="B57" s="86"/>
      <c r="C57" s="86"/>
      <c r="D57" s="86"/>
      <c r="E57" s="86"/>
      <c r="F57" s="86"/>
    </row>
    <row r="60" spans="2:23" x14ac:dyDescent="0.25">
      <c r="S60" s="2"/>
      <c r="T60" s="2"/>
      <c r="U60" s="2"/>
      <c r="V60" s="2"/>
      <c r="W60" s="2"/>
    </row>
    <row r="62" spans="2:23" x14ac:dyDescent="0.25">
      <c r="H62" s="59"/>
      <c r="I62" s="59"/>
    </row>
    <row r="63" spans="2:23" x14ac:dyDescent="0.25">
      <c r="I63" s="3"/>
    </row>
    <row r="64" spans="2:23" x14ac:dyDescent="0.25">
      <c r="H64" s="8"/>
      <c r="I64" s="9"/>
    </row>
    <row r="65" spans="9:23" x14ac:dyDescent="0.25">
      <c r="I65" s="3"/>
      <c r="Q65" s="2"/>
      <c r="R65" s="2"/>
      <c r="S65" s="2"/>
      <c r="T65" s="2"/>
      <c r="U65" s="2"/>
      <c r="V65" s="2"/>
      <c r="W65" s="2"/>
    </row>
    <row r="66" spans="9:23" x14ac:dyDescent="0.25">
      <c r="Q66" s="2"/>
      <c r="R66" s="2"/>
      <c r="S66" s="2"/>
      <c r="T66" s="2"/>
      <c r="U66" s="2"/>
      <c r="V66" s="2"/>
      <c r="W66" s="2"/>
    </row>
    <row r="67" spans="9:23" x14ac:dyDescent="0.25">
      <c r="Q67" s="2"/>
      <c r="R67" s="2"/>
      <c r="S67" s="2"/>
      <c r="T67" s="2"/>
      <c r="U67" s="2"/>
      <c r="V67" s="2"/>
      <c r="W67" s="2"/>
    </row>
    <row r="68" spans="9:23" x14ac:dyDescent="0.25">
      <c r="Q68" s="2"/>
      <c r="R68" s="2"/>
      <c r="S68" s="2"/>
      <c r="T68" s="2"/>
      <c r="U68" s="2"/>
      <c r="V68" s="2"/>
      <c r="W68" s="2"/>
    </row>
    <row r="69" spans="9:23" x14ac:dyDescent="0.25">
      <c r="Q69" s="2"/>
      <c r="R69" s="2"/>
      <c r="S69" s="2"/>
      <c r="T69" s="2"/>
      <c r="U69" s="2"/>
      <c r="V69" s="2"/>
      <c r="W69" s="2"/>
    </row>
    <row r="70" spans="9:23" x14ac:dyDescent="0.25">
      <c r="Q70" s="2"/>
      <c r="R70" s="2"/>
      <c r="S70" s="2"/>
      <c r="T70" s="2"/>
      <c r="U70" s="2"/>
      <c r="V70" s="2"/>
      <c r="W70" s="2"/>
    </row>
    <row r="71" spans="9:23" x14ac:dyDescent="0.25">
      <c r="Q71" s="2"/>
      <c r="R71" s="2"/>
      <c r="S71" s="2"/>
      <c r="T71" s="2"/>
      <c r="U71" s="2"/>
      <c r="V71" s="2"/>
      <c r="W71" s="2"/>
    </row>
    <row r="72" spans="9:23" x14ac:dyDescent="0.25">
      <c r="Q72" s="2"/>
      <c r="R72" s="2"/>
      <c r="S72" s="2"/>
      <c r="T72" s="2"/>
      <c r="U72" s="2"/>
      <c r="V72" s="2"/>
      <c r="W72" s="2"/>
    </row>
    <row r="73" spans="9:23" x14ac:dyDescent="0.25">
      <c r="Q73" s="2"/>
      <c r="R73" s="2"/>
      <c r="S73" s="2"/>
      <c r="T73" s="2"/>
      <c r="U73" s="2"/>
      <c r="V73" s="2"/>
      <c r="W73" s="2"/>
    </row>
    <row r="74" spans="9:23" x14ac:dyDescent="0.25">
      <c r="Q74" s="2"/>
      <c r="R74" s="2"/>
      <c r="S74" s="2"/>
      <c r="T74" s="2"/>
      <c r="U74" s="2"/>
      <c r="V74" s="2"/>
      <c r="W74" s="2"/>
    </row>
    <row r="75" spans="9:23" x14ac:dyDescent="0.25">
      <c r="Q75" s="2"/>
      <c r="R75" s="2"/>
      <c r="S75" s="2"/>
      <c r="T75" s="2"/>
      <c r="U75" s="2"/>
      <c r="V75" s="2"/>
      <c r="W75" s="2"/>
    </row>
  </sheetData>
  <protectedRanges>
    <protectedRange sqref="C17:C19" name="Outside City Calculator Inputs"/>
    <protectedRange sqref="C6:C8" name="Inside City Calculator Inputs"/>
    <protectedRange sqref="C3" name="Active Year"/>
  </protectedRanges>
  <dataConsolidate/>
  <mergeCells count="57">
    <mergeCell ref="B13:C14"/>
    <mergeCell ref="B47:F51"/>
    <mergeCell ref="B33:F36"/>
    <mergeCell ref="B38:F41"/>
    <mergeCell ref="Q39:R39"/>
    <mergeCell ref="Q42:V42"/>
    <mergeCell ref="Q43:V43"/>
    <mergeCell ref="Q44:V44"/>
    <mergeCell ref="Q34:R34"/>
    <mergeCell ref="Q35:R35"/>
    <mergeCell ref="P41:V41"/>
    <mergeCell ref="T38:V38"/>
    <mergeCell ref="T39:V39"/>
    <mergeCell ref="U31:V31"/>
    <mergeCell ref="U32:V32"/>
    <mergeCell ref="Q31:R31"/>
    <mergeCell ref="Q32:R32"/>
    <mergeCell ref="Q38:R38"/>
    <mergeCell ref="P37:R37"/>
    <mergeCell ref="S37:V37"/>
    <mergeCell ref="S31:T31"/>
    <mergeCell ref="S34:T34"/>
    <mergeCell ref="S35:T35"/>
    <mergeCell ref="U34:V34"/>
    <mergeCell ref="U35:V35"/>
    <mergeCell ref="S33:T33"/>
    <mergeCell ref="U33:V33"/>
    <mergeCell ref="S32:T32"/>
    <mergeCell ref="Q33:R33"/>
    <mergeCell ref="P17:V17"/>
    <mergeCell ref="P30:R30"/>
    <mergeCell ref="S30:V30"/>
    <mergeCell ref="P16:V16"/>
    <mergeCell ref="H26:N26"/>
    <mergeCell ref="H25:N25"/>
    <mergeCell ref="C2:E2"/>
    <mergeCell ref="P2:V2"/>
    <mergeCell ref="H2:N2"/>
    <mergeCell ref="H10:N10"/>
    <mergeCell ref="P3:V3"/>
    <mergeCell ref="H3:N3"/>
    <mergeCell ref="B53:F57"/>
    <mergeCell ref="H48:N48"/>
    <mergeCell ref="H47:N47"/>
    <mergeCell ref="H11:N11"/>
    <mergeCell ref="C3:E3"/>
    <mergeCell ref="B5:F5"/>
    <mergeCell ref="H19:N19"/>
    <mergeCell ref="H18:N18"/>
    <mergeCell ref="B16:F16"/>
    <mergeCell ref="H32:N32"/>
    <mergeCell ref="H40:N40"/>
    <mergeCell ref="H41:N41"/>
    <mergeCell ref="H33:N33"/>
    <mergeCell ref="B28:F31"/>
    <mergeCell ref="B43:F45"/>
    <mergeCell ref="B25:C26"/>
  </mergeCells>
  <dataValidations count="3">
    <dataValidation type="list" allowBlank="1" showInputMessage="1" showErrorMessage="1" sqref="C3" xr:uid="{00000000-0002-0000-0000-000000000000}">
      <formula1>$I$4:$N$4</formula1>
    </dataValidation>
    <dataValidation type="list" allowBlank="1" showInputMessage="1" showErrorMessage="1" sqref="C19 C8" xr:uid="{00000000-0002-0000-0000-000001000000}">
      <formula1>$P$5:$P$14</formula1>
    </dataValidation>
    <dataValidation type="whole" operator="lessThanOrEqual" allowBlank="1" showInputMessage="1" showErrorMessage="1" sqref="F17 F6" xr:uid="{D6B4021B-4234-43EE-BE72-527D381DFDE1}">
      <formula1>500</formula1>
    </dataValidation>
  </dataValidations>
  <hyperlinks>
    <hyperlink ref="Q42" r:id="rId1" xr:uid="{DCC59E33-E6E3-49A5-9054-72C75F92D97B}"/>
    <hyperlink ref="Q43" r:id="rId2" xr:uid="{96634D03-626F-4CC3-BB97-3B7CAD2E6293}"/>
    <hyperlink ref="Q44" r:id="rId3" display="kgordon@ci.mansfield.oh.us" xr:uid="{7E20AF7C-0C9E-47D5-BCA4-FFC109D82487}"/>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Kaleb</dc:creator>
  <cp:lastModifiedBy>Gordon, Kaleb</cp:lastModifiedBy>
  <cp:lastPrinted>2023-05-02T18:46:36Z</cp:lastPrinted>
  <dcterms:created xsi:type="dcterms:W3CDTF">2023-04-24T18:45:14Z</dcterms:created>
  <dcterms:modified xsi:type="dcterms:W3CDTF">2023-07-17T17:51:35Z</dcterms:modified>
</cp:coreProperties>
</file>