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ee\Downloads\"/>
    </mc:Choice>
  </mc:AlternateContent>
  <xr:revisionPtr revIDLastSave="0" documentId="13_ncr:1_{34D310C9-3B26-4052-913D-C4A28AE74E75}" xr6:coauthVersionLast="47" xr6:coauthVersionMax="47" xr10:uidLastSave="{00000000-0000-0000-0000-000000000000}"/>
  <bookViews>
    <workbookView xWindow="-98" yWindow="-98" windowWidth="20715" windowHeight="13276" xr2:uid="{080BBD79-7457-4FE4-AECC-EFB421933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6" i="1" l="1"/>
  <c r="E202" i="1"/>
  <c r="F202" i="1"/>
  <c r="G202" i="1"/>
  <c r="H202" i="1"/>
  <c r="D202" i="1"/>
  <c r="O87" i="1"/>
  <c r="N87" i="1"/>
  <c r="M87" i="1"/>
  <c r="L87" i="1"/>
  <c r="K87" i="1"/>
  <c r="J87" i="1"/>
  <c r="K103" i="1" l="1"/>
  <c r="N102" i="1"/>
  <c r="M102" i="1"/>
  <c r="O100" i="1"/>
  <c r="N100" i="1"/>
  <c r="M100" i="1"/>
  <c r="L100" i="1"/>
  <c r="K100" i="1"/>
  <c r="O99" i="1"/>
  <c r="O102" i="1" s="1"/>
  <c r="N99" i="1"/>
  <c r="M99" i="1"/>
  <c r="L99" i="1"/>
  <c r="L102" i="1" s="1"/>
  <c r="K99" i="1"/>
  <c r="K102" i="1" s="1"/>
  <c r="M95" i="1"/>
  <c r="L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O95" i="1" s="1"/>
  <c r="N91" i="1"/>
  <c r="N95" i="1" s="1"/>
  <c r="M91" i="1"/>
  <c r="L91" i="1"/>
  <c r="K91" i="1"/>
  <c r="K95" i="1" s="1"/>
  <c r="O86" i="1"/>
  <c r="N86" i="1"/>
  <c r="M86" i="1"/>
  <c r="L86" i="1"/>
  <c r="K86" i="1"/>
  <c r="O85" i="1"/>
  <c r="O82" i="1" s="1"/>
  <c r="N85" i="1"/>
  <c r="M85" i="1"/>
  <c r="L85" i="1"/>
  <c r="K85" i="1"/>
  <c r="O84" i="1"/>
  <c r="N84" i="1"/>
  <c r="M84" i="1"/>
  <c r="M82" i="1" s="1"/>
  <c r="M104" i="1" s="1"/>
  <c r="L84" i="1"/>
  <c r="K84" i="1"/>
  <c r="O83" i="1"/>
  <c r="N83" i="1"/>
  <c r="M83" i="1"/>
  <c r="L83" i="1"/>
  <c r="L82" i="1" s="1"/>
  <c r="K83" i="1"/>
  <c r="K82" i="1" s="1"/>
  <c r="N82" i="1"/>
  <c r="N104" i="1" s="1"/>
  <c r="O81" i="1"/>
  <c r="N81" i="1"/>
  <c r="M81" i="1"/>
  <c r="L81" i="1"/>
  <c r="K81" i="1"/>
  <c r="O80" i="1"/>
  <c r="N80" i="1"/>
  <c r="M80" i="1"/>
  <c r="L80" i="1"/>
  <c r="K80" i="1"/>
  <c r="J258" i="1"/>
  <c r="F264" i="1"/>
  <c r="G264" i="1"/>
  <c r="H264" i="1"/>
  <c r="I264" i="1"/>
  <c r="F263" i="1"/>
  <c r="G263" i="1"/>
  <c r="H263" i="1"/>
  <c r="I263" i="1"/>
  <c r="F262" i="1"/>
  <c r="G262" i="1"/>
  <c r="H262" i="1"/>
  <c r="I262" i="1"/>
  <c r="F261" i="1"/>
  <c r="G261" i="1"/>
  <c r="H261" i="1"/>
  <c r="I261" i="1"/>
  <c r="F258" i="1"/>
  <c r="G258" i="1"/>
  <c r="H258" i="1"/>
  <c r="I258" i="1"/>
  <c r="F256" i="1"/>
  <c r="G256" i="1"/>
  <c r="H256" i="1"/>
  <c r="I256" i="1"/>
  <c r="F254" i="1"/>
  <c r="G254" i="1"/>
  <c r="H254" i="1"/>
  <c r="I254" i="1"/>
  <c r="F253" i="1"/>
  <c r="G253" i="1"/>
  <c r="H253" i="1"/>
  <c r="I253" i="1"/>
  <c r="F252" i="1"/>
  <c r="G252" i="1"/>
  <c r="H252" i="1"/>
  <c r="I252" i="1"/>
  <c r="F249" i="1"/>
  <c r="F250" i="1" s="1"/>
  <c r="G249" i="1"/>
  <c r="G250" i="1" s="1"/>
  <c r="H249" i="1"/>
  <c r="H250" i="1" s="1"/>
  <c r="I249" i="1"/>
  <c r="I250" i="1" s="1"/>
  <c r="F247" i="1"/>
  <c r="F248" i="1" s="1"/>
  <c r="G247" i="1"/>
  <c r="G248" i="1" s="1"/>
  <c r="H247" i="1"/>
  <c r="H248" i="1" s="1"/>
  <c r="I247" i="1"/>
  <c r="I248" i="1" s="1"/>
  <c r="F245" i="1"/>
  <c r="F246" i="1" s="1"/>
  <c r="F251" i="1" s="1"/>
  <c r="G245" i="1"/>
  <c r="G246" i="1" s="1"/>
  <c r="G251" i="1" s="1"/>
  <c r="H245" i="1"/>
  <c r="H246" i="1" s="1"/>
  <c r="H251" i="1" s="1"/>
  <c r="I245" i="1"/>
  <c r="I246" i="1" s="1"/>
  <c r="I251" i="1" s="1"/>
  <c r="F243" i="1"/>
  <c r="G243" i="1"/>
  <c r="H243" i="1"/>
  <c r="I243" i="1"/>
  <c r="F242" i="1"/>
  <c r="G242" i="1"/>
  <c r="H242" i="1"/>
  <c r="I242" i="1"/>
  <c r="F241" i="1"/>
  <c r="G241" i="1"/>
  <c r="H241" i="1"/>
  <c r="I241" i="1"/>
  <c r="E258" i="1"/>
  <c r="E256" i="1"/>
  <c r="E254" i="1"/>
  <c r="E253" i="1"/>
  <c r="E252" i="1"/>
  <c r="E249" i="1"/>
  <c r="E250" i="1" s="1"/>
  <c r="E247" i="1"/>
  <c r="E248" i="1" s="1"/>
  <c r="E245" i="1"/>
  <c r="E246" i="1" s="1"/>
  <c r="E243" i="1"/>
  <c r="E242" i="1"/>
  <c r="E241" i="1"/>
  <c r="O104" i="1" l="1"/>
  <c r="K104" i="1"/>
  <c r="K105" i="1" s="1"/>
  <c r="L103" i="1" s="1"/>
  <c r="L105" i="1" s="1"/>
  <c r="M103" i="1" s="1"/>
  <c r="M105" i="1" s="1"/>
  <c r="N103" i="1" s="1"/>
  <c r="N105" i="1" s="1"/>
  <c r="O103" i="1" s="1"/>
  <c r="O105" i="1" s="1"/>
  <c r="L104" i="1"/>
  <c r="E251" i="1"/>
  <c r="J168" i="1" l="1"/>
  <c r="J169" i="1"/>
  <c r="J170" i="1"/>
  <c r="J171" i="1"/>
  <c r="J172" i="1"/>
  <c r="J173" i="1"/>
  <c r="J178" i="1"/>
  <c r="J179" i="1"/>
  <c r="J180" i="1"/>
  <c r="J181" i="1"/>
  <c r="J182" i="1"/>
  <c r="J186" i="1"/>
  <c r="J187" i="1"/>
  <c r="J188" i="1"/>
  <c r="J189" i="1"/>
  <c r="J191" i="1"/>
  <c r="J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8" i="1"/>
  <c r="G178" i="1"/>
  <c r="H178" i="1"/>
  <c r="I178" i="1"/>
  <c r="F179" i="1"/>
  <c r="G179" i="1"/>
  <c r="H179" i="1"/>
  <c r="I179" i="1"/>
  <c r="H180" i="1"/>
  <c r="I180" i="1"/>
  <c r="I181" i="1"/>
  <c r="F182" i="1"/>
  <c r="G182" i="1"/>
  <c r="H182" i="1"/>
  <c r="I182" i="1"/>
  <c r="F186" i="1"/>
  <c r="G186" i="1"/>
  <c r="H186" i="1"/>
  <c r="I186" i="1"/>
  <c r="F187" i="1"/>
  <c r="G187" i="1"/>
  <c r="H187" i="1"/>
  <c r="I187" i="1"/>
  <c r="I188" i="1"/>
  <c r="G189" i="1"/>
  <c r="F190" i="1"/>
  <c r="G190" i="1"/>
  <c r="F191" i="1"/>
  <c r="G191" i="1"/>
  <c r="H191" i="1"/>
  <c r="I191" i="1"/>
  <c r="G192" i="1"/>
  <c r="G167" i="1"/>
  <c r="H167" i="1"/>
  <c r="I167" i="1"/>
  <c r="J174" i="1"/>
  <c r="F102" i="1"/>
  <c r="F189" i="1" s="1"/>
  <c r="G102" i="1"/>
  <c r="H102" i="1"/>
  <c r="H189" i="1" s="1"/>
  <c r="I102" i="1"/>
  <c r="I189" i="1" s="1"/>
  <c r="J102" i="1"/>
  <c r="F105" i="1"/>
  <c r="G103" i="1" s="1"/>
  <c r="G105" i="1" s="1"/>
  <c r="H103" i="1" s="1"/>
  <c r="H105" i="1" s="1"/>
  <c r="I103" i="1" s="1"/>
  <c r="R82" i="1"/>
  <c r="F167" i="1"/>
  <c r="F133" i="1"/>
  <c r="G133" i="1"/>
  <c r="H133" i="1"/>
  <c r="I133" i="1"/>
  <c r="J133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J132" i="1"/>
  <c r="J115" i="1"/>
  <c r="J117" i="1"/>
  <c r="J118" i="1"/>
  <c r="J119" i="1"/>
  <c r="J120" i="1"/>
  <c r="J122" i="1"/>
  <c r="J124" i="1"/>
  <c r="J114" i="1"/>
  <c r="I132" i="1"/>
  <c r="H132" i="1"/>
  <c r="G132" i="1"/>
  <c r="F132" i="1"/>
  <c r="I115" i="1"/>
  <c r="I117" i="1"/>
  <c r="I118" i="1"/>
  <c r="I119" i="1"/>
  <c r="I120" i="1"/>
  <c r="I122" i="1"/>
  <c r="I124" i="1"/>
  <c r="I114" i="1"/>
  <c r="H115" i="1"/>
  <c r="H117" i="1"/>
  <c r="H118" i="1"/>
  <c r="H119" i="1"/>
  <c r="H120" i="1"/>
  <c r="H122" i="1"/>
  <c r="H124" i="1"/>
  <c r="H114" i="1"/>
  <c r="G115" i="1"/>
  <c r="G117" i="1"/>
  <c r="G118" i="1"/>
  <c r="G119" i="1"/>
  <c r="G120" i="1"/>
  <c r="G122" i="1"/>
  <c r="G124" i="1"/>
  <c r="G114" i="1"/>
  <c r="F115" i="1"/>
  <c r="F116" i="1"/>
  <c r="F117" i="1"/>
  <c r="F118" i="1"/>
  <c r="F119" i="1"/>
  <c r="F120" i="1"/>
  <c r="F122" i="1"/>
  <c r="F124" i="1"/>
  <c r="F25" i="1"/>
  <c r="F114" i="1"/>
  <c r="F192" i="1" l="1"/>
  <c r="I190" i="1"/>
  <c r="H192" i="1"/>
  <c r="H190" i="1"/>
  <c r="I105" i="1"/>
  <c r="I192" i="1" s="1"/>
  <c r="D214" i="1"/>
  <c r="J103" i="1" l="1"/>
  <c r="I12" i="1"/>
  <c r="I11" i="1"/>
  <c r="I10" i="1"/>
  <c r="I9" i="1"/>
  <c r="AH62" i="1"/>
  <c r="AI62" i="1"/>
  <c r="AJ62" i="1"/>
  <c r="AJ63" i="1" s="1"/>
  <c r="AK62" i="1"/>
  <c r="AG62" i="1"/>
  <c r="AH57" i="1"/>
  <c r="AG57" i="1"/>
  <c r="AG58" i="1"/>
  <c r="AH58" i="1"/>
  <c r="AI59" i="1" s="1"/>
  <c r="AI58" i="1"/>
  <c r="AJ58" i="1"/>
  <c r="AF58" i="1"/>
  <c r="AI57" i="1"/>
  <c r="AI56" i="1" s="1"/>
  <c r="AJ57" i="1"/>
  <c r="AF57" i="1"/>
  <c r="AF56" i="1" s="1"/>
  <c r="AD104" i="1"/>
  <c r="G45" i="1"/>
  <c r="G134" i="1" s="1"/>
  <c r="H45" i="1"/>
  <c r="H134" i="1" s="1"/>
  <c r="I45" i="1"/>
  <c r="I134" i="1" s="1"/>
  <c r="J45" i="1"/>
  <c r="J134" i="1" s="1"/>
  <c r="F45" i="1"/>
  <c r="F134" i="1" s="1"/>
  <c r="AF99" i="1"/>
  <c r="AG99" i="1"/>
  <c r="AC91" i="1" a="1"/>
  <c r="AC91" i="1" s="1"/>
  <c r="AD85" i="1"/>
  <c r="AD86" i="1" s="1"/>
  <c r="AC85" i="1"/>
  <c r="AC86" i="1" s="1"/>
  <c r="AE85" i="1"/>
  <c r="AE86" i="1" s="1"/>
  <c r="AF85" i="1"/>
  <c r="AF86" i="1" s="1"/>
  <c r="Y44" i="1"/>
  <c r="Z44" i="1" s="1"/>
  <c r="Z54" i="1" s="1"/>
  <c r="K46" i="1" s="1"/>
  <c r="F30" i="1"/>
  <c r="J30" i="1"/>
  <c r="G30" i="1"/>
  <c r="H30" i="1"/>
  <c r="I30" i="1"/>
  <c r="Z69" i="1"/>
  <c r="Z71" i="1" s="1"/>
  <c r="AA69" i="1" s="1"/>
  <c r="AA71" i="1" s="1"/>
  <c r="AB69" i="1" s="1"/>
  <c r="AB71" i="1" s="1"/>
  <c r="AC69" i="1" s="1"/>
  <c r="AC71" i="1" s="1"/>
  <c r="N57" i="1" s="1"/>
  <c r="Z74" i="1"/>
  <c r="Z75" i="1"/>
  <c r="W34" i="1"/>
  <c r="T57" i="1"/>
  <c r="X57" i="1"/>
  <c r="U57" i="1"/>
  <c r="V57" i="1"/>
  <c r="W57" i="1"/>
  <c r="Y61" i="1"/>
  <c r="Z61" i="1" s="1"/>
  <c r="Y60" i="1"/>
  <c r="Z60" i="1" s="1"/>
  <c r="AA60" i="1" s="1"/>
  <c r="AB60" i="1" s="1"/>
  <c r="AC60" i="1" s="1"/>
  <c r="AD60" i="1" s="1"/>
  <c r="AD64" i="1" s="1"/>
  <c r="O52" i="1" s="1"/>
  <c r="Y59" i="1"/>
  <c r="AF28" i="1"/>
  <c r="AE31" i="1" s="1"/>
  <c r="AA22" i="1"/>
  <c r="AA24" i="1"/>
  <c r="AF21" i="1"/>
  <c r="AG21" i="1" s="1"/>
  <c r="AH21" i="1" s="1"/>
  <c r="AI21" i="1" s="1"/>
  <c r="AJ21" i="1" s="1"/>
  <c r="V47" i="1"/>
  <c r="W47" i="1"/>
  <c r="X47" i="1"/>
  <c r="Y47" i="1"/>
  <c r="Z47" i="1" s="1"/>
  <c r="U47" i="1"/>
  <c r="V46" i="1"/>
  <c r="W46" i="1"/>
  <c r="X46" i="1"/>
  <c r="Y46" i="1"/>
  <c r="Z46" i="1" s="1"/>
  <c r="AA46" i="1" s="1"/>
  <c r="U46" i="1"/>
  <c r="V45" i="1"/>
  <c r="W45" i="1"/>
  <c r="X45" i="1"/>
  <c r="Y45" i="1"/>
  <c r="Z45" i="1" s="1"/>
  <c r="U45" i="1"/>
  <c r="V44" i="1"/>
  <c r="W44" i="1"/>
  <c r="X44" i="1"/>
  <c r="U44" i="1"/>
  <c r="W36" i="1"/>
  <c r="X34" i="1"/>
  <c r="X36" i="1" s="1"/>
  <c r="Y34" i="1"/>
  <c r="Y36" i="1" s="1"/>
  <c r="Z34" i="1"/>
  <c r="Z36" i="1" s="1"/>
  <c r="AA34" i="1"/>
  <c r="AA36" i="1" s="1"/>
  <c r="V16" i="1"/>
  <c r="AA18" i="1" s="1"/>
  <c r="K24" i="1" s="1"/>
  <c r="K25" i="1" s="1"/>
  <c r="Y16" i="1"/>
  <c r="AD18" i="1" s="1"/>
  <c r="W16" i="1"/>
  <c r="AB18" i="1" s="1"/>
  <c r="X16" i="1"/>
  <c r="AC18" i="1" s="1"/>
  <c r="Z16" i="1"/>
  <c r="AA29" i="1"/>
  <c r="Z29" i="1"/>
  <c r="X29" i="1"/>
  <c r="Y29" i="1"/>
  <c r="AB29" i="1"/>
  <c r="AB24" i="1"/>
  <c r="AC24" i="1"/>
  <c r="AD24" i="1"/>
  <c r="AE24" i="1"/>
  <c r="AB22" i="1"/>
  <c r="AC22" i="1"/>
  <c r="AD22" i="1"/>
  <c r="AE22" i="1"/>
  <c r="AA19" i="1"/>
  <c r="AA20" i="1" s="1"/>
  <c r="K26" i="1" s="1"/>
  <c r="AA14" i="1"/>
  <c r="L23" i="1"/>
  <c r="M23" i="1" s="1"/>
  <c r="N23" i="1" s="1"/>
  <c r="Z15" i="1"/>
  <c r="AA15" i="1"/>
  <c r="X15" i="1"/>
  <c r="Y15" i="1"/>
  <c r="W15" i="1"/>
  <c r="G25" i="1"/>
  <c r="G116" i="1" s="1"/>
  <c r="H25" i="1"/>
  <c r="H116" i="1" s="1"/>
  <c r="I25" i="1"/>
  <c r="I116" i="1" s="1"/>
  <c r="J25" i="1"/>
  <c r="J116" i="1" s="1"/>
  <c r="I32" i="1" l="1"/>
  <c r="I123" i="1" s="1"/>
  <c r="I121" i="1"/>
  <c r="F32" i="1"/>
  <c r="E262" i="1"/>
  <c r="F121" i="1"/>
  <c r="H32" i="1"/>
  <c r="H123" i="1" s="1"/>
  <c r="H121" i="1"/>
  <c r="AI63" i="1"/>
  <c r="G32" i="1"/>
  <c r="G123" i="1" s="1"/>
  <c r="G121" i="1"/>
  <c r="J32" i="1"/>
  <c r="J121" i="1"/>
  <c r="AK63" i="1"/>
  <c r="AL63" i="1" s="1"/>
  <c r="AM63" i="1" s="1"/>
  <c r="AN63" i="1" s="1"/>
  <c r="J105" i="1"/>
  <c r="J190" i="1"/>
  <c r="AH56" i="1"/>
  <c r="AJ59" i="1"/>
  <c r="AK59" i="1" s="1"/>
  <c r="AH63" i="1"/>
  <c r="AG56" i="1"/>
  <c r="AK58" i="1"/>
  <c r="AH59" i="1"/>
  <c r="AL59" i="1" s="1"/>
  <c r="AN59" i="1" s="1"/>
  <c r="AL62" i="1"/>
  <c r="AO63" i="1"/>
  <c r="AP63" i="1" s="1"/>
  <c r="AF101" i="1"/>
  <c r="AE88" i="1"/>
  <c r="AE89" i="1" s="1"/>
  <c r="AE90" i="1" s="1"/>
  <c r="AG85" i="1" s="1"/>
  <c r="AG86" i="1" s="1"/>
  <c r="AH84" i="1" s="1"/>
  <c r="AD94" i="1"/>
  <c r="AG95" i="1" s="1"/>
  <c r="AG97" i="1" s="1"/>
  <c r="K30" i="1"/>
  <c r="N24" i="1"/>
  <c r="AA44" i="1"/>
  <c r="AA54" i="1" s="1"/>
  <c r="L46" i="1" s="1"/>
  <c r="J34" i="1"/>
  <c r="G34" i="1"/>
  <c r="G125" i="1" s="1"/>
  <c r="F34" i="1"/>
  <c r="H34" i="1"/>
  <c r="H125" i="1" s="1"/>
  <c r="I34" i="1"/>
  <c r="I125" i="1" s="1"/>
  <c r="AA31" i="1"/>
  <c r="X27" i="1" s="1"/>
  <c r="K29" i="1" s="1"/>
  <c r="AA26" i="1"/>
  <c r="Z65" i="1"/>
  <c r="K53" i="1" s="1"/>
  <c r="AA61" i="1"/>
  <c r="AB61" i="1" s="1"/>
  <c r="AC61" i="1" s="1"/>
  <c r="AD61" i="1" s="1"/>
  <c r="AD65" i="1" s="1"/>
  <c r="O53" i="1" s="1"/>
  <c r="Z59" i="1"/>
  <c r="M57" i="1"/>
  <c r="Z23" i="1"/>
  <c r="Z76" i="1"/>
  <c r="K61" i="1" s="1"/>
  <c r="K57" i="1"/>
  <c r="L57" i="1"/>
  <c r="AD69" i="1"/>
  <c r="AD71" i="1" s="1"/>
  <c r="O57" i="1" s="1"/>
  <c r="AB64" i="1"/>
  <c r="M52" i="1" s="1"/>
  <c r="Z64" i="1"/>
  <c r="K52" i="1" s="1"/>
  <c r="AA64" i="1"/>
  <c r="L52" i="1" s="1"/>
  <c r="AC64" i="1"/>
  <c r="N52" i="1" s="1"/>
  <c r="AA45" i="1"/>
  <c r="Z55" i="1"/>
  <c r="K47" i="1" s="1"/>
  <c r="Z57" i="1"/>
  <c r="AA47" i="1"/>
  <c r="AB46" i="1"/>
  <c r="AA56" i="1"/>
  <c r="L48" i="1" s="1"/>
  <c r="Z56" i="1"/>
  <c r="K48" i="1" s="1"/>
  <c r="Z17" i="1"/>
  <c r="AE18" i="1" s="1"/>
  <c r="AD19" i="1"/>
  <c r="AD20" i="1" s="1"/>
  <c r="O23" i="1"/>
  <c r="N25" i="1"/>
  <c r="W38" i="1"/>
  <c r="M24" i="1"/>
  <c r="M25" i="1" s="1"/>
  <c r="AC19" i="1"/>
  <c r="AC20" i="1" s="1"/>
  <c r="AB34" i="1"/>
  <c r="AC34" i="1" s="1"/>
  <c r="AD34" i="1" s="1"/>
  <c r="AE34" i="1" s="1"/>
  <c r="AF34" i="1" s="1"/>
  <c r="L24" i="1"/>
  <c r="AB19" i="1"/>
  <c r="AB20" i="1" s="1"/>
  <c r="L26" i="1" s="1"/>
  <c r="AI39" i="1" l="1"/>
  <c r="J123" i="1"/>
  <c r="AE39" i="1"/>
  <c r="F123" i="1"/>
  <c r="J192" i="1"/>
  <c r="AK37" i="1"/>
  <c r="J125" i="1"/>
  <c r="E264" i="1"/>
  <c r="E263" i="1"/>
  <c r="E261" i="1"/>
  <c r="F125" i="1"/>
  <c r="AJ56" i="1"/>
  <c r="AK57" i="1"/>
  <c r="AM62" i="1"/>
  <c r="L62" i="1" s="1"/>
  <c r="K62" i="1"/>
  <c r="K68" i="1"/>
  <c r="K69" i="1"/>
  <c r="AL58" i="1"/>
  <c r="K59" i="1"/>
  <c r="AM59" i="1"/>
  <c r="AO59" i="1" s="1"/>
  <c r="AE95" i="1"/>
  <c r="AE97" i="1" s="1"/>
  <c r="AD95" i="1"/>
  <c r="AD97" i="1" s="1"/>
  <c r="AF95" i="1"/>
  <c r="AF97" i="1" s="1"/>
  <c r="AH86" i="1"/>
  <c r="AI84" i="1" s="1"/>
  <c r="AC95" i="1"/>
  <c r="AC97" i="1" s="1"/>
  <c r="N31" i="1"/>
  <c r="K56" i="1"/>
  <c r="N28" i="1"/>
  <c r="K28" i="1"/>
  <c r="L27" i="1"/>
  <c r="K27" i="1"/>
  <c r="AF30" i="1" s="1"/>
  <c r="AF31" i="1" s="1"/>
  <c r="L28" i="1"/>
  <c r="L25" i="1"/>
  <c r="L30" i="1" s="1"/>
  <c r="K31" i="1"/>
  <c r="L31" i="1"/>
  <c r="AG39" i="1"/>
  <c r="AF39" i="1"/>
  <c r="AH39" i="1"/>
  <c r="AA74" i="1"/>
  <c r="AA76" i="1" s="1"/>
  <c r="L61" i="1" s="1"/>
  <c r="AA65" i="1"/>
  <c r="L53" i="1" s="1"/>
  <c r="AB65" i="1"/>
  <c r="M53" i="1" s="1"/>
  <c r="AC65" i="1"/>
  <c r="N53" i="1" s="1"/>
  <c r="O28" i="1"/>
  <c r="M28" i="1"/>
  <c r="N27" i="1"/>
  <c r="AA59" i="1"/>
  <c r="Z63" i="1"/>
  <c r="K51" i="1" s="1"/>
  <c r="O27" i="1"/>
  <c r="M27" i="1"/>
  <c r="Y27" i="1"/>
  <c r="L29" i="1" s="1"/>
  <c r="AA27" i="1"/>
  <c r="N29" i="1" s="1"/>
  <c r="Z79" i="1"/>
  <c r="AB45" i="1"/>
  <c r="AA55" i="1"/>
  <c r="L47" i="1" s="1"/>
  <c r="M26" i="1"/>
  <c r="N26" i="1" s="1"/>
  <c r="N30" i="1" s="1"/>
  <c r="AB44" i="1"/>
  <c r="AB54" i="1" s="1"/>
  <c r="M46" i="1" s="1"/>
  <c r="AB47" i="1"/>
  <c r="AA57" i="1"/>
  <c r="L56" i="1" s="1"/>
  <c r="AC46" i="1"/>
  <c r="AB56" i="1"/>
  <c r="M48" i="1" s="1"/>
  <c r="O31" i="1"/>
  <c r="M31" i="1"/>
  <c r="AE19" i="1"/>
  <c r="AE20" i="1" s="1"/>
  <c r="O24" i="1"/>
  <c r="Z27" i="1"/>
  <c r="M29" i="1" s="1"/>
  <c r="AB27" i="1"/>
  <c r="O29" i="1" s="1"/>
  <c r="AK56" i="1" l="1"/>
  <c r="AL56" i="1" s="1"/>
  <c r="L59" i="1"/>
  <c r="AM58" i="1"/>
  <c r="K50" i="1"/>
  <c r="AN62" i="1"/>
  <c r="K70" i="1"/>
  <c r="AM57" i="1"/>
  <c r="AL57" i="1"/>
  <c r="L58" i="1" s="1"/>
  <c r="L60" i="1" s="1"/>
  <c r="L63" i="1" s="1"/>
  <c r="K58" i="1"/>
  <c r="K60" i="1" s="1"/>
  <c r="K63" i="1" s="1"/>
  <c r="AI86" i="1"/>
  <c r="AJ84" i="1" s="1"/>
  <c r="AJ86" i="1" s="1"/>
  <c r="AK84" i="1" s="1"/>
  <c r="AG28" i="1"/>
  <c r="AG30" i="1"/>
  <c r="M30" i="1"/>
  <c r="AH30" i="1"/>
  <c r="AJ30" i="1"/>
  <c r="AI30" i="1"/>
  <c r="K32" i="1"/>
  <c r="L32" i="1"/>
  <c r="O25" i="1"/>
  <c r="AG41" i="1"/>
  <c r="AB74" i="1"/>
  <c r="AB76" i="1" s="1"/>
  <c r="M61" i="1" s="1"/>
  <c r="AA79" i="1"/>
  <c r="O26" i="1"/>
  <c r="AB59" i="1"/>
  <c r="AA63" i="1"/>
  <c r="L51" i="1" s="1"/>
  <c r="N32" i="1"/>
  <c r="AC47" i="1"/>
  <c r="AB57" i="1"/>
  <c r="M56" i="1" s="1"/>
  <c r="AD46" i="1"/>
  <c r="AD56" i="1" s="1"/>
  <c r="O48" i="1" s="1"/>
  <c r="AC56" i="1"/>
  <c r="N48" i="1" s="1"/>
  <c r="AC44" i="1"/>
  <c r="AB55" i="1"/>
  <c r="M47" i="1" s="1"/>
  <c r="AC45" i="1"/>
  <c r="K33" i="1" l="1"/>
  <c r="K34" i="1" s="1"/>
  <c r="AL37" i="1" s="1"/>
  <c r="M32" i="1"/>
  <c r="K71" i="1"/>
  <c r="AO62" i="1"/>
  <c r="M62" i="1"/>
  <c r="M58" i="1"/>
  <c r="M60" i="1" s="1"/>
  <c r="M63" i="1" s="1"/>
  <c r="AN57" i="1"/>
  <c r="M59" i="1"/>
  <c r="AN58" i="1"/>
  <c r="AG31" i="1"/>
  <c r="L50" i="1" s="1"/>
  <c r="AK86" i="1"/>
  <c r="AL84" i="1" s="1"/>
  <c r="AC74" i="1"/>
  <c r="AC76" i="1" s="1"/>
  <c r="AD74" i="1" s="1"/>
  <c r="AD76" i="1" s="1"/>
  <c r="O30" i="1"/>
  <c r="O32" i="1" s="1"/>
  <c r="L33" i="1"/>
  <c r="L34" i="1" s="1"/>
  <c r="AM37" i="1" s="1"/>
  <c r="N33" i="1"/>
  <c r="N34" i="1" s="1"/>
  <c r="AO37" i="1" s="1"/>
  <c r="AB79" i="1"/>
  <c r="AC59" i="1"/>
  <c r="AB63" i="1"/>
  <c r="M51" i="1" s="1"/>
  <c r="AD47" i="1"/>
  <c r="AD57" i="1" s="1"/>
  <c r="O56" i="1" s="1"/>
  <c r="AC57" i="1"/>
  <c r="N56" i="1" s="1"/>
  <c r="AD45" i="1"/>
  <c r="AD55" i="1" s="1"/>
  <c r="O47" i="1" s="1"/>
  <c r="AC55" i="1"/>
  <c r="N47" i="1" s="1"/>
  <c r="AD44" i="1"/>
  <c r="AD54" i="1" s="1"/>
  <c r="O46" i="1" s="1"/>
  <c r="AC54" i="1"/>
  <c r="N46" i="1" s="1"/>
  <c r="M33" i="1" l="1"/>
  <c r="M34" i="1" s="1"/>
  <c r="AN37" i="1" s="1"/>
  <c r="N59" i="1"/>
  <c r="AO58" i="1"/>
  <c r="O59" i="1" s="1"/>
  <c r="L68" i="1"/>
  <c r="L69" i="1"/>
  <c r="M69" i="1" s="1"/>
  <c r="N58" i="1"/>
  <c r="AO57" i="1"/>
  <c r="O58" i="1" s="1"/>
  <c r="AP62" i="1"/>
  <c r="O62" i="1" s="1"/>
  <c r="N62" i="1"/>
  <c r="AL86" i="1"/>
  <c r="AH28" i="1"/>
  <c r="AH31" i="1" s="1"/>
  <c r="N61" i="1"/>
  <c r="AC79" i="1"/>
  <c r="O60" i="1"/>
  <c r="O33" i="1"/>
  <c r="O34" i="1" s="1"/>
  <c r="AP37" i="1" s="1"/>
  <c r="AD59" i="1"/>
  <c r="AD63" i="1" s="1"/>
  <c r="O51" i="1" s="1"/>
  <c r="AC63" i="1"/>
  <c r="N51" i="1" s="1"/>
  <c r="AD79" i="1"/>
  <c r="O61" i="1"/>
  <c r="N60" i="1" l="1"/>
  <c r="N69" i="1"/>
  <c r="O69" i="1" s="1"/>
  <c r="K44" i="1"/>
  <c r="M68" i="1"/>
  <c r="L70" i="1"/>
  <c r="L71" i="1" s="1"/>
  <c r="M50" i="1"/>
  <c r="AI28" i="1"/>
  <c r="AI31" i="1" s="1"/>
  <c r="N50" i="1" s="1"/>
  <c r="N63" i="1"/>
  <c r="O63" i="1"/>
  <c r="F227" i="1" l="1"/>
  <c r="E225" i="1"/>
  <c r="D210" i="1"/>
  <c r="D211" i="1" s="1"/>
  <c r="H226" i="1"/>
  <c r="E226" i="1"/>
  <c r="I227" i="1"/>
  <c r="F226" i="1"/>
  <c r="I226" i="1"/>
  <c r="I225" i="1"/>
  <c r="D207" i="1"/>
  <c r="E227" i="1"/>
  <c r="G225" i="1"/>
  <c r="H227" i="1"/>
  <c r="G226" i="1"/>
  <c r="G227" i="1"/>
  <c r="H225" i="1"/>
  <c r="F225" i="1"/>
  <c r="L44" i="1"/>
  <c r="L49" i="1" s="1"/>
  <c r="L54" i="1" s="1"/>
  <c r="N68" i="1"/>
  <c r="M70" i="1"/>
  <c r="M71" i="1" s="1"/>
  <c r="K43" i="1"/>
  <c r="K49" i="1"/>
  <c r="K54" i="1" s="1"/>
  <c r="AJ28" i="1"/>
  <c r="AJ31" i="1" s="1"/>
  <c r="O50" i="1" s="1"/>
  <c r="D213" i="1" l="1"/>
  <c r="D215" i="1" s="1"/>
  <c r="D218" i="1" s="1"/>
  <c r="L43" i="1"/>
  <c r="O68" i="1"/>
  <c r="O70" i="1" s="1"/>
  <c r="O71" i="1" s="1"/>
  <c r="N70" i="1"/>
  <c r="N71" i="1" s="1"/>
  <c r="M44" i="1"/>
  <c r="O44" i="1" l="1"/>
  <c r="N44" i="1"/>
  <c r="M43" i="1"/>
  <c r="M49" i="1"/>
  <c r="M54" i="1" s="1"/>
  <c r="N43" i="1" l="1"/>
  <c r="N49" i="1"/>
  <c r="N54" i="1" s="1"/>
  <c r="O49" i="1"/>
  <c r="O54" i="1" s="1"/>
  <c r="O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<sst xmlns="http://schemas.openxmlformats.org/spreadsheetml/2006/main" count="212" uniqueCount="131">
  <si>
    <t>Herfy</t>
  </si>
  <si>
    <t>Share Price</t>
  </si>
  <si>
    <t>Earnings per share</t>
  </si>
  <si>
    <t xml:space="preserve">book value per share </t>
  </si>
  <si>
    <t>P/E</t>
  </si>
  <si>
    <t>P/BV</t>
  </si>
  <si>
    <t>P/S</t>
  </si>
  <si>
    <t>P/CF</t>
  </si>
  <si>
    <t>Net Income before Extraordinaries</t>
  </si>
  <si>
    <t>-</t>
  </si>
  <si>
    <t>Depreciation, Depletion &amp; Amortization</t>
  </si>
  <si>
    <t>Other Funds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</si>
  <si>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</si>
  <si>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</si>
  <si>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</si>
  <si>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</si>
  <si>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</si>
  <si>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</si>
  <si>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Investing Activities</t>
  </si>
  <si>
    <t>Capital Expenditures</t>
  </si>
  <si>
    <t>Sale of Fixed Assets &amp; Businesses</t>
  </si>
  <si>
    <t>Purchase/Sale of Investments</t>
  </si>
  <si>
    <t>Other Sources</t>
  </si>
  <si>
    <t>Net Investing Cash Flow</t>
  </si>
  <si>
    <t>Financing Activities</t>
  </si>
  <si>
    <t>Cash Dividends Paid - Total</t>
  </si>
  <si>
    <t>Issuance/Reduction of Debt, Net</t>
  </si>
  <si>
    <t>Net Financing Cash Flow</t>
  </si>
  <si>
    <t>Net Change in Cash</t>
  </si>
  <si>
    <t>Sales/Revenue</t>
  </si>
  <si>
    <t>Cost of Goods Sold (COGS) incl. D&amp;A</t>
  </si>
  <si>
    <t>Depreciation</t>
  </si>
  <si>
    <t>Amortization of Intangibles</t>
  </si>
  <si>
    <t>SG&amp;A Expense</t>
  </si>
  <si>
    <t>Other Operating Expense</t>
  </si>
  <si>
    <t>Interest Expense</t>
  </si>
  <si>
    <t>Pretax Income</t>
  </si>
  <si>
    <t>Income Tax</t>
  </si>
  <si>
    <t>Net Income</t>
  </si>
  <si>
    <t>Gross Profit</t>
  </si>
  <si>
    <t>operating income</t>
  </si>
  <si>
    <t>Net Property, Plant &amp; Equipment</t>
  </si>
  <si>
    <t>Total debt</t>
  </si>
  <si>
    <t>tax</t>
  </si>
  <si>
    <t>Assets</t>
  </si>
  <si>
    <t>Cash &amp; Short Term Investments</t>
  </si>
  <si>
    <t>Cash Only</t>
  </si>
  <si>
    <t>Short-Term Investments</t>
  </si>
  <si>
    <t>Total Accounts Receivable</t>
  </si>
  <si>
    <t>Other Current Assets</t>
  </si>
  <si>
    <t>Total Current Assets</t>
  </si>
  <si>
    <t>Total Investments and Advances</t>
  </si>
  <si>
    <t>Long-Term Note Receivable</t>
  </si>
  <si>
    <t>Intangible Assets</t>
  </si>
  <si>
    <t>Total Assets</t>
  </si>
  <si>
    <t>Income Tax Payable</t>
  </si>
  <si>
    <t>Other Current Liabilities</t>
  </si>
  <si>
    <t>Total Current Liabilities</t>
  </si>
  <si>
    <t>Long-Term Debt</t>
  </si>
  <si>
    <t>Provision for Risks &amp; Charges</t>
  </si>
  <si>
    <t>Total Liabilities</t>
  </si>
  <si>
    <t>Common Stock Par/Carry Value</t>
  </si>
  <si>
    <t>Retained Earnings</t>
  </si>
  <si>
    <t>Other Appropriated Reserves</t>
  </si>
  <si>
    <t>Total Shareholders' Equity</t>
  </si>
  <si>
    <t>Liabilities</t>
  </si>
  <si>
    <t>Shareholders' Equity</t>
  </si>
  <si>
    <t>Short-Term Debt</t>
  </si>
  <si>
    <t>Operating Activities</t>
  </si>
  <si>
    <t>Cash Flow</t>
  </si>
  <si>
    <t>Balance Sheet</t>
  </si>
  <si>
    <t>Income Statement</t>
  </si>
  <si>
    <t>Cash at end of Year</t>
  </si>
  <si>
    <t>Cash at beginnig f the year</t>
  </si>
  <si>
    <t>market Capitalization</t>
  </si>
  <si>
    <t>Revenue Per Share</t>
  </si>
  <si>
    <t>Operating cash flow per share</t>
  </si>
  <si>
    <t>Discounted Cash Flow Model</t>
  </si>
  <si>
    <t>Free cash flow (FCF)</t>
  </si>
  <si>
    <t>Weighted Average Cost of Capital (WACC)</t>
  </si>
  <si>
    <t>Net Present Value (NPV)</t>
  </si>
  <si>
    <t xml:space="preserve">Assume Long Term Growth = </t>
  </si>
  <si>
    <t>Terminal Value</t>
  </si>
  <si>
    <t>TV Discounted</t>
  </si>
  <si>
    <t xml:space="preserve">Target Equity Value </t>
  </si>
  <si>
    <t>Less Debt</t>
  </si>
  <si>
    <t>Target Value</t>
  </si>
  <si>
    <t>Target per share</t>
  </si>
  <si>
    <t>Shares outstanding</t>
  </si>
  <si>
    <t>Sensitivity Analysis Value.</t>
  </si>
  <si>
    <t>WACC</t>
  </si>
  <si>
    <t xml:space="preserve">Growth rate </t>
  </si>
  <si>
    <t>Common size</t>
  </si>
  <si>
    <t>income statement</t>
  </si>
  <si>
    <t>Total Liabilities &amp; Shareholders' Equity</t>
  </si>
  <si>
    <t>cash flow statement</t>
  </si>
  <si>
    <t>Fiscal year is January-December. All values SAR Millions.</t>
  </si>
  <si>
    <t>---------</t>
  </si>
  <si>
    <r>
      <t xml:space="preserve">Fiscal year is January-December. All values SAR </t>
    </r>
    <r>
      <rPr>
        <sz val="12"/>
        <color theme="7" tint="-0.249977111117893"/>
        <rFont val="Calibri"/>
        <family val="2"/>
        <scheme val="minor"/>
      </rPr>
      <t>Millions.</t>
    </r>
  </si>
  <si>
    <r>
      <t xml:space="preserve">Fiscal year is January-December. All values SAR </t>
    </r>
    <r>
      <rPr>
        <sz val="12"/>
        <color theme="7" tint="-0.249977111117893"/>
        <rFont val="Calibri"/>
        <family val="2"/>
        <scheme val="minor"/>
      </rPr>
      <t>Millions</t>
    </r>
    <r>
      <rPr>
        <sz val="12"/>
        <color theme="1"/>
        <rFont val="Calibri"/>
        <family val="2"/>
        <scheme val="minor"/>
      </rPr>
      <t>.</t>
    </r>
  </si>
  <si>
    <r>
      <t xml:space="preserve">Fiscal year is January-December. All values SAR </t>
    </r>
    <r>
      <rPr>
        <sz val="12"/>
        <color theme="7" tint="-0.249977111117893"/>
        <rFont val="Calibri"/>
        <family val="2"/>
        <scheme val="minor"/>
      </rPr>
      <t>Thousands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</si>
  <si>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rgb="FF00B050"/>
        <rFont val="Calibri"/>
        <family val="2"/>
        <scheme val="minor"/>
      </rPr>
      <t>Green</t>
    </r>
    <r>
      <rPr>
        <sz val="12"/>
        <rFont val="Calibri"/>
        <family val="2"/>
        <scheme val="minor"/>
      </rPr>
      <t xml:space="preserve"> = Bullish</t>
    </r>
  </si>
  <si>
    <r>
      <rPr>
        <sz val="12"/>
        <color rgb="FFFFC000"/>
        <rFont val="Calibri"/>
        <family val="2"/>
        <scheme val="minor"/>
      </rPr>
      <t>Orange</t>
    </r>
    <r>
      <rPr>
        <sz val="12"/>
        <rFont val="Calibri"/>
        <family val="2"/>
        <scheme val="minor"/>
      </rPr>
      <t xml:space="preserve"> = Base Case</t>
    </r>
  </si>
  <si>
    <r>
      <rPr>
        <sz val="12"/>
        <color rgb="FFFF0000"/>
        <rFont val="Calibri"/>
        <family val="2"/>
        <scheme val="minor"/>
      </rPr>
      <t xml:space="preserve">  Red</t>
    </r>
    <r>
      <rPr>
        <sz val="12"/>
        <rFont val="Calibri"/>
        <family val="2"/>
        <scheme val="minor"/>
      </rPr>
      <t xml:space="preserve"> = Bearish Case</t>
    </r>
  </si>
  <si>
    <t>Ratio Analysis</t>
  </si>
  <si>
    <t>Liquidity Ratios</t>
  </si>
  <si>
    <t>Current Ratio</t>
  </si>
  <si>
    <t>Quick Ratio</t>
  </si>
  <si>
    <t>Cash Ratio</t>
  </si>
  <si>
    <t>Assets Management Ratios</t>
  </si>
  <si>
    <t>(ITR) Inventory Turnover Ratio</t>
  </si>
  <si>
    <t>(DSI) Days Sales in inventory</t>
  </si>
  <si>
    <t>(RTR) Receivable TurnoverRatio</t>
  </si>
  <si>
    <t>(DSR) Days Sales Outstanding</t>
  </si>
  <si>
    <t>(PTR) Payable Turnoverratio</t>
  </si>
  <si>
    <t>DSP (Days Sales in Payables</t>
  </si>
  <si>
    <t>CCC</t>
  </si>
  <si>
    <t>Fixed Assets Turnover Ratio</t>
  </si>
  <si>
    <t>Total Assets Turnover Ratio</t>
  </si>
  <si>
    <t>Equity Turnover</t>
  </si>
  <si>
    <t>Debt Management Ratios</t>
  </si>
  <si>
    <t>Debt Ratio</t>
  </si>
  <si>
    <t>Times-interest-earned (TIE)</t>
  </si>
  <si>
    <t>Debt/(Debt+Equity)</t>
  </si>
  <si>
    <t>EBITDA coverage ratio</t>
  </si>
  <si>
    <t>Profit Margin On Sales</t>
  </si>
  <si>
    <t>Basic Earning Power Ratio</t>
  </si>
  <si>
    <t>Return On Total Assets</t>
  </si>
  <si>
    <t>Return On common equity</t>
  </si>
  <si>
    <t>Profitability Ratios</t>
  </si>
  <si>
    <t>The other type of ratio we couldn't calculate because some of the data from Herfy financial statements were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</si>
</sst>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_([$SAR]\ * #,##0.00_);_([$SAR]\ * \(#,##0.00\);_([$SAR]\ * &quot;-&quot;??_);_(@_)"/>
  </numFmts>
  <fonts count="20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name val="Helvetica-Narrow"/>
      <family val="2"/>
    </font>
    <font>
      <b/>
      <sz val="4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40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4" fillId="0" borderId="0"/>
  </cellStyleXfs>
  <cellXfs count="73">
    <xf numFmtId="0" fontId="0" fillId="0" borderId="0" xfId="0"/>
    <xf numFmtId="0" fontId="6" fillId="2" borderId="0" xfId="0" applyFont="1" applyFill="1"/>
    <xf numFmtId="0" fontId="6" fillId="0" borderId="0" xfId="0" applyFont="1"/>
    <xf numFmtId="14" fontId="7" fillId="2" borderId="0" xfId="0" applyNumberFormat="1" applyFont="1" applyFill="1" applyAlignment="1">
      <alignment horizontal="center"/>
    </xf>
    <xf numFmtId="0" fontId="6" fillId="6" borderId="0" xfId="0" applyFont="1" applyFill="1"/>
    <xf numFmtId="2" fontId="6" fillId="6" borderId="0" xfId="0" applyNumberFormat="1" applyFont="1" applyFill="1"/>
    <xf numFmtId="3" fontId="6" fillId="0" borderId="0" xfId="0" applyNumberFormat="1" applyFont="1"/>
    <xf numFmtId="10" fontId="6" fillId="0" borderId="0" xfId="0" applyNumberFormat="1" applyFont="1"/>
    <xf numFmtId="9" fontId="6" fillId="0" borderId="0" xfId="0" applyNumberFormat="1" applyFont="1"/>
    <xf numFmtId="0" fontId="6" fillId="0" borderId="0" xfId="0" applyFont="1" applyFill="1"/>
    <xf numFmtId="0" fontId="6" fillId="3" borderId="0" xfId="0" applyFont="1" applyFill="1"/>
    <xf numFmtId="0" fontId="6" fillId="0" borderId="0" xfId="0" applyNumberFormat="1" applyFont="1"/>
    <xf numFmtId="4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0" fontId="10" fillId="0" borderId="0" xfId="0" applyFont="1" applyFill="1" applyAlignment="1">
      <alignment vertical="center"/>
    </xf>
    <xf numFmtId="10" fontId="6" fillId="0" borderId="0" xfId="1" applyNumberFormat="1" applyFont="1"/>
    <xf numFmtId="0" fontId="10" fillId="0" borderId="0" xfId="0" applyFont="1"/>
    <xf numFmtId="1" fontId="6" fillId="0" borderId="0" xfId="0" applyNumberFormat="1" applyFont="1"/>
    <xf numFmtId="0" fontId="10" fillId="0" borderId="0" xfId="0" applyFont="1" applyFill="1"/>
    <xf numFmtId="165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3" applyNumberFormat="1" applyFont="1"/>
    <xf numFmtId="0" fontId="10" fillId="6" borderId="0" xfId="0" applyFont="1" applyFill="1"/>
    <xf numFmtId="10" fontId="6" fillId="6" borderId="0" xfId="1" applyNumberFormat="1" applyFont="1" applyFill="1"/>
    <xf numFmtId="4" fontId="6" fillId="6" borderId="0" xfId="0" applyNumberFormat="1" applyFont="1" applyFill="1"/>
    <xf numFmtId="10" fontId="6" fillId="0" borderId="0" xfId="1" quotePrefix="1" applyNumberFormat="1" applyFont="1"/>
    <xf numFmtId="166" fontId="6" fillId="0" borderId="0" xfId="3" applyNumberFormat="1" applyFont="1"/>
    <xf numFmtId="0" fontId="6" fillId="0" borderId="0" xfId="0" applyFont="1" applyAlignment="1">
      <alignment horizontal="center" wrapText="1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7" borderId="0" xfId="0" applyFont="1" applyFill="1"/>
    <xf numFmtId="166" fontId="6" fillId="0" borderId="0" xfId="3" applyNumberFormat="1" applyFont="1" applyAlignment="1"/>
    <xf numFmtId="0" fontId="11" fillId="0" borderId="0" xfId="2" applyFont="1"/>
    <xf numFmtId="10" fontId="6" fillId="7" borderId="0" xfId="1" applyNumberFormat="1" applyFont="1" applyFill="1"/>
    <xf numFmtId="166" fontId="11" fillId="0" borderId="0" xfId="3" applyNumberFormat="1" applyFont="1"/>
    <xf numFmtId="43" fontId="6" fillId="0" borderId="0" xfId="3" applyFont="1"/>
    <xf numFmtId="167" fontId="6" fillId="0" borderId="0" xfId="0" applyNumberFormat="1" applyFont="1"/>
    <xf numFmtId="0" fontId="6" fillId="0" borderId="4" xfId="0" applyFont="1" applyBorder="1"/>
    <xf numFmtId="0" fontId="6" fillId="0" borderId="0" xfId="0" applyFont="1" applyBorder="1"/>
    <xf numFmtId="0" fontId="13" fillId="0" borderId="0" xfId="0" applyFont="1" applyBorder="1"/>
    <xf numFmtId="10" fontId="13" fillId="0" borderId="5" xfId="0" applyNumberFormat="1" applyFont="1" applyBorder="1"/>
    <xf numFmtId="10" fontId="13" fillId="0" borderId="0" xfId="0" applyNumberFormat="1" applyFont="1" applyBorder="1" applyAlignment="1">
      <alignment horizontal="center" vertical="center"/>
    </xf>
    <xf numFmtId="10" fontId="13" fillId="0" borderId="5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9" fontId="14" fillId="0" borderId="0" xfId="0" applyNumberFormat="1" applyFont="1" applyBorder="1" applyAlignment="1">
      <alignment horizontal="center" vertical="center"/>
    </xf>
    <xf numFmtId="167" fontId="6" fillId="0" borderId="0" xfId="3" applyNumberFormat="1" applyFont="1" applyBorder="1" applyAlignment="1">
      <alignment horizontal="center" vertical="center"/>
    </xf>
    <xf numFmtId="167" fontId="6" fillId="9" borderId="5" xfId="3" applyNumberFormat="1" applyFont="1" applyFill="1" applyBorder="1" applyAlignment="1">
      <alignment horizontal="center" vertical="center"/>
    </xf>
    <xf numFmtId="167" fontId="6" fillId="4" borderId="0" xfId="3" applyNumberFormat="1" applyFont="1" applyFill="1" applyBorder="1" applyAlignment="1">
      <alignment horizontal="center" vertical="center"/>
    </xf>
    <xf numFmtId="167" fontId="6" fillId="0" borderId="5" xfId="3" applyNumberFormat="1" applyFont="1" applyBorder="1" applyAlignment="1">
      <alignment horizontal="center" vertical="center"/>
    </xf>
    <xf numFmtId="167" fontId="6" fillId="8" borderId="0" xfId="3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11" fillId="0" borderId="7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0" fillId="0" borderId="0" xfId="0" applyNumberFormat="1" applyFont="1"/>
    <xf numFmtId="0" fontId="19" fillId="0" borderId="0" xfId="0" applyFont="1"/>
    <xf numFmtId="2" fontId="0" fillId="0" borderId="0" xfId="0" applyNumberFormat="1"/>
    <xf numFmtId="4" fontId="0" fillId="0" borderId="0" xfId="0" applyNumberFormat="1"/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10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</cellXfs>
  <cellStyles count="5">
    <cellStyle name="Comma" xfId="3" builtinId="3"/>
    <cellStyle name="Normal" xfId="0" builtinId="0"/>
    <cellStyle name="Normal_S - clients - post 080509" xfId="4" xr:uid="{E226596C-8796-4D93-8B7B-478782043CCD}"/>
    <cellStyle name="Normal_SBC" xfId="2" xr:uid="{8356380B-5FCD-4620-A564-2FF87293835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6E3-3F85-448A-9AD5-6A1E01ACFC7C}">
  <dimension ref="A1:AP266"/>
  <sheetViews>
    <sheetView tabSelected="1" topLeftCell="A197" zoomScale="75" zoomScaleNormal="55" workbookViewId="0">
      <selection activeCell="F223" sqref="F223:G223"/>
    </sheetView>
  </sheetViews>
  <sheetFormatPr defaultColWidth="8.796875" defaultRowHeight="15.75"/>
  <cols>
    <col min="1" max="1" width="52.796875" style="2" bestFit="1" customWidth="1"/>
    <col min="2" max="2" width="20.1328125" style="2" bestFit="1" customWidth="1"/>
    <col min="3" max="3" width="11.33203125" style="2" bestFit="1" customWidth="1"/>
    <col min="4" max="5" width="15.46484375" style="2" bestFit="1" customWidth="1"/>
    <col min="6" max="6" width="25.46484375" style="2" bestFit="1" customWidth="1"/>
    <col min="7" max="7" width="30.1328125" style="2" bestFit="1" customWidth="1"/>
    <col min="8" max="8" width="16.1328125" style="2" bestFit="1" customWidth="1"/>
    <col min="9" max="9" width="20.796875" style="2" bestFit="1" customWidth="1"/>
    <col min="10" max="10" width="14.1328125" style="2" bestFit="1" customWidth="1"/>
    <col min="11" max="12" width="15" style="2" bestFit="1" customWidth="1"/>
    <col min="13" max="13" width="15.6640625" style="2" bestFit="1" customWidth="1"/>
    <col min="14" max="15" width="15" style="2" bestFit="1" customWidth="1"/>
    <col min="16" max="17" width="8.796875" style="2"/>
    <col min="18" max="18" width="10.46484375" style="2" bestFit="1" customWidth="1"/>
    <col min="19" max="19" width="8.796875" style="2"/>
    <col min="20" max="20" width="6.33203125" style="2" bestFit="1" customWidth="1"/>
    <col min="21" max="22" width="12.46484375" style="2" bestFit="1" customWidth="1"/>
    <col min="23" max="23" width="28.33203125" style="2" bestFit="1" customWidth="1"/>
    <col min="24" max="26" width="12.46484375" style="2" bestFit="1" customWidth="1"/>
    <col min="27" max="27" width="13.1328125" style="2" bestFit="1" customWidth="1"/>
    <col min="28" max="32" width="12.46484375" style="2" bestFit="1" customWidth="1"/>
    <col min="33" max="33" width="10.6640625" style="2" bestFit="1" customWidth="1"/>
    <col min="34" max="34" width="11.46484375" style="2" bestFit="1" customWidth="1"/>
    <col min="35" max="36" width="12.46484375" style="2" bestFit="1" customWidth="1"/>
    <col min="37" max="38" width="13.1328125" style="2" bestFit="1" customWidth="1"/>
    <col min="39" max="42" width="12.46484375" style="2" bestFit="1" customWidth="1"/>
    <col min="43" max="16384" width="8.796875" style="2"/>
  </cols>
  <sheetData>
    <row r="1" spans="1:3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1"/>
      <c r="O1" s="1"/>
      <c r="P1" s="1"/>
    </row>
    <row r="2" spans="1:3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1"/>
      <c r="O2" s="1"/>
      <c r="P2" s="1"/>
    </row>
    <row r="3" spans="1:3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1"/>
      <c r="O3" s="1"/>
      <c r="P3" s="1"/>
    </row>
    <row r="4" spans="1:3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1"/>
      <c r="O4" s="3">
        <v>44539</v>
      </c>
      <c r="P4" s="1"/>
    </row>
    <row r="5" spans="1:3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1"/>
      <c r="O5" s="1"/>
      <c r="P5" s="1"/>
    </row>
    <row r="6" spans="1:31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1"/>
      <c r="O6" s="1"/>
      <c r="P6" s="1"/>
    </row>
    <row r="7" spans="1:3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1"/>
      <c r="O7" s="1"/>
      <c r="P7" s="1"/>
    </row>
    <row r="8" spans="1:31">
      <c r="A8" s="62" t="s">
        <v>1</v>
      </c>
      <c r="B8" s="62"/>
      <c r="C8" s="62"/>
      <c r="D8" s="2">
        <v>67.7</v>
      </c>
    </row>
    <row r="9" spans="1:31">
      <c r="A9" s="62" t="s">
        <v>2</v>
      </c>
      <c r="B9" s="62"/>
      <c r="C9" s="62"/>
      <c r="D9" s="2">
        <v>2.0499999999999998</v>
      </c>
      <c r="H9" s="2" t="s">
        <v>4</v>
      </c>
      <c r="I9" s="4">
        <f>D8/D9</f>
        <v>33.024390243902445</v>
      </c>
    </row>
    <row r="10" spans="1:31">
      <c r="A10" s="62" t="s">
        <v>3</v>
      </c>
      <c r="B10" s="62"/>
      <c r="C10" s="62"/>
      <c r="D10" s="2">
        <v>15.57</v>
      </c>
      <c r="H10" s="2" t="s">
        <v>5</v>
      </c>
      <c r="I10" s="5">
        <f>D8/D10</f>
        <v>4.3481053307642901</v>
      </c>
    </row>
    <row r="11" spans="1:31">
      <c r="A11" s="62" t="s">
        <v>74</v>
      </c>
      <c r="B11" s="62"/>
      <c r="C11" s="62"/>
      <c r="D11" s="2">
        <v>4437000000</v>
      </c>
      <c r="H11" s="2" t="s">
        <v>6</v>
      </c>
      <c r="I11" s="5">
        <f>D8/D12</f>
        <v>3.4140191628845189</v>
      </c>
    </row>
    <row r="12" spans="1:31">
      <c r="A12" s="64" t="s">
        <v>75</v>
      </c>
      <c r="B12" s="64"/>
      <c r="C12" s="64"/>
      <c r="D12" s="2">
        <v>19.829999999999998</v>
      </c>
      <c r="H12" s="2" t="s">
        <v>7</v>
      </c>
      <c r="I12" s="5">
        <f>D8/D13</f>
        <v>13.649193548387098</v>
      </c>
    </row>
    <row r="13" spans="1:31">
      <c r="A13" s="65" t="s">
        <v>76</v>
      </c>
      <c r="B13" s="65"/>
      <c r="C13" s="65"/>
      <c r="D13" s="2">
        <v>4.96</v>
      </c>
      <c r="L13" s="6"/>
    </row>
    <row r="14" spans="1:31" ht="14.55" customHeight="1">
      <c r="AA14" s="2" t="e">
        <f>#REF!/K23</f>
        <v>#REF!</v>
      </c>
    </row>
    <row r="15" spans="1:31">
      <c r="W15" s="7">
        <f>(G23-F23)/F23</f>
        <v>8.6430423509075197E-4</v>
      </c>
      <c r="X15" s="7">
        <f>(H23-G23)/G23</f>
        <v>5.9585492227979271E-2</v>
      </c>
      <c r="Y15" s="7">
        <f>(I23-H23)/H23</f>
        <v>4.9714751426242869E-2</v>
      </c>
      <c r="Z15" s="7">
        <f>(J23-I23)/I23</f>
        <v>-0.16459627329192547</v>
      </c>
      <c r="AA15" s="2">
        <f>(K23-J23)/J23</f>
        <v>0.20817843866171004</v>
      </c>
      <c r="AB15" s="8">
        <v>0.03</v>
      </c>
      <c r="AC15" s="8">
        <v>0.03</v>
      </c>
      <c r="AD15" s="8">
        <v>0.04</v>
      </c>
      <c r="AE15" s="8">
        <v>0.04</v>
      </c>
    </row>
    <row r="16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V16" s="2">
        <f>F24/F23</f>
        <v>0.70872947277441656</v>
      </c>
      <c r="W16" s="2">
        <f>G24/G23</f>
        <v>0.71243523316062174</v>
      </c>
      <c r="X16" s="2">
        <f>H24/H23</f>
        <v>0.72371638141809291</v>
      </c>
      <c r="Y16" s="2">
        <f>I24/I23</f>
        <v>0.70419254658385089</v>
      </c>
      <c r="Z16" s="2">
        <f>J24/J23</f>
        <v>0.76394052044609662</v>
      </c>
    </row>
    <row r="17" spans="1:36" ht="14.55" customHeight="1">
      <c r="A17" s="63" t="s">
        <v>71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Z17" s="2">
        <f>K24/K23</f>
        <v>0.71372947277441656</v>
      </c>
      <c r="AA17" s="7">
        <v>-5.0000000000000001E-3</v>
      </c>
      <c r="AB17" s="7">
        <v>-5.0000000000000001E-3</v>
      </c>
      <c r="AC17" s="8">
        <v>0</v>
      </c>
      <c r="AD17" s="7">
        <v>5.0000000000000001E-3</v>
      </c>
      <c r="AE17" s="7">
        <v>5.0000000000000001E-3</v>
      </c>
    </row>
    <row r="18" spans="1:36" ht="18.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AA18" s="7">
        <f>V16-AA17</f>
        <v>0.71372947277441656</v>
      </c>
      <c r="AB18" s="7">
        <f>W16-AB17</f>
        <v>0.71743523316062174</v>
      </c>
      <c r="AC18" s="7">
        <f>X16-AC17</f>
        <v>0.72371638141809291</v>
      </c>
      <c r="AD18" s="7">
        <f>Y16-AD17</f>
        <v>0.69919254658385088</v>
      </c>
      <c r="AE18" s="7">
        <f>Z17-AE17</f>
        <v>0.70872947277441656</v>
      </c>
    </row>
    <row r="19" spans="1:36" ht="18.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AA19" s="2">
        <f>(K23-J23)/J23</f>
        <v>0.20817843866171004</v>
      </c>
      <c r="AB19" s="2">
        <f>(L23-K23)/K23</f>
        <v>0.03</v>
      </c>
      <c r="AC19" s="2">
        <f>(M23-L23)/L23</f>
        <v>3.0000000000000054E-2</v>
      </c>
      <c r="AD19" s="2">
        <f>(N23-M23)/M23</f>
        <v>3.9999999999999973E-2</v>
      </c>
      <c r="AE19" s="2">
        <f>(O23-N23)/N23</f>
        <v>3.9999999999999994E-2</v>
      </c>
    </row>
    <row r="20" spans="1:36" ht="18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Z20" s="8">
        <v>0.5</v>
      </c>
      <c r="AA20" s="2">
        <f>AA19*$Z$20</f>
        <v>0.10408921933085502</v>
      </c>
      <c r="AB20" s="2">
        <f>AB19*$Z$20</f>
        <v>1.4999999999999999E-2</v>
      </c>
      <c r="AC20" s="2">
        <f>AC19*$Z$20</f>
        <v>1.5000000000000027E-2</v>
      </c>
      <c r="AD20" s="2">
        <f>AD19*$Z$20</f>
        <v>1.9999999999999987E-2</v>
      </c>
      <c r="AE20" s="2">
        <f>AE19*$Z$20</f>
        <v>1.9999999999999997E-2</v>
      </c>
    </row>
    <row r="21" spans="1:36" ht="18.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W21" s="2" t="s">
        <v>41</v>
      </c>
      <c r="AA21" s="2">
        <v>1002</v>
      </c>
      <c r="AB21" s="2">
        <v>1043</v>
      </c>
      <c r="AC21" s="2">
        <v>1060</v>
      </c>
      <c r="AD21" s="2">
        <v>1626</v>
      </c>
      <c r="AE21" s="2">
        <v>1536</v>
      </c>
      <c r="AF21" s="2">
        <f>AE21+100</f>
        <v>1636</v>
      </c>
      <c r="AG21" s="2">
        <f t="shared" ref="AG21:AJ21" si="0">AF21+100</f>
        <v>1736</v>
      </c>
      <c r="AH21" s="2">
        <f t="shared" si="0"/>
        <v>1836</v>
      </c>
      <c r="AI21" s="2">
        <f t="shared" si="0"/>
        <v>1936</v>
      </c>
      <c r="AJ21" s="2">
        <f t="shared" si="0"/>
        <v>2036</v>
      </c>
    </row>
    <row r="22" spans="1:36">
      <c r="A22" s="10" t="s">
        <v>98</v>
      </c>
      <c r="B22" s="10"/>
      <c r="C22" s="10"/>
      <c r="D22" s="10"/>
      <c r="E22" s="10"/>
      <c r="F22" s="57">
        <v>2016</v>
      </c>
      <c r="G22" s="57">
        <v>2017</v>
      </c>
      <c r="H22" s="57">
        <v>2018</v>
      </c>
      <c r="I22" s="57">
        <v>2019</v>
      </c>
      <c r="J22" s="57">
        <v>2020</v>
      </c>
      <c r="K22" s="57">
        <v>2021</v>
      </c>
      <c r="L22" s="57">
        <v>2022</v>
      </c>
      <c r="M22" s="57">
        <v>2023</v>
      </c>
      <c r="N22" s="57">
        <v>2024</v>
      </c>
      <c r="O22" s="57">
        <v>2025</v>
      </c>
      <c r="AA22" s="7">
        <f>F27/AA21</f>
        <v>7.8842315369261479E-2</v>
      </c>
      <c r="AB22" s="7">
        <f>G27/AB21</f>
        <v>6.5196548418024927E-2</v>
      </c>
      <c r="AC22" s="7">
        <f>H27/AC21</f>
        <v>6.8867924528301885E-2</v>
      </c>
      <c r="AD22" s="7">
        <f>I27/AD21</f>
        <v>9.7170971709717099E-2</v>
      </c>
      <c r="AE22" s="7">
        <f>J27/AE21</f>
        <v>0.10807291666666667</v>
      </c>
    </row>
    <row r="23" spans="1:36">
      <c r="A23" s="2" t="s">
        <v>29</v>
      </c>
      <c r="F23" s="6">
        <v>1157</v>
      </c>
      <c r="G23" s="6">
        <v>1158</v>
      </c>
      <c r="H23" s="6">
        <v>1227</v>
      </c>
      <c r="I23" s="6">
        <v>1288</v>
      </c>
      <c r="J23" s="6">
        <v>1076</v>
      </c>
      <c r="K23" s="12">
        <v>1300</v>
      </c>
      <c r="L23" s="12">
        <f>K23*(1+AB15)</f>
        <v>1339</v>
      </c>
      <c r="M23" s="12">
        <f>L23*(1+AC15)</f>
        <v>1379.17</v>
      </c>
      <c r="N23" s="12">
        <f>M23*(1+AD15)</f>
        <v>1434.3368</v>
      </c>
      <c r="O23" s="12">
        <f>N23*(1+AE15)</f>
        <v>1491.710272</v>
      </c>
      <c r="Z23" s="7">
        <f>AVERAGE(AA22:AE22)</f>
        <v>8.3630135338394418E-2</v>
      </c>
    </row>
    <row r="24" spans="1:36">
      <c r="A24" s="2" t="s">
        <v>30</v>
      </c>
      <c r="F24" s="6">
        <v>820</v>
      </c>
      <c r="G24" s="6">
        <v>825</v>
      </c>
      <c r="H24" s="6">
        <v>888</v>
      </c>
      <c r="I24" s="6">
        <v>907</v>
      </c>
      <c r="J24" s="6">
        <v>822</v>
      </c>
      <c r="K24" s="12">
        <f>K23*AA18</f>
        <v>927.8483146067415</v>
      </c>
      <c r="L24" s="12">
        <f>L23*AB18</f>
        <v>960.64577720207251</v>
      </c>
      <c r="M24" s="12">
        <f>M23*AC18</f>
        <v>998.12792176039125</v>
      </c>
      <c r="N24" s="12">
        <f>N23*AD18</f>
        <v>1002.8775998509317</v>
      </c>
      <c r="O24" s="12">
        <f>O23*AE18</f>
        <v>1057.2190346067416</v>
      </c>
      <c r="AA24" s="7">
        <f>F28/F23</f>
        <v>8.6430423509075197E-4</v>
      </c>
      <c r="AB24" s="7">
        <f>G28/G23</f>
        <v>1.7271157167530224E-3</v>
      </c>
      <c r="AC24" s="7">
        <f>H28/H23</f>
        <v>1.6299918500407497E-3</v>
      </c>
      <c r="AD24" s="7">
        <f>I28/I23</f>
        <v>2.329192546583851E-3</v>
      </c>
      <c r="AE24" s="7">
        <f>J28/J23</f>
        <v>2.7881040892193307E-3</v>
      </c>
    </row>
    <row r="25" spans="1:36">
      <c r="A25" s="2" t="s">
        <v>39</v>
      </c>
      <c r="F25" s="6">
        <f>F23-F24</f>
        <v>337</v>
      </c>
      <c r="G25" s="6">
        <f t="shared" ref="G25:O25" si="1">G23-G24</f>
        <v>333</v>
      </c>
      <c r="H25" s="6">
        <f t="shared" si="1"/>
        <v>339</v>
      </c>
      <c r="I25" s="6">
        <f t="shared" si="1"/>
        <v>381</v>
      </c>
      <c r="J25" s="6">
        <f t="shared" si="1"/>
        <v>254</v>
      </c>
      <c r="K25" s="12">
        <f t="shared" si="1"/>
        <v>372.1516853932585</v>
      </c>
      <c r="L25" s="12">
        <f t="shared" si="1"/>
        <v>378.35422279792749</v>
      </c>
      <c r="M25" s="12">
        <f t="shared" si="1"/>
        <v>381.04207823960883</v>
      </c>
      <c r="N25" s="12">
        <f t="shared" si="1"/>
        <v>431.45920014906835</v>
      </c>
      <c r="O25" s="12">
        <f t="shared" si="1"/>
        <v>434.49123739325842</v>
      </c>
    </row>
    <row r="26" spans="1:36">
      <c r="A26" s="2" t="s">
        <v>33</v>
      </c>
      <c r="F26" s="6">
        <v>118</v>
      </c>
      <c r="G26" s="6">
        <v>129</v>
      </c>
      <c r="H26" s="6">
        <v>126</v>
      </c>
      <c r="I26" s="6">
        <v>156</v>
      </c>
      <c r="J26" s="6">
        <v>169</v>
      </c>
      <c r="K26" s="12">
        <f>J26*(1+AA20)</f>
        <v>186.59107806691449</v>
      </c>
      <c r="L26" s="12">
        <f>K26*(1+AB20)</f>
        <v>189.3899442379182</v>
      </c>
      <c r="M26" s="12">
        <f>L26*(1+AC20)</f>
        <v>192.23079340148701</v>
      </c>
      <c r="N26" s="12">
        <f>M26*(1+AD20)</f>
        <v>196.07540926951674</v>
      </c>
      <c r="O26" s="12">
        <f>N26*(1+AE20)</f>
        <v>199.99691745490708</v>
      </c>
      <c r="AA26" s="7">
        <f>AVERAGE(AA24:AE24)</f>
        <v>1.867741687537541E-3</v>
      </c>
    </row>
    <row r="27" spans="1:36">
      <c r="A27" s="2" t="s">
        <v>31</v>
      </c>
      <c r="F27" s="6">
        <v>79</v>
      </c>
      <c r="G27" s="6">
        <v>68</v>
      </c>
      <c r="H27" s="6">
        <v>73</v>
      </c>
      <c r="I27" s="6">
        <v>158</v>
      </c>
      <c r="J27" s="6">
        <v>166</v>
      </c>
      <c r="K27" s="12">
        <f>$Z$23*AF21</f>
        <v>136.81890141361328</v>
      </c>
      <c r="L27" s="12">
        <f>$Z$23*AG21</f>
        <v>145.1819149474527</v>
      </c>
      <c r="M27" s="12">
        <f>$Z$23*AH21</f>
        <v>153.54492848129215</v>
      </c>
      <c r="N27" s="12">
        <f>$Z$23*AI21</f>
        <v>161.9079420151316</v>
      </c>
      <c r="O27" s="12">
        <f>$Z$23*AJ21</f>
        <v>170.27095554897105</v>
      </c>
      <c r="X27" s="13">
        <f>K23*$AA$31</f>
        <v>1.2449490867948925</v>
      </c>
      <c r="Y27" s="13">
        <f>L23*$AA$31</f>
        <v>1.2822975593987394</v>
      </c>
      <c r="Z27" s="13">
        <f>M23*$AA$31</f>
        <v>1.3207664861807016</v>
      </c>
      <c r="AA27" s="13">
        <f>N23*$AA$31</f>
        <v>1.3735971456279295</v>
      </c>
      <c r="AB27" s="13">
        <f>O23*$AA$31</f>
        <v>1.4285410314530467</v>
      </c>
    </row>
    <row r="28" spans="1:36">
      <c r="A28" s="2" t="s">
        <v>32</v>
      </c>
      <c r="F28" s="6">
        <v>1</v>
      </c>
      <c r="G28" s="6">
        <v>2</v>
      </c>
      <c r="H28" s="6">
        <v>2</v>
      </c>
      <c r="I28" s="6">
        <v>3</v>
      </c>
      <c r="J28" s="6">
        <v>3</v>
      </c>
      <c r="K28" s="12">
        <f>K23*$AA$26</f>
        <v>2.4280641937988032</v>
      </c>
      <c r="L28" s="12">
        <f>L23*$AA$26</f>
        <v>2.5009061196127673</v>
      </c>
      <c r="M28" s="12">
        <f>M23*$AA$26</f>
        <v>2.5759333032011504</v>
      </c>
      <c r="N28" s="12">
        <f>N23*$AA$26</f>
        <v>2.6789706353291964</v>
      </c>
      <c r="O28" s="12">
        <f>O23*$AA$26</f>
        <v>2.7861294607423646</v>
      </c>
      <c r="X28" s="8">
        <v>0.25</v>
      </c>
      <c r="AF28" s="2">
        <f>AE21</f>
        <v>1536</v>
      </c>
      <c r="AG28" s="12">
        <f>AF31</f>
        <v>1549.1810985863867</v>
      </c>
      <c r="AH28" s="12">
        <f t="shared" ref="AH28:AJ28" si="2">AG31</f>
        <v>1528.999183638934</v>
      </c>
      <c r="AI28" s="12">
        <f t="shared" si="2"/>
        <v>1495.4542551576419</v>
      </c>
      <c r="AJ28" s="12">
        <f t="shared" si="2"/>
        <v>1473.5463131425104</v>
      </c>
    </row>
    <row r="29" spans="1:36">
      <c r="A29" s="2" t="s">
        <v>34</v>
      </c>
      <c r="F29" s="12">
        <v>0</v>
      </c>
      <c r="G29" s="12">
        <v>0</v>
      </c>
      <c r="H29" s="12">
        <v>0</v>
      </c>
      <c r="I29" s="12">
        <v>-7</v>
      </c>
      <c r="J29" s="12">
        <v>11</v>
      </c>
      <c r="K29" s="12">
        <f>X27*(1-$X$28)</f>
        <v>0.93371181509616941</v>
      </c>
      <c r="L29" s="12">
        <f>Y27*(1-$X$28)</f>
        <v>0.96172316954905446</v>
      </c>
      <c r="M29" s="12">
        <f>Z27*(1-$X$28)</f>
        <v>0.99057486463552613</v>
      </c>
      <c r="N29" s="12">
        <f>AA27*(1-$X$28)</f>
        <v>1.0301978592209471</v>
      </c>
      <c r="O29" s="12">
        <f>AB27*(1-$X$28)</f>
        <v>1.0714057735897851</v>
      </c>
      <c r="X29" s="2">
        <f>F29/F23</f>
        <v>0</v>
      </c>
      <c r="Y29" s="2">
        <f>G29/G23</f>
        <v>0</v>
      </c>
      <c r="Z29" s="2">
        <f>H29/H23</f>
        <v>0</v>
      </c>
      <c r="AA29" s="2">
        <f>I29/I23</f>
        <v>-5.434782608695652E-3</v>
      </c>
      <c r="AB29" s="2">
        <f>J29/J23</f>
        <v>1.0223048327137546E-2</v>
      </c>
      <c r="AF29" s="2">
        <v>150</v>
      </c>
      <c r="AG29" s="2">
        <v>125</v>
      </c>
      <c r="AH29" s="2">
        <v>120</v>
      </c>
      <c r="AI29" s="2">
        <v>140</v>
      </c>
      <c r="AJ29" s="2">
        <v>130</v>
      </c>
    </row>
    <row r="30" spans="1:36">
      <c r="A30" s="2" t="s">
        <v>40</v>
      </c>
      <c r="F30" s="12">
        <f>F23-F24-F26</f>
        <v>219</v>
      </c>
      <c r="G30" s="12">
        <f>G23-G24-G26</f>
        <v>204</v>
      </c>
      <c r="H30" s="12">
        <f t="shared" ref="H30:I30" si="3">H23-H24-H26</f>
        <v>213</v>
      </c>
      <c r="I30" s="12">
        <f t="shared" si="3"/>
        <v>225</v>
      </c>
      <c r="J30" s="12">
        <f>J23-J24-J26</f>
        <v>85</v>
      </c>
      <c r="K30" s="12">
        <f>K25-K26</f>
        <v>185.56060732634401</v>
      </c>
      <c r="L30" s="12">
        <f>L25-L26</f>
        <v>188.96427856000929</v>
      </c>
      <c r="M30" s="12">
        <f>M25-M26</f>
        <v>188.81128483812182</v>
      </c>
      <c r="N30" s="12">
        <f>N25-N26</f>
        <v>235.38379087955161</v>
      </c>
      <c r="O30" s="12">
        <f>O25-O26</f>
        <v>234.49431993835134</v>
      </c>
      <c r="AF30" s="12">
        <f>K27</f>
        <v>136.81890141361328</v>
      </c>
      <c r="AG30" s="12">
        <f>L27</f>
        <v>145.1819149474527</v>
      </c>
      <c r="AH30" s="12">
        <f>M27</f>
        <v>153.54492848129215</v>
      </c>
      <c r="AI30" s="12">
        <f>N27</f>
        <v>161.9079420151316</v>
      </c>
      <c r="AJ30" s="12">
        <f>O27</f>
        <v>170.27095554897105</v>
      </c>
    </row>
    <row r="31" spans="1:36">
      <c r="A31" s="2" t="s">
        <v>35</v>
      </c>
      <c r="F31" s="2">
        <v>0</v>
      </c>
      <c r="G31" s="2">
        <v>1</v>
      </c>
      <c r="H31" s="2">
        <v>4</v>
      </c>
      <c r="I31" s="2">
        <v>24</v>
      </c>
      <c r="J31" s="2">
        <v>27</v>
      </c>
      <c r="K31" s="13">
        <f>$W$38*AB34</f>
        <v>12.385165531302038</v>
      </c>
      <c r="L31" s="13">
        <f>$W$38*AC34</f>
        <v>12.190819139227399</v>
      </c>
      <c r="M31" s="13">
        <f>$W$38*AD34</f>
        <v>11.99647274715276</v>
      </c>
      <c r="N31" s="13">
        <f>$W$38*AE34</f>
        <v>11.802126355078119</v>
      </c>
      <c r="O31" s="13">
        <f>$W$38*AF34</f>
        <v>11.60777996300348</v>
      </c>
      <c r="AA31" s="7">
        <f>AVERAGE(X29:AB29)</f>
        <v>9.5765314368837884E-4</v>
      </c>
      <c r="AE31" s="2">
        <f>AF28</f>
        <v>1536</v>
      </c>
      <c r="AF31" s="12">
        <f>AF28+AF29-AF30</f>
        <v>1549.1810985863867</v>
      </c>
      <c r="AG31" s="12">
        <f>AG28+AG29-AG30</f>
        <v>1528.999183638934</v>
      </c>
      <c r="AH31" s="12">
        <f>AH28+AH29-AH30</f>
        <v>1495.4542551576419</v>
      </c>
      <c r="AI31" s="12">
        <f>AI28+AI29-AI30</f>
        <v>1473.5463131425104</v>
      </c>
      <c r="AJ31" s="12">
        <f>AJ28+AJ29-AJ30</f>
        <v>1433.2753575935394</v>
      </c>
    </row>
    <row r="32" spans="1:36">
      <c r="A32" s="2" t="s">
        <v>36</v>
      </c>
      <c r="F32" s="12">
        <f>F30-F31</f>
        <v>219</v>
      </c>
      <c r="G32" s="12">
        <f t="shared" ref="G32:J32" si="4">G30-G31</f>
        <v>203</v>
      </c>
      <c r="H32" s="12">
        <f t="shared" si="4"/>
        <v>209</v>
      </c>
      <c r="I32" s="12">
        <f t="shared" si="4"/>
        <v>201</v>
      </c>
      <c r="J32" s="12">
        <f t="shared" si="4"/>
        <v>58</v>
      </c>
      <c r="K32" s="12">
        <f>K30-K31</f>
        <v>173.17544179504196</v>
      </c>
      <c r="L32" s="12">
        <f>L30-L31</f>
        <v>176.7734594207819</v>
      </c>
      <c r="M32" s="12">
        <f>M30-M31</f>
        <v>176.81481209096907</v>
      </c>
      <c r="N32" s="12">
        <f>N30-N31</f>
        <v>223.5816645244735</v>
      </c>
      <c r="O32" s="12">
        <f>O30-O31</f>
        <v>222.88653997534786</v>
      </c>
      <c r="W32" s="2">
        <v>126</v>
      </c>
      <c r="X32" s="2">
        <v>137</v>
      </c>
      <c r="Y32" s="2">
        <v>100</v>
      </c>
      <c r="Z32" s="2">
        <v>220</v>
      </c>
      <c r="AA32" s="2">
        <v>217</v>
      </c>
    </row>
    <row r="33" spans="1:42">
      <c r="A33" s="2" t="s">
        <v>37</v>
      </c>
      <c r="F33" s="2">
        <v>4</v>
      </c>
      <c r="G33" s="2">
        <v>4</v>
      </c>
      <c r="H33" s="2">
        <v>4</v>
      </c>
      <c r="I33" s="2">
        <v>5</v>
      </c>
      <c r="J33" s="2">
        <v>5</v>
      </c>
      <c r="K33" s="14">
        <f>K32*$AG$41</f>
        <v>5.825294494708471</v>
      </c>
      <c r="L33" s="14">
        <f>L32*$AG$41</f>
        <v>5.9463250060201904</v>
      </c>
      <c r="M33" s="14">
        <f t="shared" ref="M33:O33" si="5">M32*$AG$41</f>
        <v>5.9477160316730542</v>
      </c>
      <c r="N33" s="14">
        <f t="shared" si="5"/>
        <v>7.5208645404446743</v>
      </c>
      <c r="O33" s="14">
        <f t="shared" si="5"/>
        <v>7.4974818646611716</v>
      </c>
      <c r="W33" s="2">
        <v>238</v>
      </c>
      <c r="X33" s="2">
        <v>193</v>
      </c>
      <c r="Y33" s="2">
        <v>145</v>
      </c>
      <c r="Z33" s="2">
        <v>554</v>
      </c>
      <c r="AA33" s="2">
        <v>494</v>
      </c>
    </row>
    <row r="34" spans="1:42">
      <c r="A34" s="2" t="s">
        <v>38</v>
      </c>
      <c r="F34" s="12">
        <f>F32-F33</f>
        <v>215</v>
      </c>
      <c r="G34" s="12">
        <f t="shared" ref="G34:I34" si="6">G32-G33</f>
        <v>199</v>
      </c>
      <c r="H34" s="12">
        <f t="shared" si="6"/>
        <v>205</v>
      </c>
      <c r="I34" s="12">
        <f t="shared" si="6"/>
        <v>196</v>
      </c>
      <c r="J34" s="12">
        <f>J32-J33</f>
        <v>53</v>
      </c>
      <c r="K34" s="12">
        <f>K32-K33</f>
        <v>167.3501473003335</v>
      </c>
      <c r="L34" s="12">
        <f t="shared" ref="L34:O34" si="7">L32-L33</f>
        <v>170.8271344147617</v>
      </c>
      <c r="M34" s="12">
        <f>M32-M33</f>
        <v>170.86709605929602</v>
      </c>
      <c r="N34" s="12">
        <f t="shared" si="7"/>
        <v>216.06079998402882</v>
      </c>
      <c r="O34" s="12">
        <f t="shared" si="7"/>
        <v>215.38905811068668</v>
      </c>
      <c r="V34" s="2" t="s">
        <v>42</v>
      </c>
      <c r="W34" s="2">
        <f>W32+W33</f>
        <v>364</v>
      </c>
      <c r="X34" s="2">
        <f t="shared" ref="X34:AA34" si="8">X32+X33</f>
        <v>330</v>
      </c>
      <c r="Y34" s="2">
        <f t="shared" si="8"/>
        <v>245</v>
      </c>
      <c r="Z34" s="2">
        <f t="shared" si="8"/>
        <v>774</v>
      </c>
      <c r="AA34" s="2">
        <f t="shared" si="8"/>
        <v>711</v>
      </c>
      <c r="AB34" s="2">
        <f>AA34-10</f>
        <v>701</v>
      </c>
      <c r="AC34" s="2">
        <f>AB34-11</f>
        <v>690</v>
      </c>
      <c r="AD34" s="2">
        <f>AC34-11</f>
        <v>679</v>
      </c>
      <c r="AE34" s="2">
        <f t="shared" ref="AE34:AF34" si="9">AD34-11</f>
        <v>668</v>
      </c>
      <c r="AF34" s="2">
        <f t="shared" si="9"/>
        <v>657</v>
      </c>
    </row>
    <row r="35" spans="1:42" ht="14.5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42" ht="14.55" customHeight="1">
      <c r="A36" s="63" t="s">
        <v>70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W36" s="7">
        <f>F31/W34</f>
        <v>0</v>
      </c>
      <c r="X36" s="7">
        <f>G31/X34</f>
        <v>3.0303030303030303E-3</v>
      </c>
      <c r="Y36" s="7">
        <f>H31/Y34</f>
        <v>1.6326530612244899E-2</v>
      </c>
      <c r="Z36" s="7">
        <f>I31/Z34</f>
        <v>3.1007751937984496E-2</v>
      </c>
      <c r="AA36" s="7">
        <f>J31/AA34</f>
        <v>3.7974683544303799E-2</v>
      </c>
    </row>
    <row r="37" spans="1:42" ht="14.5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AK37" s="2">
        <f>J34/4</f>
        <v>13.25</v>
      </c>
      <c r="AL37" s="2">
        <f t="shared" ref="AL37:AP37" si="10">K34/4</f>
        <v>41.837536825083376</v>
      </c>
      <c r="AM37" s="2">
        <f t="shared" si="10"/>
        <v>42.706783603690425</v>
      </c>
      <c r="AN37" s="2">
        <f t="shared" si="10"/>
        <v>42.716774014824004</v>
      </c>
      <c r="AO37" s="2">
        <f t="shared" si="10"/>
        <v>54.015199996007205</v>
      </c>
      <c r="AP37" s="2">
        <f t="shared" si="10"/>
        <v>53.847264527671669</v>
      </c>
    </row>
    <row r="38" spans="1:42" ht="14.5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W38" s="7">
        <f>AVERAGE(W36:AA36)</f>
        <v>1.7667853824967245E-2</v>
      </c>
    </row>
    <row r="39" spans="1:42" ht="14.5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AD39" s="2" t="s">
        <v>43</v>
      </c>
      <c r="AE39" s="16">
        <f>F33/F32</f>
        <v>1.8264840182648401E-2</v>
      </c>
      <c r="AF39" s="16">
        <f>G33/G32</f>
        <v>1.9704433497536946E-2</v>
      </c>
      <c r="AG39" s="16">
        <f>H33/H32</f>
        <v>1.9138755980861243E-2</v>
      </c>
      <c r="AH39" s="16">
        <f>I33/I32</f>
        <v>2.4875621890547265E-2</v>
      </c>
      <c r="AI39" s="16">
        <f>J33/J32</f>
        <v>8.6206896551724144E-2</v>
      </c>
    </row>
    <row r="40" spans="1:42" ht="14.5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</row>
    <row r="41" spans="1:42">
      <c r="A41" s="17" t="s">
        <v>44</v>
      </c>
      <c r="AG41" s="7">
        <f>AVERAGE(AE39:AI39)</f>
        <v>3.3638109620663603E-2</v>
      </c>
    </row>
    <row r="42" spans="1:42" ht="14.55" customHeight="1">
      <c r="A42" s="10" t="s">
        <v>99</v>
      </c>
      <c r="B42" s="10"/>
      <c r="C42" s="10"/>
      <c r="D42" s="10"/>
      <c r="E42" s="10"/>
      <c r="F42" s="17">
        <v>2016</v>
      </c>
      <c r="G42" s="17">
        <v>2017</v>
      </c>
      <c r="H42" s="17">
        <v>2018</v>
      </c>
      <c r="I42" s="17">
        <v>2019</v>
      </c>
      <c r="J42" s="17">
        <v>2020</v>
      </c>
      <c r="K42" s="17">
        <v>2021</v>
      </c>
      <c r="L42" s="17">
        <v>2022</v>
      </c>
      <c r="M42" s="17">
        <v>2023</v>
      </c>
      <c r="N42" s="17">
        <v>2024</v>
      </c>
      <c r="O42" s="17">
        <v>2025</v>
      </c>
      <c r="AC42" s="2">
        <v>365</v>
      </c>
    </row>
    <row r="43" spans="1:42">
      <c r="A43" s="9" t="s">
        <v>45</v>
      </c>
      <c r="F43" s="2">
        <v>73</v>
      </c>
      <c r="G43" s="2">
        <v>13</v>
      </c>
      <c r="H43" s="2">
        <v>48</v>
      </c>
      <c r="I43" s="2">
        <v>52</v>
      </c>
      <c r="J43" s="2">
        <v>122</v>
      </c>
      <c r="K43" s="12">
        <f>SUM(K44:K45)</f>
        <v>3.1246301749392102E-7</v>
      </c>
      <c r="L43" s="12">
        <f t="shared" ref="L43:O43" si="11">SUM(L44:L45)</f>
        <v>3.2437217673622991E-7</v>
      </c>
      <c r="M43" s="12">
        <f t="shared" si="11"/>
        <v>3.3266532589954339E-7</v>
      </c>
      <c r="N43" s="12">
        <f t="shared" si="11"/>
        <v>3.8808687477779543E-7</v>
      </c>
      <c r="O43" s="12">
        <f t="shared" si="11"/>
        <v>3.9582781190722863E-7</v>
      </c>
    </row>
    <row r="44" spans="1:42">
      <c r="A44" s="2" t="s">
        <v>46</v>
      </c>
      <c r="F44" s="2">
        <v>73</v>
      </c>
      <c r="G44" s="2">
        <v>13</v>
      </c>
      <c r="H44" s="2">
        <v>17</v>
      </c>
      <c r="I44" s="2">
        <v>26</v>
      </c>
      <c r="J44" s="2">
        <v>119</v>
      </c>
      <c r="K44" s="12">
        <f>K105/$AG$46</f>
        <v>3.1246301749392102E-7</v>
      </c>
      <c r="L44" s="12">
        <f>L105/$AG$46</f>
        <v>3.2437217673622991E-7</v>
      </c>
      <c r="M44" s="12">
        <f>M105/$AG$46</f>
        <v>3.3266532589954339E-7</v>
      </c>
      <c r="N44" s="12">
        <f>N105/$AG$46</f>
        <v>3.8808687477779543E-7</v>
      </c>
      <c r="O44" s="12">
        <f>O105/$AG$46</f>
        <v>3.9582781190722863E-7</v>
      </c>
      <c r="U44" s="2">
        <f>F46/F23*365</f>
        <v>15.773552290406222</v>
      </c>
      <c r="V44" s="2">
        <f>G46/G23*365</f>
        <v>27.10708117443869</v>
      </c>
      <c r="W44" s="2">
        <f>H46/H23*365</f>
        <v>31.532192339038303</v>
      </c>
      <c r="X44" s="2">
        <f>I46/I23*365</f>
        <v>27.204968944099381</v>
      </c>
      <c r="Y44" s="2">
        <f>J46/J23*365</f>
        <v>30.190520446096656</v>
      </c>
      <c r="Z44" s="2">
        <f>Y44-Z49</f>
        <v>30.690520446096656</v>
      </c>
      <c r="AA44" s="2">
        <f>Z44-AA49</f>
        <v>31.440520446096656</v>
      </c>
      <c r="AB44" s="2">
        <f t="shared" ref="AB44:AD44" si="12">AA44-AB49</f>
        <v>31.690520446096656</v>
      </c>
      <c r="AC44" s="2">
        <f t="shared" si="12"/>
        <v>32.690520446096656</v>
      </c>
      <c r="AD44" s="2">
        <f t="shared" si="12"/>
        <v>33.020520446096654</v>
      </c>
    </row>
    <row r="45" spans="1:42" ht="14.55" customHeight="1">
      <c r="A45" s="2" t="s">
        <v>47</v>
      </c>
      <c r="F45" s="2">
        <f>F43-F44</f>
        <v>0</v>
      </c>
      <c r="G45" s="2">
        <f t="shared" ref="G45:J45" si="13">G43-G44</f>
        <v>0</v>
      </c>
      <c r="H45" s="2">
        <f t="shared" si="13"/>
        <v>31</v>
      </c>
      <c r="I45" s="2">
        <f t="shared" si="13"/>
        <v>26</v>
      </c>
      <c r="J45" s="2">
        <f t="shared" si="13"/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U45" s="2">
        <f>F47/F23*365</f>
        <v>32.1780466724287</v>
      </c>
      <c r="V45" s="2">
        <f>G47/G23*365</f>
        <v>40.030224525043174</v>
      </c>
      <c r="W45" s="2">
        <f>H47/H23*365</f>
        <v>34.209453952730236</v>
      </c>
      <c r="X45" s="2">
        <f>I47/I23*365</f>
        <v>44.491459627329192</v>
      </c>
      <c r="Y45" s="2">
        <f>J47/J23*365</f>
        <v>35.618029739776951</v>
      </c>
      <c r="Z45" s="2">
        <f>Y45-Z50</f>
        <v>36.618029739776951</v>
      </c>
      <c r="AA45" s="2">
        <f t="shared" ref="AA45:AD45" si="14">Z45-AA50</f>
        <v>38.618029739776951</v>
      </c>
      <c r="AB45" s="2">
        <f t="shared" si="14"/>
        <v>40.118029739776951</v>
      </c>
      <c r="AC45" s="2">
        <f t="shared" si="14"/>
        <v>41.368029739776951</v>
      </c>
      <c r="AD45" s="2">
        <f t="shared" si="14"/>
        <v>42.368029739776951</v>
      </c>
    </row>
    <row r="46" spans="1:42">
      <c r="A46" s="9" t="s">
        <v>48</v>
      </c>
      <c r="F46" s="2">
        <v>50</v>
      </c>
      <c r="G46" s="2">
        <v>86</v>
      </c>
      <c r="H46" s="2">
        <v>106</v>
      </c>
      <c r="I46" s="2">
        <v>96</v>
      </c>
      <c r="J46" s="2">
        <v>89</v>
      </c>
      <c r="K46" s="14">
        <f t="shared" ref="K46:O48" si="15">Z54</f>
        <v>90.473972602739735</v>
      </c>
      <c r="L46" s="14">
        <f t="shared" si="15"/>
        <v>92.684931506849324</v>
      </c>
      <c r="M46" s="14">
        <f t="shared" si="15"/>
        <v>93.421917808219177</v>
      </c>
      <c r="N46" s="14">
        <f t="shared" si="15"/>
        <v>96.369863013698634</v>
      </c>
      <c r="O46" s="14">
        <f t="shared" si="15"/>
        <v>97.342684931506852</v>
      </c>
      <c r="U46" s="2">
        <f>F48/F23*365</f>
        <v>24.291270527225585</v>
      </c>
      <c r="V46" s="2">
        <f>G48/G23*365</f>
        <v>25.215889464594127</v>
      </c>
      <c r="W46" s="2">
        <f>H48/H23*365</f>
        <v>20.823145884270577</v>
      </c>
      <c r="X46" s="2">
        <f>I48/I23*365</f>
        <v>11.335403726708075</v>
      </c>
      <c r="Y46" s="2">
        <f>J48/J23*365</f>
        <v>17.639405204460967</v>
      </c>
      <c r="Z46" s="2">
        <f>Y46-Z51</f>
        <v>17.889405204460967</v>
      </c>
      <c r="AA46" s="2">
        <f t="shared" ref="AA46:AD46" si="16">Z46-AA51</f>
        <v>16.889405204460967</v>
      </c>
      <c r="AB46" s="2">
        <f t="shared" si="16"/>
        <v>16.389405204460967</v>
      </c>
      <c r="AC46" s="2">
        <f t="shared" si="16"/>
        <v>18.389405204460967</v>
      </c>
      <c r="AD46" s="2">
        <f t="shared" si="16"/>
        <v>18.829405204460969</v>
      </c>
      <c r="AG46" s="2">
        <v>1000</v>
      </c>
    </row>
    <row r="47" spans="1:42">
      <c r="A47" s="9" t="s">
        <v>14</v>
      </c>
      <c r="F47" s="2">
        <v>102</v>
      </c>
      <c r="G47" s="2">
        <v>127</v>
      </c>
      <c r="H47" s="2">
        <v>115</v>
      </c>
      <c r="I47" s="2">
        <v>157</v>
      </c>
      <c r="J47" s="2">
        <v>105</v>
      </c>
      <c r="K47" s="14">
        <f t="shared" si="15"/>
        <v>107.94794520547946</v>
      </c>
      <c r="L47" s="14">
        <f t="shared" si="15"/>
        <v>113.84383561643835</v>
      </c>
      <c r="M47" s="14">
        <f t="shared" si="15"/>
        <v>118.26575342465753</v>
      </c>
      <c r="N47" s="14">
        <f t="shared" si="15"/>
        <v>121.95068493150684</v>
      </c>
      <c r="O47" s="14">
        <f t="shared" si="15"/>
        <v>124.8986301369863</v>
      </c>
      <c r="U47" s="2">
        <f>F56/F23*365</f>
        <v>19.559204840103718</v>
      </c>
      <c r="V47" s="2">
        <f>G56/G23*365</f>
        <v>24.27029360967185</v>
      </c>
      <c r="W47" s="2">
        <f>H56/H23*365</f>
        <v>38.076609616951913</v>
      </c>
      <c r="X47" s="2">
        <f>I56/I23*365</f>
        <v>28.621894409937887</v>
      </c>
      <c r="Y47" s="2">
        <f>J56/J23*365</f>
        <v>29.851301115241636</v>
      </c>
      <c r="Z47" s="2">
        <f>Y47+Z52</f>
        <v>29.351301115241636</v>
      </c>
      <c r="AA47" s="2">
        <f t="shared" ref="AA47:AD47" si="17">Z47+AA52</f>
        <v>30.351301115241636</v>
      </c>
      <c r="AB47" s="2">
        <f t="shared" si="17"/>
        <v>32.35130111524164</v>
      </c>
      <c r="AC47" s="2">
        <f t="shared" si="17"/>
        <v>33.35130111524164</v>
      </c>
      <c r="AD47" s="2">
        <f t="shared" si="17"/>
        <v>34.10130111524164</v>
      </c>
    </row>
    <row r="48" spans="1:42">
      <c r="A48" s="9" t="s">
        <v>49</v>
      </c>
      <c r="F48" s="2">
        <v>77</v>
      </c>
      <c r="G48" s="2">
        <v>80</v>
      </c>
      <c r="H48" s="2">
        <v>70</v>
      </c>
      <c r="I48" s="2">
        <v>40</v>
      </c>
      <c r="J48" s="2">
        <v>52</v>
      </c>
      <c r="K48" s="14">
        <f t="shared" si="15"/>
        <v>52.736986301369861</v>
      </c>
      <c r="L48" s="14">
        <f t="shared" si="15"/>
        <v>49.789041095890418</v>
      </c>
      <c r="M48" s="14">
        <f t="shared" si="15"/>
        <v>48.31506849315069</v>
      </c>
      <c r="N48" s="14">
        <f t="shared" si="15"/>
        <v>54.210958904109589</v>
      </c>
      <c r="O48" s="14">
        <f t="shared" si="15"/>
        <v>55.508054794520554</v>
      </c>
    </row>
    <row r="49" spans="1:42">
      <c r="A49" s="2" t="s">
        <v>50</v>
      </c>
      <c r="F49" s="2">
        <v>302</v>
      </c>
      <c r="G49" s="2">
        <v>305</v>
      </c>
      <c r="H49" s="2">
        <v>339</v>
      </c>
      <c r="I49" s="2">
        <v>345</v>
      </c>
      <c r="J49" s="2">
        <v>367</v>
      </c>
      <c r="K49" s="13">
        <f>SUM(K44:K48)</f>
        <v>251.15890442205207</v>
      </c>
      <c r="L49" s="13">
        <f>SUM(L44:L48)</f>
        <v>256.31780854355026</v>
      </c>
      <c r="M49" s="13">
        <f>SUM(M44:M48)</f>
        <v>260.00274005869272</v>
      </c>
      <c r="N49" s="13">
        <f t="shared" ref="N49:O49" si="18">SUM(N44:N48)</f>
        <v>272.53150723740191</v>
      </c>
      <c r="O49" s="13">
        <f t="shared" si="18"/>
        <v>277.74937025884151</v>
      </c>
      <c r="Z49" s="2">
        <v>-0.5</v>
      </c>
      <c r="AA49" s="2">
        <v>-0.75</v>
      </c>
      <c r="AB49" s="2">
        <v>-0.25</v>
      </c>
      <c r="AC49" s="2">
        <v>-1</v>
      </c>
      <c r="AD49" s="2">
        <v>-0.33</v>
      </c>
    </row>
    <row r="50" spans="1:42">
      <c r="A50" s="9" t="s">
        <v>41</v>
      </c>
      <c r="F50" s="6">
        <v>1002</v>
      </c>
      <c r="G50" s="6">
        <v>1043</v>
      </c>
      <c r="H50" s="6">
        <v>1060</v>
      </c>
      <c r="I50" s="6">
        <v>1626</v>
      </c>
      <c r="J50" s="6">
        <v>1536</v>
      </c>
      <c r="K50" s="12">
        <f>AF31</f>
        <v>1549.1810985863867</v>
      </c>
      <c r="L50" s="12">
        <f>AG31</f>
        <v>1528.999183638934</v>
      </c>
      <c r="M50" s="12">
        <f>AH31</f>
        <v>1495.4542551576419</v>
      </c>
      <c r="N50" s="12">
        <f>AI31</f>
        <v>1473.5463131425104</v>
      </c>
      <c r="O50" s="12">
        <f>AJ31</f>
        <v>1433.2753575935394</v>
      </c>
      <c r="Z50" s="2">
        <v>-1</v>
      </c>
      <c r="AA50" s="2">
        <v>-2</v>
      </c>
      <c r="AB50" s="2">
        <v>-1.5</v>
      </c>
      <c r="AC50" s="2">
        <v>-1.25</v>
      </c>
      <c r="AD50" s="2">
        <v>-1</v>
      </c>
    </row>
    <row r="51" spans="1:42">
      <c r="A51" s="2" t="s">
        <v>51</v>
      </c>
      <c r="F51" s="2">
        <v>34</v>
      </c>
      <c r="G51" s="2">
        <v>31</v>
      </c>
      <c r="H51" s="2">
        <v>33</v>
      </c>
      <c r="I51" s="2">
        <v>30</v>
      </c>
      <c r="J51" s="2">
        <v>27</v>
      </c>
      <c r="K51" s="13">
        <f t="shared" ref="K51:O53" si="19">Z63</f>
        <v>18.156164383561645</v>
      </c>
      <c r="L51" s="13">
        <f t="shared" si="19"/>
        <v>24.052054794520547</v>
      </c>
      <c r="M51" s="13">
        <f t="shared" si="19"/>
        <v>15.20821917808219</v>
      </c>
      <c r="N51" s="13">
        <f t="shared" si="19"/>
        <v>6.3643835616438347</v>
      </c>
      <c r="O51" s="13">
        <f t="shared" si="19"/>
        <v>12.260273972602739</v>
      </c>
      <c r="Z51" s="2">
        <v>-0.25</v>
      </c>
      <c r="AA51" s="2">
        <v>1</v>
      </c>
      <c r="AB51" s="2">
        <v>0.5</v>
      </c>
      <c r="AC51" s="2">
        <v>-2</v>
      </c>
      <c r="AD51" s="2">
        <v>-0.44</v>
      </c>
    </row>
    <row r="52" spans="1:42">
      <c r="A52" s="2" t="s">
        <v>52</v>
      </c>
      <c r="F52" s="2" t="s">
        <v>9</v>
      </c>
      <c r="G52" s="2" t="s">
        <v>9</v>
      </c>
      <c r="H52" s="2" t="s">
        <v>9</v>
      </c>
      <c r="I52" s="2">
        <v>11</v>
      </c>
      <c r="J52" s="2">
        <v>8</v>
      </c>
      <c r="K52" s="18">
        <f t="shared" si="19"/>
        <v>8.7369863013698641</v>
      </c>
      <c r="L52" s="18">
        <f t="shared" si="19"/>
        <v>10.210958904109589</v>
      </c>
      <c r="M52" s="18">
        <f t="shared" si="19"/>
        <v>12.421917808219179</v>
      </c>
      <c r="N52" s="18">
        <f t="shared" si="19"/>
        <v>15.369863013698632</v>
      </c>
      <c r="O52" s="18">
        <f t="shared" si="19"/>
        <v>19.054794520547947</v>
      </c>
      <c r="Z52" s="2">
        <v>-0.5</v>
      </c>
      <c r="AA52" s="2">
        <v>1</v>
      </c>
      <c r="AB52" s="2">
        <v>2</v>
      </c>
      <c r="AC52" s="2">
        <v>1</v>
      </c>
      <c r="AD52" s="2">
        <v>0.75</v>
      </c>
    </row>
    <row r="53" spans="1:42">
      <c r="A53" s="2" t="s">
        <v>53</v>
      </c>
      <c r="F53" s="12">
        <v>4</v>
      </c>
      <c r="G53" s="2">
        <v>11</v>
      </c>
      <c r="H53" s="2">
        <v>10</v>
      </c>
      <c r="I53" s="2">
        <v>15</v>
      </c>
      <c r="J53" s="2">
        <v>11</v>
      </c>
      <c r="K53" s="13">
        <f t="shared" si="19"/>
        <v>13.947945205479453</v>
      </c>
      <c r="L53" s="13">
        <f t="shared" si="19"/>
        <v>16.895890410958906</v>
      </c>
      <c r="M53" s="13">
        <f t="shared" si="19"/>
        <v>19.843835616438358</v>
      </c>
      <c r="N53" s="13">
        <f t="shared" si="19"/>
        <v>22.791780821917811</v>
      </c>
      <c r="O53" s="13">
        <f t="shared" si="19"/>
        <v>25.739726027397261</v>
      </c>
    </row>
    <row r="54" spans="1:42">
      <c r="A54" s="9" t="s">
        <v>54</v>
      </c>
      <c r="F54" s="12">
        <v>1342</v>
      </c>
      <c r="G54" s="6">
        <v>1391</v>
      </c>
      <c r="H54" s="6">
        <v>1442</v>
      </c>
      <c r="I54" s="6">
        <v>2028</v>
      </c>
      <c r="J54" s="6">
        <v>1949</v>
      </c>
      <c r="K54" s="13">
        <f>SUM(K49:K53)</f>
        <v>1841.1810988988498</v>
      </c>
      <c r="L54" s="13">
        <f t="shared" ref="L54:O54" si="20">SUM(L49:L53)</f>
        <v>1836.475896292073</v>
      </c>
      <c r="M54" s="13">
        <f t="shared" si="20"/>
        <v>1802.9309678190743</v>
      </c>
      <c r="N54" s="13">
        <f t="shared" si="20"/>
        <v>1790.6038477771726</v>
      </c>
      <c r="O54" s="13">
        <f t="shared" si="20"/>
        <v>1768.079522372929</v>
      </c>
      <c r="Z54" s="2">
        <f t="shared" ref="Z54:AD57" si="21">$J$23*(Z44/$AC$42)</f>
        <v>90.473972602739735</v>
      </c>
      <c r="AA54" s="2">
        <f t="shared" si="21"/>
        <v>92.684931506849324</v>
      </c>
      <c r="AB54" s="2">
        <f t="shared" si="21"/>
        <v>93.421917808219177</v>
      </c>
      <c r="AC54" s="2">
        <f t="shared" si="21"/>
        <v>96.369863013698634</v>
      </c>
      <c r="AD54" s="2">
        <f t="shared" si="21"/>
        <v>97.342684931506852</v>
      </c>
    </row>
    <row r="55" spans="1:42">
      <c r="A55" s="17" t="s">
        <v>65</v>
      </c>
      <c r="F55" s="11"/>
      <c r="Z55" s="2">
        <f t="shared" si="21"/>
        <v>107.94794520547946</v>
      </c>
      <c r="AA55" s="2">
        <f t="shared" si="21"/>
        <v>113.84383561643835</v>
      </c>
      <c r="AB55" s="2">
        <f t="shared" si="21"/>
        <v>118.26575342465753</v>
      </c>
      <c r="AC55" s="2">
        <f t="shared" si="21"/>
        <v>121.95068493150684</v>
      </c>
      <c r="AD55" s="2">
        <f t="shared" si="21"/>
        <v>124.8986301369863</v>
      </c>
    </row>
    <row r="56" spans="1:42">
      <c r="A56" s="9" t="s">
        <v>15</v>
      </c>
      <c r="F56" s="2">
        <v>62</v>
      </c>
      <c r="G56" s="2">
        <v>77</v>
      </c>
      <c r="H56" s="2">
        <v>128</v>
      </c>
      <c r="I56" s="2">
        <v>101</v>
      </c>
      <c r="J56" s="2">
        <v>88</v>
      </c>
      <c r="K56" s="2">
        <f>Z57</f>
        <v>86.526027397260279</v>
      </c>
      <c r="L56" s="2">
        <f>AA57</f>
        <v>89.473972602739735</v>
      </c>
      <c r="M56" s="2">
        <f>AB57</f>
        <v>95.369863013698648</v>
      </c>
      <c r="N56" s="2">
        <f>AC57</f>
        <v>98.317808219178104</v>
      </c>
      <c r="O56" s="2">
        <f>AD57</f>
        <v>100.52876712328768</v>
      </c>
      <c r="Z56" s="2">
        <f t="shared" si="21"/>
        <v>52.736986301369861</v>
      </c>
      <c r="AA56" s="2">
        <f t="shared" si="21"/>
        <v>49.789041095890418</v>
      </c>
      <c r="AB56" s="2">
        <f t="shared" si="21"/>
        <v>48.31506849315069</v>
      </c>
      <c r="AC56" s="2">
        <f t="shared" si="21"/>
        <v>54.210958904109589</v>
      </c>
      <c r="AD56" s="2">
        <f t="shared" si="21"/>
        <v>55.508054794520554</v>
      </c>
      <c r="AF56" s="2">
        <f>(AG57-AF57)/AF57</f>
        <v>0.14285714285714285</v>
      </c>
      <c r="AG56" s="2">
        <f>(AH57-AG57)/AG57</f>
        <v>0.25</v>
      </c>
      <c r="AH56" s="2">
        <f>(AI57-AH57)/AH57</f>
        <v>0.4</v>
      </c>
      <c r="AI56" s="2">
        <f>(AJ57-AI57)/AI57</f>
        <v>0</v>
      </c>
      <c r="AJ56" s="2">
        <f>AVERAGE(AF56:AI56)</f>
        <v>0.19821428571428573</v>
      </c>
      <c r="AK56" s="2">
        <f>AVERAGE(AF56:AJ56)</f>
        <v>0.19821428571428573</v>
      </c>
      <c r="AL56" s="2">
        <f>AVERAGE(AF56:AK56)</f>
        <v>0.1982142857142857</v>
      </c>
    </row>
    <row r="57" spans="1:42">
      <c r="A57" s="2" t="s">
        <v>67</v>
      </c>
      <c r="F57" s="12">
        <v>126</v>
      </c>
      <c r="G57" s="12">
        <v>137</v>
      </c>
      <c r="H57" s="2">
        <v>100</v>
      </c>
      <c r="I57" s="2">
        <v>220</v>
      </c>
      <c r="J57" s="2">
        <v>217</v>
      </c>
      <c r="K57" s="2">
        <f>Z71</f>
        <v>242</v>
      </c>
      <c r="L57" s="2">
        <f>AA71</f>
        <v>242</v>
      </c>
      <c r="M57" s="2">
        <f>AB71</f>
        <v>242</v>
      </c>
      <c r="N57" s="2">
        <f>AC71</f>
        <v>257</v>
      </c>
      <c r="O57" s="2">
        <f>AD71</f>
        <v>257</v>
      </c>
      <c r="T57" s="12">
        <f>G51-F51</f>
        <v>-3</v>
      </c>
      <c r="U57" s="12">
        <f>H51-G51</f>
        <v>2</v>
      </c>
      <c r="V57" s="12">
        <f>I51-H51</f>
        <v>-3</v>
      </c>
      <c r="W57" s="12">
        <f>J51-I51</f>
        <v>-3</v>
      </c>
      <c r="X57" s="12">
        <f>29-J51</f>
        <v>2</v>
      </c>
      <c r="Z57" s="2">
        <f t="shared" si="21"/>
        <v>86.526027397260279</v>
      </c>
      <c r="AA57" s="2">
        <f t="shared" si="21"/>
        <v>89.473972602739735</v>
      </c>
      <c r="AB57" s="2">
        <f t="shared" si="21"/>
        <v>95.369863013698648</v>
      </c>
      <c r="AC57" s="2">
        <f t="shared" si="21"/>
        <v>98.317808219178104</v>
      </c>
      <c r="AD57" s="2">
        <f t="shared" si="21"/>
        <v>100.52876712328768</v>
      </c>
      <c r="AF57" s="12">
        <f>F58</f>
        <v>7</v>
      </c>
      <c r="AG57" s="12">
        <f>G58</f>
        <v>8</v>
      </c>
      <c r="AH57" s="12">
        <f>H58</f>
        <v>10</v>
      </c>
      <c r="AI57" s="12">
        <f t="shared" ref="AG57:AJ58" si="22">I58</f>
        <v>14</v>
      </c>
      <c r="AJ57" s="12">
        <f t="shared" si="22"/>
        <v>14</v>
      </c>
      <c r="AK57" s="12">
        <f>AJ57*(1+AJ56)</f>
        <v>16.774999999999999</v>
      </c>
      <c r="AL57" s="12">
        <f>AK57</f>
        <v>16.774999999999999</v>
      </c>
      <c r="AM57" s="12">
        <f>AK57*(1+AK56)</f>
        <v>20.100044642857142</v>
      </c>
      <c r="AN57" s="12">
        <f>AM57</f>
        <v>20.100044642857142</v>
      </c>
      <c r="AO57" s="2">
        <f>AN57*(1+AL56)</f>
        <v>24.084160634566324</v>
      </c>
    </row>
    <row r="58" spans="1:42">
      <c r="A58" s="9" t="s">
        <v>55</v>
      </c>
      <c r="F58" s="12">
        <v>7</v>
      </c>
      <c r="G58" s="12">
        <v>8</v>
      </c>
      <c r="H58" s="2">
        <v>10</v>
      </c>
      <c r="I58" s="2">
        <v>14</v>
      </c>
      <c r="J58" s="2">
        <v>14</v>
      </c>
      <c r="K58" s="12">
        <f>AK57</f>
        <v>16.774999999999999</v>
      </c>
      <c r="L58" s="12">
        <f t="shared" ref="L58:O58" si="23">AL57</f>
        <v>16.774999999999999</v>
      </c>
      <c r="M58" s="12">
        <f t="shared" si="23"/>
        <v>20.100044642857142</v>
      </c>
      <c r="N58" s="12">
        <f t="shared" si="23"/>
        <v>20.100044642857142</v>
      </c>
      <c r="O58" s="12">
        <f t="shared" si="23"/>
        <v>24.084160634566324</v>
      </c>
      <c r="T58" s="12">
        <v>0.25</v>
      </c>
      <c r="U58" s="12">
        <v>0.5</v>
      </c>
      <c r="V58" s="12">
        <v>0.75</v>
      </c>
      <c r="W58" s="12">
        <v>1</v>
      </c>
      <c r="X58" s="12">
        <v>1.25</v>
      </c>
      <c r="AF58" s="12">
        <f>F59</f>
        <v>47</v>
      </c>
      <c r="AG58" s="12">
        <f t="shared" si="22"/>
        <v>47</v>
      </c>
      <c r="AH58" s="12">
        <f t="shared" si="22"/>
        <v>61</v>
      </c>
      <c r="AI58" s="12">
        <f t="shared" si="22"/>
        <v>67</v>
      </c>
      <c r="AJ58" s="12">
        <f t="shared" si="22"/>
        <v>83</v>
      </c>
      <c r="AK58" s="12">
        <f>AJ58</f>
        <v>83</v>
      </c>
      <c r="AL58" s="12">
        <f>AK58*(1+AL59)</f>
        <v>99.55946982908965</v>
      </c>
      <c r="AM58" s="12">
        <f>AL58*(1+AM59)</f>
        <v>103.4715880569422</v>
      </c>
      <c r="AN58" s="12">
        <f>AM58*(1+AN59)</f>
        <v>113.93784565600507</v>
      </c>
      <c r="AO58" s="12">
        <f>AN58*(1+AO59)</f>
        <v>120.6677406360041</v>
      </c>
    </row>
    <row r="59" spans="1:42">
      <c r="A59" s="9" t="s">
        <v>56</v>
      </c>
      <c r="F59" s="2">
        <v>47</v>
      </c>
      <c r="G59" s="2">
        <v>47</v>
      </c>
      <c r="H59" s="2">
        <v>61</v>
      </c>
      <c r="I59" s="2">
        <v>67</v>
      </c>
      <c r="J59" s="2">
        <v>83</v>
      </c>
      <c r="K59" s="12">
        <f>AK58</f>
        <v>83</v>
      </c>
      <c r="L59" s="12">
        <f t="shared" ref="L59:O59" si="24">AL58</f>
        <v>99.55946982908965</v>
      </c>
      <c r="M59" s="12">
        <f t="shared" si="24"/>
        <v>103.4715880569422</v>
      </c>
      <c r="N59" s="12">
        <f t="shared" si="24"/>
        <v>113.93784565600507</v>
      </c>
      <c r="O59" s="12">
        <f t="shared" si="24"/>
        <v>120.6677406360041</v>
      </c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2">
        <f>J51/$J$23*$AC$42</f>
        <v>9.1589219330855016</v>
      </c>
      <c r="Z59" s="12">
        <f t="shared" ref="Z59:AD61" si="25">Y59+T57</f>
        <v>6.1589219330855016</v>
      </c>
      <c r="AA59" s="12">
        <f t="shared" si="25"/>
        <v>8.1589219330855016</v>
      </c>
      <c r="AB59" s="12">
        <f t="shared" si="25"/>
        <v>5.1589219330855016</v>
      </c>
      <c r="AC59" s="12">
        <f t="shared" si="25"/>
        <v>2.1589219330855016</v>
      </c>
      <c r="AD59" s="12">
        <f t="shared" si="25"/>
        <v>4.1589219330855016</v>
      </c>
      <c r="AH59" s="2">
        <f>(AH58-AG58)/AG58</f>
        <v>0.2978723404255319</v>
      </c>
      <c r="AI59" s="2">
        <f t="shared" ref="AI59" si="26">(AI58-AH58)/AH58</f>
        <v>9.8360655737704916E-2</v>
      </c>
      <c r="AJ59" s="2">
        <f>(AJ58-AI58)/AI58</f>
        <v>0.23880597014925373</v>
      </c>
      <c r="AK59" s="2">
        <f>AJ59</f>
        <v>0.23880597014925373</v>
      </c>
      <c r="AL59" s="2">
        <f>AH59-AI59</f>
        <v>0.19951168468782698</v>
      </c>
      <c r="AM59" s="2">
        <f>AJ59-AL59</f>
        <v>3.9294285461426742E-2</v>
      </c>
      <c r="AN59" s="2">
        <f>AL59-AI59</f>
        <v>0.10115102895012207</v>
      </c>
      <c r="AO59" s="2">
        <f>AI59-AM59</f>
        <v>5.9066370276278174E-2</v>
      </c>
    </row>
    <row r="60" spans="1:42">
      <c r="A60" s="2" t="s">
        <v>57</v>
      </c>
      <c r="F60" s="11">
        <v>242</v>
      </c>
      <c r="G60" s="11">
        <v>269</v>
      </c>
      <c r="H60" s="11">
        <v>299</v>
      </c>
      <c r="I60" s="11">
        <v>402</v>
      </c>
      <c r="J60" s="11">
        <v>402</v>
      </c>
      <c r="K60" s="2">
        <f>SUM(K56:K59)</f>
        <v>428.30102739726027</v>
      </c>
      <c r="L60" s="2">
        <f t="shared" ref="L60:O60" si="27">SUM(L56:L59)</f>
        <v>447.80844243182941</v>
      </c>
      <c r="M60" s="2">
        <f t="shared" si="27"/>
        <v>460.941495713498</v>
      </c>
      <c r="N60" s="2">
        <f t="shared" si="27"/>
        <v>489.3556985180403</v>
      </c>
      <c r="O60" s="2">
        <f t="shared" si="27"/>
        <v>502.28066839385815</v>
      </c>
      <c r="Y60" s="2">
        <f>J52/$J$23*$AC$42</f>
        <v>2.7137546468401488</v>
      </c>
      <c r="Z60" s="12">
        <f t="shared" si="25"/>
        <v>2.9637546468401488</v>
      </c>
      <c r="AA60" s="12">
        <f t="shared" si="25"/>
        <v>3.4637546468401488</v>
      </c>
      <c r="AB60" s="12">
        <f t="shared" si="25"/>
        <v>4.2137546468401492</v>
      </c>
      <c r="AC60" s="12">
        <f t="shared" si="25"/>
        <v>5.2137546468401492</v>
      </c>
      <c r="AD60" s="12">
        <f t="shared" si="25"/>
        <v>6.4637546468401492</v>
      </c>
    </row>
    <row r="61" spans="1:42">
      <c r="A61" s="2" t="s">
        <v>58</v>
      </c>
      <c r="F61" s="2">
        <v>238</v>
      </c>
      <c r="G61" s="2">
        <v>193</v>
      </c>
      <c r="H61" s="2">
        <v>145</v>
      </c>
      <c r="I61" s="2">
        <v>554</v>
      </c>
      <c r="J61" s="2">
        <v>494</v>
      </c>
      <c r="K61" s="2">
        <f>Z76</f>
        <v>469</v>
      </c>
      <c r="L61" s="2">
        <f>AA76</f>
        <v>459</v>
      </c>
      <c r="M61" s="2">
        <f>AB76</f>
        <v>449</v>
      </c>
      <c r="N61" s="2">
        <f>AC76</f>
        <v>434</v>
      </c>
      <c r="O61" s="2">
        <f>AD76</f>
        <v>424</v>
      </c>
      <c r="Y61" s="2">
        <f>J53/$J$23*$AC$42</f>
        <v>3.7314126394052045</v>
      </c>
      <c r="Z61" s="12">
        <f t="shared" si="25"/>
        <v>4.731412639405205</v>
      </c>
      <c r="AA61" s="12">
        <f t="shared" si="25"/>
        <v>5.731412639405205</v>
      </c>
      <c r="AB61" s="12">
        <f t="shared" si="25"/>
        <v>6.731412639405205</v>
      </c>
      <c r="AC61" s="12">
        <f t="shared" si="25"/>
        <v>7.731412639405205</v>
      </c>
      <c r="AD61" s="12">
        <f t="shared" si="25"/>
        <v>8.731412639405205</v>
      </c>
    </row>
    <row r="62" spans="1:42">
      <c r="A62" s="9" t="s">
        <v>59</v>
      </c>
      <c r="F62" s="2">
        <v>59</v>
      </c>
      <c r="G62" s="2">
        <v>62</v>
      </c>
      <c r="H62" s="2">
        <v>66</v>
      </c>
      <c r="I62" s="2">
        <v>73</v>
      </c>
      <c r="J62" s="2">
        <v>94</v>
      </c>
      <c r="K62" s="2">
        <f>AL62</f>
        <v>104.5</v>
      </c>
      <c r="L62" s="2">
        <f t="shared" ref="L62:O62" si="28">AM62</f>
        <v>111.85</v>
      </c>
      <c r="M62" s="2">
        <f t="shared" si="28"/>
        <v>120.30249999999999</v>
      </c>
      <c r="N62" s="2">
        <f t="shared" si="28"/>
        <v>130.44549999999998</v>
      </c>
      <c r="O62" s="2">
        <f t="shared" si="28"/>
        <v>142.61709999999999</v>
      </c>
      <c r="AG62" s="2">
        <f>F62</f>
        <v>59</v>
      </c>
      <c r="AH62" s="2">
        <f t="shared" ref="AH62:AK62" si="29">G62</f>
        <v>62</v>
      </c>
      <c r="AI62" s="2">
        <f t="shared" si="29"/>
        <v>66</v>
      </c>
      <c r="AJ62" s="2">
        <f t="shared" si="29"/>
        <v>73</v>
      </c>
      <c r="AK62" s="2">
        <f t="shared" si="29"/>
        <v>94</v>
      </c>
      <c r="AL62" s="2">
        <f>AK62+AL63</f>
        <v>104.5</v>
      </c>
      <c r="AM62" s="2">
        <f>AL62+AM63</f>
        <v>111.85</v>
      </c>
      <c r="AN62" s="2">
        <f t="shared" ref="AN62:AO62" si="30">AM62+AN63</f>
        <v>120.30249999999999</v>
      </c>
      <c r="AO62" s="2">
        <f t="shared" si="30"/>
        <v>130.44549999999998</v>
      </c>
      <c r="AP62" s="2">
        <f>AO62+AP63</f>
        <v>142.61709999999999</v>
      </c>
    </row>
    <row r="63" spans="1:42">
      <c r="A63" s="9" t="s">
        <v>60</v>
      </c>
      <c r="F63" s="2">
        <v>539</v>
      </c>
      <c r="G63" s="2">
        <v>524</v>
      </c>
      <c r="H63" s="2">
        <v>510</v>
      </c>
      <c r="I63" s="6">
        <v>1030</v>
      </c>
      <c r="J63" s="2">
        <v>990</v>
      </c>
      <c r="K63" s="2">
        <f>SUM(K60:K62)</f>
        <v>1001.8010273972602</v>
      </c>
      <c r="L63" s="2">
        <f t="shared" ref="L63:O63" si="31">SUM(L60:L62)</f>
        <v>1018.6584424318295</v>
      </c>
      <c r="M63" s="2">
        <f t="shared" si="31"/>
        <v>1030.243995713498</v>
      </c>
      <c r="N63" s="2">
        <f t="shared" si="31"/>
        <v>1053.8011985180403</v>
      </c>
      <c r="O63" s="2">
        <f t="shared" si="31"/>
        <v>1068.8977683938581</v>
      </c>
      <c r="Z63" s="2">
        <f t="shared" ref="Z63:AD65" si="32">$J$23*(Z59/$AC$42)</f>
        <v>18.156164383561645</v>
      </c>
      <c r="AA63" s="2">
        <f t="shared" si="32"/>
        <v>24.052054794520547</v>
      </c>
      <c r="AB63" s="2">
        <f t="shared" si="32"/>
        <v>15.20821917808219</v>
      </c>
      <c r="AC63" s="2">
        <f t="shared" si="32"/>
        <v>6.3643835616438347</v>
      </c>
      <c r="AD63" s="2">
        <f t="shared" si="32"/>
        <v>12.260273972602739</v>
      </c>
      <c r="AH63" s="2">
        <f>AH62-AG62</f>
        <v>3</v>
      </c>
      <c r="AI63" s="2">
        <f>AI62-AH62</f>
        <v>4</v>
      </c>
      <c r="AJ63" s="2">
        <f>AJ62-AI62</f>
        <v>7</v>
      </c>
      <c r="AK63" s="2">
        <f>AK62-AJ62</f>
        <v>21</v>
      </c>
      <c r="AL63" s="2">
        <f>AK63*(1-0.5)</f>
        <v>10.5</v>
      </c>
      <c r="AM63" s="2">
        <f>AL63*(1-0.3)</f>
        <v>7.35</v>
      </c>
      <c r="AN63" s="2">
        <f>AM63*(1+0.15)</f>
        <v>8.4524999999999988</v>
      </c>
      <c r="AO63" s="2">
        <f>AN63*(1+0.2)</f>
        <v>10.142999999999999</v>
      </c>
      <c r="AP63" s="2">
        <f>AO63*(1+0.2)</f>
        <v>12.171599999999998</v>
      </c>
    </row>
    <row r="64" spans="1:42">
      <c r="Z64" s="2">
        <f t="shared" si="32"/>
        <v>8.7369863013698641</v>
      </c>
      <c r="AA64" s="2">
        <f t="shared" si="32"/>
        <v>10.210958904109589</v>
      </c>
      <c r="AB64" s="2">
        <f t="shared" si="32"/>
        <v>12.421917808219179</v>
      </c>
      <c r="AC64" s="2">
        <f t="shared" si="32"/>
        <v>15.369863013698632</v>
      </c>
      <c r="AD64" s="2">
        <f t="shared" si="32"/>
        <v>19.054794520547947</v>
      </c>
    </row>
    <row r="65" spans="1:30">
      <c r="Z65" s="2">
        <f t="shared" si="32"/>
        <v>13.947945205479453</v>
      </c>
      <c r="AA65" s="2">
        <f t="shared" si="32"/>
        <v>16.895890410958906</v>
      </c>
      <c r="AB65" s="2">
        <f t="shared" si="32"/>
        <v>19.843835616438358</v>
      </c>
      <c r="AC65" s="2">
        <f t="shared" si="32"/>
        <v>22.791780821917811</v>
      </c>
      <c r="AD65" s="2">
        <f t="shared" si="32"/>
        <v>25.739726027397261</v>
      </c>
    </row>
    <row r="66" spans="1:30">
      <c r="A66" s="17" t="s">
        <v>66</v>
      </c>
    </row>
    <row r="67" spans="1:30">
      <c r="A67" s="9" t="s">
        <v>61</v>
      </c>
      <c r="F67" s="2">
        <v>462</v>
      </c>
      <c r="G67" s="2">
        <v>647</v>
      </c>
      <c r="H67" s="2">
        <v>647</v>
      </c>
      <c r="I67" s="2">
        <v>647</v>
      </c>
      <c r="J67" s="2">
        <v>647</v>
      </c>
      <c r="K67" s="2">
        <v>647</v>
      </c>
      <c r="L67" s="2">
        <v>647</v>
      </c>
      <c r="M67" s="2">
        <v>647</v>
      </c>
      <c r="N67" s="2">
        <v>647</v>
      </c>
      <c r="O67" s="2">
        <v>647</v>
      </c>
    </row>
    <row r="68" spans="1:30">
      <c r="A68" s="9" t="s">
        <v>62</v>
      </c>
      <c r="F68" s="2">
        <v>202</v>
      </c>
      <c r="G68" s="2">
        <v>181</v>
      </c>
      <c r="H68" s="2">
        <v>227</v>
      </c>
      <c r="I68" s="2">
        <v>271</v>
      </c>
      <c r="J68" s="2">
        <v>227</v>
      </c>
      <c r="K68" s="2">
        <f>J68+(AK37)</f>
        <v>240.25</v>
      </c>
      <c r="L68" s="2">
        <f t="shared" ref="L68:O68" si="33">K68+(AL37)</f>
        <v>282.08753682508336</v>
      </c>
      <c r="M68" s="2">
        <f t="shared" si="33"/>
        <v>324.7943204287738</v>
      </c>
      <c r="N68" s="2">
        <f t="shared" si="33"/>
        <v>367.51109444359781</v>
      </c>
      <c r="O68" s="2">
        <f t="shared" si="33"/>
        <v>421.52629443960501</v>
      </c>
    </row>
    <row r="69" spans="1:30">
      <c r="A69" s="9" t="s">
        <v>63</v>
      </c>
      <c r="F69" s="2">
        <v>139</v>
      </c>
      <c r="G69" s="2">
        <v>39</v>
      </c>
      <c r="H69" s="2">
        <v>59</v>
      </c>
      <c r="I69" s="2">
        <v>80</v>
      </c>
      <c r="J69" s="2">
        <v>86</v>
      </c>
      <c r="K69" s="2">
        <f>J69+(AK37*0.5)</f>
        <v>92.625</v>
      </c>
      <c r="L69" s="2">
        <f t="shared" ref="L69:O69" si="34">K69+(AL37*0.5)</f>
        <v>113.54376841254168</v>
      </c>
      <c r="M69" s="2">
        <f t="shared" si="34"/>
        <v>134.8971602143869</v>
      </c>
      <c r="N69" s="2">
        <f t="shared" si="34"/>
        <v>156.25554722179891</v>
      </c>
      <c r="O69" s="2">
        <f t="shared" si="34"/>
        <v>183.26314721980251</v>
      </c>
      <c r="Z69" s="12">
        <f>J57</f>
        <v>217</v>
      </c>
      <c r="AA69" s="2">
        <f>Z71</f>
        <v>242</v>
      </c>
      <c r="AB69" s="2">
        <f t="shared" ref="AB69:AD69" si="35">AA71</f>
        <v>242</v>
      </c>
      <c r="AC69" s="2">
        <f t="shared" si="35"/>
        <v>242</v>
      </c>
      <c r="AD69" s="2">
        <f t="shared" si="35"/>
        <v>257</v>
      </c>
    </row>
    <row r="70" spans="1:30">
      <c r="A70" s="9" t="s">
        <v>64</v>
      </c>
      <c r="F70" s="2">
        <v>803</v>
      </c>
      <c r="G70" s="2">
        <v>867</v>
      </c>
      <c r="H70" s="2">
        <v>933</v>
      </c>
      <c r="I70" s="2">
        <v>998</v>
      </c>
      <c r="J70" s="2">
        <v>959</v>
      </c>
      <c r="K70" s="2">
        <f>SUM(K67:K69)</f>
        <v>979.875</v>
      </c>
      <c r="L70" s="2">
        <f t="shared" ref="L70:O70" si="36">SUM(L67:L69)</f>
        <v>1042.6313052376249</v>
      </c>
      <c r="M70" s="2">
        <f t="shared" si="36"/>
        <v>1106.6914806431607</v>
      </c>
      <c r="N70" s="2">
        <f t="shared" si="36"/>
        <v>1170.7666416653967</v>
      </c>
      <c r="O70" s="2">
        <f t="shared" si="36"/>
        <v>1251.7894416594074</v>
      </c>
      <c r="Z70" s="2">
        <v>25</v>
      </c>
      <c r="AA70" s="2">
        <v>0</v>
      </c>
      <c r="AB70" s="2">
        <v>0</v>
      </c>
      <c r="AC70" s="2">
        <v>15</v>
      </c>
      <c r="AD70" s="2">
        <v>0</v>
      </c>
    </row>
    <row r="71" spans="1:30">
      <c r="A71" s="9" t="s">
        <v>94</v>
      </c>
      <c r="F71" s="6">
        <v>1342</v>
      </c>
      <c r="G71" s="6">
        <v>1391</v>
      </c>
      <c r="H71" s="6">
        <v>1442</v>
      </c>
      <c r="I71" s="6">
        <v>2028</v>
      </c>
      <c r="J71" s="6">
        <v>1949</v>
      </c>
      <c r="K71" s="2">
        <f>SUM(K63,K70)</f>
        <v>1981.6760273972602</v>
      </c>
      <c r="L71" s="2">
        <f>SUM(L63,L70)</f>
        <v>2061.2897476694543</v>
      </c>
      <c r="M71" s="2">
        <f>SUM(M63,M70)</f>
        <v>2136.9354763566589</v>
      </c>
      <c r="N71" s="2">
        <f>SUM(N63,N70)</f>
        <v>2224.5678401834371</v>
      </c>
      <c r="O71" s="2">
        <f>SUM(O63,O70)</f>
        <v>2320.6872100532655</v>
      </c>
      <c r="Z71" s="2">
        <f>SUM(Z69,Z70)</f>
        <v>242</v>
      </c>
      <c r="AA71" s="2">
        <f t="shared" ref="AA71:AD71" si="37">SUM(AA69,AA70)</f>
        <v>242</v>
      </c>
      <c r="AB71" s="2">
        <f t="shared" si="37"/>
        <v>242</v>
      </c>
      <c r="AC71" s="2">
        <f t="shared" si="37"/>
        <v>257</v>
      </c>
      <c r="AD71" s="2">
        <f t="shared" si="37"/>
        <v>257</v>
      </c>
    </row>
    <row r="72" spans="1:30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30">
      <c r="A73" s="63" t="s">
        <v>69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30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Z74" s="2">
        <f>J61</f>
        <v>494</v>
      </c>
      <c r="AA74" s="2">
        <f>Z76</f>
        <v>469</v>
      </c>
      <c r="AB74" s="2">
        <f t="shared" ref="AB74:AD74" si="38">AA76</f>
        <v>459</v>
      </c>
      <c r="AC74" s="2">
        <f t="shared" si="38"/>
        <v>449</v>
      </c>
      <c r="AD74" s="2">
        <f t="shared" si="38"/>
        <v>434</v>
      </c>
    </row>
    <row r="75" spans="1:30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Z75" s="2">
        <f>-Z70</f>
        <v>-25</v>
      </c>
      <c r="AA75" s="2">
        <v>-10</v>
      </c>
      <c r="AB75" s="2">
        <v>-10</v>
      </c>
      <c r="AC75" s="2">
        <v>-15</v>
      </c>
      <c r="AD75" s="2">
        <v>-10</v>
      </c>
    </row>
    <row r="76" spans="1:30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Z76" s="2">
        <f>SUM(Z74,Z75)</f>
        <v>469</v>
      </c>
      <c r="AA76" s="2">
        <f t="shared" ref="AA76:AD76" si="39">SUM(AA74,AA75)</f>
        <v>459</v>
      </c>
      <c r="AB76" s="2">
        <f t="shared" si="39"/>
        <v>449</v>
      </c>
      <c r="AC76" s="2">
        <f t="shared" si="39"/>
        <v>434</v>
      </c>
      <c r="AD76" s="2">
        <f t="shared" si="39"/>
        <v>424</v>
      </c>
    </row>
    <row r="77" spans="1:30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30">
      <c r="A78" s="19" t="s">
        <v>68</v>
      </c>
      <c r="B78" s="1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30" ht="14.55" customHeight="1">
      <c r="A79" s="10" t="s">
        <v>96</v>
      </c>
      <c r="B79" s="10"/>
      <c r="C79" s="10"/>
      <c r="D79" s="10"/>
      <c r="E79" s="10"/>
      <c r="F79" s="11">
        <v>2016</v>
      </c>
      <c r="G79" s="2">
        <v>2017</v>
      </c>
      <c r="H79" s="2">
        <v>2018</v>
      </c>
      <c r="I79" s="2">
        <v>2019</v>
      </c>
      <c r="J79" s="2">
        <v>2020</v>
      </c>
      <c r="K79" s="2">
        <v>2021</v>
      </c>
      <c r="L79" s="2">
        <v>2022</v>
      </c>
      <c r="M79" s="2">
        <v>2023</v>
      </c>
      <c r="N79" s="2">
        <v>2024</v>
      </c>
      <c r="O79" s="2">
        <v>2025</v>
      </c>
      <c r="Z79" s="2">
        <f>(Z71+Z76)*$W$38</f>
        <v>12.561844069551711</v>
      </c>
      <c r="AA79" s="2">
        <f>(AA71+AA76)*$W$38</f>
        <v>12.385165531302038</v>
      </c>
      <c r="AB79" s="2">
        <f t="shared" ref="AB79:AD79" si="40">(AB71+AB76)*$W$38</f>
        <v>12.208486993052366</v>
      </c>
      <c r="AC79" s="2">
        <f t="shared" si="40"/>
        <v>12.208486993052366</v>
      </c>
      <c r="AD79" s="2">
        <f t="shared" si="40"/>
        <v>12.031808454802693</v>
      </c>
    </row>
    <row r="80" spans="1:30">
      <c r="A80" s="9" t="s">
        <v>8</v>
      </c>
      <c r="F80" s="2">
        <v>217.07989999999998</v>
      </c>
      <c r="G80" s="2">
        <v>200.0421</v>
      </c>
      <c r="H80" s="2">
        <v>204.1695</v>
      </c>
      <c r="I80" s="2">
        <v>201.14529999999999</v>
      </c>
      <c r="J80" s="2">
        <v>58.198699999999995</v>
      </c>
      <c r="K80" s="13">
        <f>(K32*$AB$81)/1000</f>
        <v>173.17544179504196</v>
      </c>
      <c r="L80" s="13">
        <f>(L32*$AB$81)/1000</f>
        <v>176.7734594207819</v>
      </c>
      <c r="M80" s="13">
        <f>(M32*$AB$81)/1000</f>
        <v>176.81481209096907</v>
      </c>
      <c r="N80" s="13">
        <f>(N32*$AB$81)/1000</f>
        <v>223.5816645244735</v>
      </c>
      <c r="O80" s="13">
        <f>(O32*$AB$81)/1000</f>
        <v>222.88653997534786</v>
      </c>
    </row>
    <row r="81" spans="1:38">
      <c r="A81" s="2" t="s">
        <v>10</v>
      </c>
      <c r="F81" s="2">
        <v>79.818600000000004</v>
      </c>
      <c r="G81" s="2">
        <v>69.556600000000003</v>
      </c>
      <c r="H81" s="2">
        <v>74.632899999999992</v>
      </c>
      <c r="I81" s="2">
        <v>160.31639999999999</v>
      </c>
      <c r="J81" s="2">
        <v>169.06389999999999</v>
      </c>
      <c r="K81" s="13">
        <f>((K27+K28)*$AB$81)/1000</f>
        <v>139.24696560741208</v>
      </c>
      <c r="L81" s="13">
        <f>((L27+L28)*$AB$81)/1000</f>
        <v>147.68282106706548</v>
      </c>
      <c r="M81" s="13">
        <f>((M27+M28)*$AB$81)/1000</f>
        <v>156.12086178449329</v>
      </c>
      <c r="N81" s="13">
        <f>((N27+N28)*$AB$81)/1000</f>
        <v>164.58691265046079</v>
      </c>
      <c r="O81" s="13">
        <f>((O27+O28)*$AB$81)/1000</f>
        <v>173.0570850097134</v>
      </c>
      <c r="AB81" s="2">
        <v>1000</v>
      </c>
    </row>
    <row r="82" spans="1:38" ht="14.55" customHeight="1">
      <c r="A82" s="2" t="s">
        <v>12</v>
      </c>
      <c r="F82" s="2">
        <v>-15.661700000000002</v>
      </c>
      <c r="G82" s="2">
        <v>-59.540199999999999</v>
      </c>
      <c r="H82" s="2">
        <v>56.761400000000002</v>
      </c>
      <c r="I82" s="2">
        <v>-19.5671</v>
      </c>
      <c r="J82" s="2">
        <v>17.6904</v>
      </c>
      <c r="K82" s="13">
        <f>(SUM(K83:K86))/1000</f>
        <v>-5.158904109589052E-3</v>
      </c>
      <c r="L82" s="13">
        <f>(SUM(L83:L86))/1000</f>
        <v>-8.1068493150684724E-3</v>
      </c>
      <c r="M82" s="13">
        <f>(SUM(M83:M86))/1000</f>
        <v>-7.3698630136984631E-4</v>
      </c>
      <c r="N82" s="13">
        <f>(SUM(N83:N86))/1000</f>
        <v>2.2109589041095887E-3</v>
      </c>
      <c r="O82" s="13">
        <f>(SUM(O83:O86))/1000</f>
        <v>-4.1271232876713524E-4</v>
      </c>
      <c r="R82" s="2">
        <f>F80/1000</f>
        <v>0.21707989999999999</v>
      </c>
    </row>
    <row r="83" spans="1:38">
      <c r="B83" s="2" t="s">
        <v>13</v>
      </c>
      <c r="F83" s="2">
        <v>-18.827900000000003</v>
      </c>
      <c r="G83" s="2">
        <v>-39.828000000000003</v>
      </c>
      <c r="H83" s="2">
        <v>-10.576700000000001</v>
      </c>
      <c r="I83" s="2">
        <v>46.317099999999996</v>
      </c>
      <c r="J83" s="2">
        <v>-11.3255</v>
      </c>
      <c r="K83" s="13">
        <f t="shared" ref="K83:O84" si="41">((J46-K46)*1000)/1000</f>
        <v>-1.4739726027397353</v>
      </c>
      <c r="L83" s="13">
        <f t="shared" si="41"/>
        <v>-2.2109589041095887</v>
      </c>
      <c r="M83" s="13">
        <f t="shared" si="41"/>
        <v>-0.73698630136985344</v>
      </c>
      <c r="N83" s="13">
        <f t="shared" si="41"/>
        <v>-2.9479452054794564</v>
      </c>
      <c r="O83" s="13">
        <f t="shared" si="41"/>
        <v>-0.97282191780821847</v>
      </c>
    </row>
    <row r="84" spans="1:38">
      <c r="B84" s="2" t="s">
        <v>14</v>
      </c>
      <c r="F84" s="2">
        <v>7.1921999999999997</v>
      </c>
      <c r="G84" s="2">
        <v>-25.084</v>
      </c>
      <c r="H84" s="2">
        <v>11.4733</v>
      </c>
      <c r="I84" s="2">
        <v>-41.392800000000001</v>
      </c>
      <c r="J84" s="2">
        <v>37.136699999999998</v>
      </c>
      <c r="K84" s="13">
        <f t="shared" si="41"/>
        <v>-2.9479452054794564</v>
      </c>
      <c r="L84" s="13">
        <f t="shared" si="41"/>
        <v>-5.8958904109588985</v>
      </c>
      <c r="M84" s="13">
        <f t="shared" si="41"/>
        <v>-4.4219178082191775</v>
      </c>
      <c r="N84" s="13">
        <f t="shared" si="41"/>
        <v>-3.6849315068493098</v>
      </c>
      <c r="O84" s="13">
        <f t="shared" si="41"/>
        <v>-2.9479452054794564</v>
      </c>
      <c r="AC84" s="20">
        <v>-178517.4</v>
      </c>
      <c r="AD84" s="20">
        <v>-114117.9</v>
      </c>
      <c r="AE84" s="20">
        <v>-97613.6</v>
      </c>
      <c r="AF84" s="20">
        <v>-76222.600000000006</v>
      </c>
      <c r="AG84" s="20">
        <v>-56920.3</v>
      </c>
      <c r="AH84" s="20">
        <f>AG84-AG86</f>
        <v>-45536.240000000005</v>
      </c>
      <c r="AI84" s="2">
        <f>AH86</f>
        <v>-54643.488000000005</v>
      </c>
      <c r="AJ84" s="2">
        <f>AI86</f>
        <v>-68304.36</v>
      </c>
      <c r="AK84" s="2">
        <f>AJ86</f>
        <v>-82648.275599999994</v>
      </c>
      <c r="AL84" s="2">
        <f>AK86</f>
        <v>-94219.034183999989</v>
      </c>
    </row>
    <row r="85" spans="1:38">
      <c r="B85" s="2" t="s">
        <v>15</v>
      </c>
      <c r="F85" s="2">
        <v>-0.24199999999999999</v>
      </c>
      <c r="G85" s="2">
        <v>14.429500000000001</v>
      </c>
      <c r="H85" s="2">
        <v>65.738399999999999</v>
      </c>
      <c r="I85" s="2">
        <v>-20.281700000000001</v>
      </c>
      <c r="J85" s="2">
        <v>-4.0779000000000005</v>
      </c>
      <c r="K85" s="13">
        <f>((K56-J56)*1000)/1000</f>
        <v>-1.4739726027397209</v>
      </c>
      <c r="L85" s="13">
        <f>((L56-K56)*1000)/1000</f>
        <v>2.9479452054794564</v>
      </c>
      <c r="M85" s="13">
        <f>((M56-L56)*1000)/1000</f>
        <v>5.8958904109589128</v>
      </c>
      <c r="N85" s="13">
        <f>((N56-M56)*1000)/1000</f>
        <v>2.9479452054794564</v>
      </c>
      <c r="O85" s="13">
        <f>((O56-N56)*1000)/1000</f>
        <v>2.2109589041095745</v>
      </c>
      <c r="AC85" s="2">
        <f>(AC84-AD84)/AC84</f>
        <v>0.36074634741487388</v>
      </c>
      <c r="AD85" s="2">
        <f>(AD84-AE84)/AD84</f>
        <v>0.14462498871780841</v>
      </c>
      <c r="AE85" s="2">
        <f t="shared" ref="AE85:AF85" si="42">(AE84-AF84)/AE84</f>
        <v>0.21913954612881811</v>
      </c>
      <c r="AF85" s="2">
        <f t="shared" si="42"/>
        <v>0.2532359169065343</v>
      </c>
      <c r="AG85" s="2">
        <f>AE90</f>
        <v>0.2</v>
      </c>
      <c r="AH85" s="2">
        <v>1.2</v>
      </c>
      <c r="AI85" s="2">
        <v>1.25</v>
      </c>
      <c r="AJ85" s="2">
        <v>1.21</v>
      </c>
      <c r="AK85" s="2">
        <v>1.1399999999999999</v>
      </c>
      <c r="AL85" s="2">
        <v>1.36</v>
      </c>
    </row>
    <row r="86" spans="1:38">
      <c r="B86" s="2" t="s">
        <v>16</v>
      </c>
      <c r="F86" s="2">
        <v>-3.7839999999999998</v>
      </c>
      <c r="G86" s="2">
        <v>-9.0577000000000005</v>
      </c>
      <c r="H86" s="2">
        <v>-9.8735999999999997</v>
      </c>
      <c r="I86" s="2">
        <v>-4.2096999999999998</v>
      </c>
      <c r="J86" s="2">
        <v>-4.0429000000000004</v>
      </c>
      <c r="K86" s="13">
        <f>((K48-J48)*$AB$81)/1000</f>
        <v>0.73698630136986043</v>
      </c>
      <c r="L86" s="13">
        <f>((L48-K48)*$AB$81)/1000</f>
        <v>-2.9479452054794417</v>
      </c>
      <c r="M86" s="13">
        <f>((M48-L48)*$AB$81)/1000</f>
        <v>-1.4739726027397282</v>
      </c>
      <c r="N86" s="13">
        <f>((N48-M48)*$AB$81)/1000</f>
        <v>5.8958904109588985</v>
      </c>
      <c r="O86" s="13">
        <f>((O48-N48)*$AB$81)/1000</f>
        <v>1.2970958904109651</v>
      </c>
      <c r="AC86" s="2">
        <f>AC84*AC85</f>
        <v>-64399.500000000007</v>
      </c>
      <c r="AD86" s="2">
        <f t="shared" ref="AD86:AL86" si="43">AD85*AD84</f>
        <v>-16504.299999999988</v>
      </c>
      <c r="AE86" s="2">
        <f t="shared" si="43"/>
        <v>-21391</v>
      </c>
      <c r="AF86" s="2">
        <f t="shared" si="43"/>
        <v>-19302.300000000003</v>
      </c>
      <c r="AG86" s="2">
        <f t="shared" si="43"/>
        <v>-11384.060000000001</v>
      </c>
      <c r="AH86" s="2">
        <f t="shared" si="43"/>
        <v>-54643.488000000005</v>
      </c>
      <c r="AI86" s="2">
        <f t="shared" si="43"/>
        <v>-68304.36</v>
      </c>
      <c r="AJ86" s="2">
        <f t="shared" si="43"/>
        <v>-82648.275599999994</v>
      </c>
      <c r="AK86" s="2">
        <f t="shared" si="43"/>
        <v>-94219.034183999989</v>
      </c>
      <c r="AL86" s="2">
        <f t="shared" si="43"/>
        <v>-128137.88649023999</v>
      </c>
    </row>
    <row r="87" spans="1:38">
      <c r="A87" s="2" t="s">
        <v>17</v>
      </c>
      <c r="F87" s="2">
        <v>281.23669999999998</v>
      </c>
      <c r="G87" s="2">
        <v>210.05850000000001</v>
      </c>
      <c r="H87" s="2">
        <v>335.56380000000001</v>
      </c>
      <c r="I87" s="2">
        <v>341.8947</v>
      </c>
      <c r="J87" s="2">
        <f>(SUM(J80:J82))</f>
        <v>244.953</v>
      </c>
      <c r="K87" s="13">
        <f>(SUM(K80:K82))</f>
        <v>312.41724849834446</v>
      </c>
      <c r="L87" s="13">
        <f>(SUM(L80:L82))</f>
        <v>324.4481736385323</v>
      </c>
      <c r="M87" s="13">
        <f>(SUM(M80:M82))</f>
        <v>332.93493688916101</v>
      </c>
      <c r="N87" s="13">
        <f>(SUM(N80:N82))</f>
        <v>388.17078813383841</v>
      </c>
      <c r="O87" s="13">
        <f>(SUM(O80:O82))</f>
        <v>395.94321227273252</v>
      </c>
    </row>
    <row r="88" spans="1:38"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AE88" s="2">
        <f>AVERAGE(AC86:AF86)</f>
        <v>-30399.274999999998</v>
      </c>
    </row>
    <row r="89" spans="1:38" ht="14.55" customHeight="1"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AE89" s="2">
        <f>AE88/5</f>
        <v>-6079.8549999999996</v>
      </c>
    </row>
    <row r="90" spans="1:38">
      <c r="A90" s="17" t="s">
        <v>18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AE90" s="2">
        <f>AE89/AE88</f>
        <v>0.2</v>
      </c>
    </row>
    <row r="91" spans="1:38" ht="14.55" customHeight="1">
      <c r="A91" s="2" t="s">
        <v>19</v>
      </c>
      <c r="F91" s="2">
        <v>-178.51739999999998</v>
      </c>
      <c r="G91" s="2">
        <v>-114.11789999999999</v>
      </c>
      <c r="H91" s="2">
        <v>-97.613600000000005</v>
      </c>
      <c r="I91" s="2">
        <v>-76.2226</v>
      </c>
      <c r="J91" s="2">
        <v>-56.920300000000005</v>
      </c>
      <c r="K91" s="13">
        <f>(AH84)/1000</f>
        <v>-45.536240000000006</v>
      </c>
      <c r="L91" s="13">
        <f>(AI84)/1000</f>
        <v>-54.643488000000005</v>
      </c>
      <c r="M91" s="13">
        <f>(AJ84)/1000</f>
        <v>-68.304360000000003</v>
      </c>
      <c r="N91" s="13">
        <f>(AK84)/1000</f>
        <v>-82.648275599999991</v>
      </c>
      <c r="O91" s="13">
        <f>(AL84)/1000</f>
        <v>-94.219034183999995</v>
      </c>
      <c r="AC91" s="12" cm="1">
        <f t="array" ref="AC91:AG91">F92:J92</f>
        <v>3.0633000000000004</v>
      </c>
      <c r="AD91" s="2">
        <v>0.25259999999999999</v>
      </c>
      <c r="AE91" s="2">
        <v>1.8042</v>
      </c>
      <c r="AF91" s="2">
        <v>5.5202</v>
      </c>
      <c r="AG91" s="2">
        <v>1.3517999999999999</v>
      </c>
    </row>
    <row r="92" spans="1:38">
      <c r="A92" s="2" t="s">
        <v>20</v>
      </c>
      <c r="F92" s="2">
        <v>3.0633000000000004</v>
      </c>
      <c r="G92" s="2">
        <v>0.25259999999999999</v>
      </c>
      <c r="H92" s="2">
        <v>1.8042</v>
      </c>
      <c r="I92" s="2">
        <v>5.5202</v>
      </c>
      <c r="J92" s="2">
        <v>1.3517999999999999</v>
      </c>
      <c r="K92" s="13">
        <f>(F92*(1+AC97))/1000</f>
        <v>3.9124952635485035E-3</v>
      </c>
      <c r="L92" s="13">
        <f>(G92*(1+AD97))/1000</f>
        <v>2.6603664078851922E-5</v>
      </c>
      <c r="M92" s="13">
        <f>(H92*(1+AE97))/1000</f>
        <v>1.3572008405533641E-3</v>
      </c>
      <c r="N92" s="13">
        <f>(I92*(1+AF97))/1000</f>
        <v>1.2705284328849825E-2</v>
      </c>
      <c r="O92" s="13">
        <f>(J92*(1+AG97))/1000</f>
        <v>7.6190293609959873E-4</v>
      </c>
    </row>
    <row r="93" spans="1:38">
      <c r="A93" s="2" t="s">
        <v>21</v>
      </c>
      <c r="F93" s="2" t="s">
        <v>9</v>
      </c>
      <c r="G93" s="2" t="s">
        <v>9</v>
      </c>
      <c r="H93" s="2">
        <v>-30.327900000000003</v>
      </c>
      <c r="I93" s="2">
        <v>4.1223000000000001</v>
      </c>
      <c r="J93" s="2">
        <v>24.412400000000002</v>
      </c>
      <c r="K93" s="13">
        <f>(-AF31)/1000</f>
        <v>-1.5491810985863868</v>
      </c>
      <c r="L93" s="13">
        <f>(-AG31)/1000</f>
        <v>-1.5289991836389341</v>
      </c>
      <c r="M93" s="13">
        <f>(-AH31)/1000</f>
        <v>-1.495454255157642</v>
      </c>
      <c r="N93" s="13">
        <f>(-AI31)/1000</f>
        <v>-1.4735463131425104</v>
      </c>
      <c r="O93" s="13">
        <f>(-AJ31)/1000</f>
        <v>-1.4332753575935393</v>
      </c>
    </row>
    <row r="94" spans="1:38" ht="14.55" customHeight="1">
      <c r="A94" s="2" t="s">
        <v>22</v>
      </c>
      <c r="F94" s="2" t="s">
        <v>9</v>
      </c>
      <c r="G94" s="2" t="s">
        <v>9</v>
      </c>
      <c r="H94" s="2" t="s">
        <v>9</v>
      </c>
      <c r="I94" s="2">
        <v>1.8525</v>
      </c>
      <c r="J94" s="2">
        <v>0.73129999999999995</v>
      </c>
      <c r="K94" s="13">
        <f>($AF$101)/1000</f>
        <v>5.1676000000000001E-4</v>
      </c>
      <c r="L94" s="13">
        <f>($AF$101)/1000</f>
        <v>5.1676000000000001E-4</v>
      </c>
      <c r="M94" s="13">
        <f>($AF$101)/1000</f>
        <v>5.1676000000000001E-4</v>
      </c>
      <c r="N94" s="13">
        <f>($AF$101)/1000</f>
        <v>5.1676000000000001E-4</v>
      </c>
      <c r="O94" s="13">
        <f>($AF$101)/1000</f>
        <v>5.1676000000000001E-4</v>
      </c>
      <c r="AD94" s="12">
        <f>AVERAGE(_xlfn.ANCHORARRAY(AC91))</f>
        <v>2.3984200000000002</v>
      </c>
    </row>
    <row r="95" spans="1:38">
      <c r="A95" s="2" t="s">
        <v>23</v>
      </c>
      <c r="F95" s="2">
        <v>-175.45410000000001</v>
      </c>
      <c r="G95" s="2">
        <v>-113.8653</v>
      </c>
      <c r="H95" s="2">
        <v>-126.1373</v>
      </c>
      <c r="I95" s="2">
        <v>-64.727599999999995</v>
      </c>
      <c r="J95" s="2">
        <v>-30.424799999999998</v>
      </c>
      <c r="K95" s="13">
        <f>(SUM(K91:K94))/1000</f>
        <v>-4.7080991843322852E-2</v>
      </c>
      <c r="L95" s="13">
        <f>(SUM(L91:L94))/1000</f>
        <v>-5.6171943819974854E-2</v>
      </c>
      <c r="M95" s="13">
        <f>(SUM(M91:M94))/1000</f>
        <v>-6.9797940294317087E-2</v>
      </c>
      <c r="N95" s="13">
        <f>(SUM(N91:N94))/1000</f>
        <v>-8.4108599868813652E-2</v>
      </c>
      <c r="O95" s="13">
        <f>(SUM(O91:O94))/1000</f>
        <v>-9.5651030878657436E-2</v>
      </c>
      <c r="AC95" s="7">
        <f>AC$91/$AD$94</f>
        <v>1.2772158337572235</v>
      </c>
      <c r="AD95" s="7">
        <f t="shared" ref="AD95:AG95" si="44">AD$91/$AD$94</f>
        <v>0.10531933522902576</v>
      </c>
      <c r="AE95" s="7">
        <f t="shared" si="44"/>
        <v>0.75224522810850469</v>
      </c>
      <c r="AF95" s="7">
        <f t="shared" si="44"/>
        <v>2.3015985523803169</v>
      </c>
      <c r="AG95" s="7">
        <f t="shared" si="44"/>
        <v>0.56362105052492883</v>
      </c>
    </row>
    <row r="96" spans="1:38"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 spans="1:33"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AC97" s="7">
        <f>AC95-1</f>
        <v>0.27721583375722347</v>
      </c>
      <c r="AD97" s="7">
        <f t="shared" ref="AD97:AE97" si="45">AD95-1</f>
        <v>-0.89468066477097419</v>
      </c>
      <c r="AE97" s="7">
        <f t="shared" si="45"/>
        <v>-0.24775477189149531</v>
      </c>
      <c r="AF97" s="7">
        <f>AF95-1</f>
        <v>1.3015985523803169</v>
      </c>
      <c r="AG97" s="7">
        <f>AG95-1</f>
        <v>-0.43637894947507117</v>
      </c>
    </row>
    <row r="98" spans="1:33">
      <c r="A98" s="17" t="s">
        <v>24</v>
      </c>
      <c r="B98" s="17"/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 spans="1:33">
      <c r="A99" s="2" t="s">
        <v>25</v>
      </c>
      <c r="F99" s="2">
        <v>-140.4</v>
      </c>
      <c r="G99" s="2">
        <v>-135.78</v>
      </c>
      <c r="H99" s="2">
        <v>-137.678</v>
      </c>
      <c r="I99" s="2">
        <v>-135.828</v>
      </c>
      <c r="J99" s="2">
        <v>-71.147999999999996</v>
      </c>
      <c r="K99" s="13">
        <f>($AD$104)/1000</f>
        <v>-0.1374215</v>
      </c>
      <c r="L99" s="13">
        <f>($AD$104)/1000</f>
        <v>-0.1374215</v>
      </c>
      <c r="M99" s="13">
        <f>($AD$104)/1000</f>
        <v>-0.1374215</v>
      </c>
      <c r="N99" s="13">
        <f>($AD$104)/1000</f>
        <v>-0.1374215</v>
      </c>
      <c r="O99" s="13">
        <f>($AD$104)/1000</f>
        <v>-0.1374215</v>
      </c>
      <c r="AC99" s="2">
        <v>0</v>
      </c>
      <c r="AD99" s="2">
        <v>0</v>
      </c>
      <c r="AE99" s="2">
        <v>0</v>
      </c>
      <c r="AF99" s="12">
        <f>I94</f>
        <v>1.8525</v>
      </c>
      <c r="AG99" s="12">
        <f>J94</f>
        <v>0.73129999999999995</v>
      </c>
    </row>
    <row r="100" spans="1:33">
      <c r="A100" s="2" t="s">
        <v>26</v>
      </c>
      <c r="F100" s="2">
        <v>74.074600000000004</v>
      </c>
      <c r="G100" s="2">
        <v>-35.654800000000002</v>
      </c>
      <c r="H100" s="2">
        <v>-97.350800000000007</v>
      </c>
      <c r="I100" s="2">
        <v>-58.167400000000001</v>
      </c>
      <c r="J100" s="2">
        <v>-39.176900000000003</v>
      </c>
      <c r="K100" s="13">
        <f>((K57-J57)+(K61-J61))/1000</f>
        <v>0</v>
      </c>
      <c r="L100" s="13">
        <f>((L57-K57)+(L61-K61)*2000)/1000</f>
        <v>-20</v>
      </c>
      <c r="M100" s="13">
        <f>((M57-L57)+(M61-L61)*20000)/1000</f>
        <v>-200</v>
      </c>
      <c r="N100" s="13">
        <f>((N57-M57)+(N61-M61))/1000</f>
        <v>0</v>
      </c>
      <c r="O100" s="13">
        <f>((O57-N57)+(O61-N61)*2000)/1000</f>
        <v>-20</v>
      </c>
    </row>
    <row r="101" spans="1:33">
      <c r="A101" s="2" t="s">
        <v>11</v>
      </c>
      <c r="F101" s="2" t="s">
        <v>9</v>
      </c>
      <c r="G101" s="2" t="s">
        <v>9</v>
      </c>
      <c r="H101" s="2" t="s">
        <v>9</v>
      </c>
      <c r="I101" s="2">
        <v>-1.7333000000000001</v>
      </c>
      <c r="J101" s="2">
        <v>-2.6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AF101" s="2">
        <f>AVERAGE(AC99:AG99)</f>
        <v>0.51676</v>
      </c>
    </row>
    <row r="102" spans="1:33">
      <c r="A102" s="2" t="s">
        <v>27</v>
      </c>
      <c r="F102" s="2">
        <f>(SUM(F99:F100))/1000</f>
        <v>-6.6325400000000007E-2</v>
      </c>
      <c r="G102" s="2">
        <f>(SUM(G99:G100))/1000</f>
        <v>-0.1714348</v>
      </c>
      <c r="H102" s="2">
        <f>(SUM(H99:H100))/1000</f>
        <v>-0.23502879999999998</v>
      </c>
      <c r="I102" s="2">
        <f>(SUM(I99:I101))/1000</f>
        <v>-0.19572870000000003</v>
      </c>
      <c r="J102" s="2">
        <f>(SUM(J99:J101))/1000</f>
        <v>-0.11292489999999999</v>
      </c>
      <c r="K102" s="13">
        <f>(K99+K100+K101)/1000</f>
        <v>-1.3742149999999999E-4</v>
      </c>
      <c r="L102" s="13">
        <f>(L99+L100+L101)/1000</f>
        <v>-2.0137421499999999E-2</v>
      </c>
      <c r="M102" s="13">
        <f>(M99+M100+M101)/1000</f>
        <v>-0.2001374215</v>
      </c>
      <c r="N102" s="13">
        <f>(N99+N100+N101)/1000</f>
        <v>-1.3742149999999999E-4</v>
      </c>
      <c r="O102" s="13">
        <f>(O99+O100+O101)/1000</f>
        <v>-2.0137421499999999E-2</v>
      </c>
    </row>
    <row r="103" spans="1:33">
      <c r="A103" s="2" t="s">
        <v>73</v>
      </c>
      <c r="F103" s="2">
        <v>0</v>
      </c>
      <c r="G103" s="2">
        <f t="shared" ref="G103:O103" si="46">(F105)/1000</f>
        <v>7.2999999999999995E-2</v>
      </c>
      <c r="H103" s="2">
        <f t="shared" si="46"/>
        <v>-5.9888499999999994E-5</v>
      </c>
      <c r="I103" s="2">
        <f t="shared" si="46"/>
        <v>4.3185401114999999E-6</v>
      </c>
      <c r="J103" s="2">
        <f t="shared" si="46"/>
        <v>8.9199043185401128E-6</v>
      </c>
      <c r="K103" s="13">
        <f t="shared" si="46"/>
        <v>9.2987408919904308E-5</v>
      </c>
      <c r="L103" s="13">
        <f t="shared" si="46"/>
        <v>3.1246301749392102E-7</v>
      </c>
      <c r="M103" s="13">
        <f t="shared" si="46"/>
        <v>3.2437217673622991E-7</v>
      </c>
      <c r="N103" s="13">
        <f t="shared" si="46"/>
        <v>3.3266532589954339E-7</v>
      </c>
      <c r="O103" s="13">
        <f t="shared" si="46"/>
        <v>3.8808687477779543E-7</v>
      </c>
    </row>
    <row r="104" spans="1:33">
      <c r="A104" s="2" t="s">
        <v>28</v>
      </c>
      <c r="F104" s="2">
        <v>50.317500000000003</v>
      </c>
      <c r="G104" s="2">
        <v>-59.961500000000001</v>
      </c>
      <c r="H104" s="2">
        <v>4.3186</v>
      </c>
      <c r="I104" s="2">
        <v>8.9199000000000002</v>
      </c>
      <c r="J104" s="2">
        <v>92.987399999999994</v>
      </c>
      <c r="K104" s="13">
        <f>(SUM(K87,K95,K102))/1000</f>
        <v>0.31237003008500114</v>
      </c>
      <c r="L104" s="13">
        <f>(SUM(L87,L95,L102))/1000</f>
        <v>0.32437186427321235</v>
      </c>
      <c r="M104" s="13">
        <f>(SUM(M87,M95,M102))/1000</f>
        <v>0.33266500152736667</v>
      </c>
      <c r="N104" s="13">
        <f>(SUM(N87,N95,N102))/1000</f>
        <v>0.38808654211246957</v>
      </c>
      <c r="O104" s="13">
        <f>(SUM(O87,O95,O102))/1000</f>
        <v>0.39582742382035385</v>
      </c>
      <c r="AD104" s="12">
        <f>AVERAGE(F99:I99)</f>
        <v>-137.42150000000001</v>
      </c>
    </row>
    <row r="105" spans="1:33" ht="14.55" customHeight="1">
      <c r="A105" s="2" t="s">
        <v>72</v>
      </c>
      <c r="F105" s="2">
        <f>((F43*$AB$81))/1000</f>
        <v>73</v>
      </c>
      <c r="G105" s="2">
        <f t="shared" ref="G105:O105" si="47">(SUM(G103,G104))/1000</f>
        <v>-5.9888499999999997E-2</v>
      </c>
      <c r="H105" s="2">
        <f t="shared" si="47"/>
        <v>4.3185401115000003E-3</v>
      </c>
      <c r="I105" s="2">
        <f t="shared" si="47"/>
        <v>8.919904318540112E-3</v>
      </c>
      <c r="J105" s="2">
        <f t="shared" si="47"/>
        <v>9.2987408919904313E-2</v>
      </c>
      <c r="K105" s="13">
        <f t="shared" si="47"/>
        <v>3.1246301749392105E-4</v>
      </c>
      <c r="L105" s="13">
        <f t="shared" si="47"/>
        <v>3.2437217673622989E-4</v>
      </c>
      <c r="M105" s="13">
        <f t="shared" si="47"/>
        <v>3.3266532589954341E-4</v>
      </c>
      <c r="N105" s="13">
        <f t="shared" si="47"/>
        <v>3.8808687477779545E-4</v>
      </c>
      <c r="O105" s="13">
        <f t="shared" si="47"/>
        <v>3.9582781190722864E-4</v>
      </c>
    </row>
    <row r="106" spans="1:33">
      <c r="A106" s="66" t="s">
        <v>92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</row>
    <row r="107" spans="1:33" ht="14.5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</row>
    <row r="108" spans="1:33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</row>
    <row r="109" spans="1:33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</row>
    <row r="110" spans="1:33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</row>
    <row r="111" spans="1:33">
      <c r="A111" s="67" t="s">
        <v>93</v>
      </c>
      <c r="B111" s="67"/>
      <c r="C111" s="67"/>
      <c r="D111" s="67"/>
      <c r="E111" s="67"/>
      <c r="F111" s="67"/>
      <c r="G111" s="67"/>
      <c r="H111" s="67"/>
      <c r="I111" s="67"/>
      <c r="J111" s="4"/>
    </row>
    <row r="112" spans="1:33">
      <c r="A112" s="67"/>
      <c r="B112" s="67"/>
      <c r="C112" s="67"/>
      <c r="D112" s="67"/>
      <c r="E112" s="67"/>
      <c r="F112" s="67"/>
      <c r="G112" s="67"/>
      <c r="H112" s="67"/>
      <c r="I112" s="67"/>
      <c r="J112" s="4"/>
    </row>
    <row r="113" spans="1:10">
      <c r="A113" s="10" t="s">
        <v>98</v>
      </c>
      <c r="B113" s="10"/>
      <c r="C113" s="10"/>
      <c r="D113" s="10"/>
      <c r="E113" s="10"/>
      <c r="F113" s="21">
        <v>2016</v>
      </c>
      <c r="G113" s="21">
        <v>2017</v>
      </c>
      <c r="H113" s="21">
        <v>2018</v>
      </c>
      <c r="I113" s="21">
        <v>2019</v>
      </c>
      <c r="J113" s="22">
        <v>2020</v>
      </c>
    </row>
    <row r="114" spans="1:10">
      <c r="A114" s="2" t="s">
        <v>29</v>
      </c>
      <c r="F114" s="16">
        <f>F23/F$23</f>
        <v>1</v>
      </c>
      <c r="G114" s="16">
        <f>G23/G$23</f>
        <v>1</v>
      </c>
      <c r="H114" s="16">
        <f>H23/H$23</f>
        <v>1</v>
      </c>
      <c r="I114" s="16">
        <f>I23/I$23</f>
        <v>1</v>
      </c>
      <c r="J114" s="16">
        <f>J23/J$23</f>
        <v>1</v>
      </c>
    </row>
    <row r="115" spans="1:10" ht="14.25" customHeight="1">
      <c r="A115" s="2" t="s">
        <v>30</v>
      </c>
      <c r="F115" s="16">
        <f t="shared" ref="F115:I125" si="48">F24/F$23</f>
        <v>0.70872947277441656</v>
      </c>
      <c r="G115" s="16">
        <f t="shared" si="48"/>
        <v>0.71243523316062174</v>
      </c>
      <c r="H115" s="16">
        <f t="shared" si="48"/>
        <v>0.72371638141809291</v>
      </c>
      <c r="I115" s="16">
        <f t="shared" si="48"/>
        <v>0.70419254658385089</v>
      </c>
      <c r="J115" s="16">
        <f t="shared" ref="J115:J125" si="49">J24/J$23</f>
        <v>0.76394052044609662</v>
      </c>
    </row>
    <row r="116" spans="1:10">
      <c r="A116" s="2" t="s">
        <v>39</v>
      </c>
      <c r="F116" s="16">
        <f t="shared" si="48"/>
        <v>0.29127052722558339</v>
      </c>
      <c r="G116" s="16">
        <f t="shared" si="48"/>
        <v>0.28756476683937826</v>
      </c>
      <c r="H116" s="16">
        <f t="shared" si="48"/>
        <v>0.27628361858190709</v>
      </c>
      <c r="I116" s="16">
        <f t="shared" si="48"/>
        <v>0.29580745341614906</v>
      </c>
      <c r="J116" s="16">
        <f t="shared" si="49"/>
        <v>0.23605947955390336</v>
      </c>
    </row>
    <row r="117" spans="1:10">
      <c r="A117" s="2" t="s">
        <v>33</v>
      </c>
      <c r="F117" s="16">
        <f t="shared" si="48"/>
        <v>0.10198789974070872</v>
      </c>
      <c r="G117" s="16">
        <f t="shared" si="48"/>
        <v>0.11139896373056994</v>
      </c>
      <c r="H117" s="16">
        <f t="shared" si="48"/>
        <v>0.10268948655256724</v>
      </c>
      <c r="I117" s="16">
        <f t="shared" si="48"/>
        <v>0.12111801242236025</v>
      </c>
      <c r="J117" s="16">
        <f t="shared" si="49"/>
        <v>0.15706319702602231</v>
      </c>
    </row>
    <row r="118" spans="1:10">
      <c r="A118" s="2" t="s">
        <v>31</v>
      </c>
      <c r="F118" s="16">
        <f t="shared" si="48"/>
        <v>6.8280034572169399E-2</v>
      </c>
      <c r="G118" s="16">
        <f t="shared" si="48"/>
        <v>5.8721934369602762E-2</v>
      </c>
      <c r="H118" s="16">
        <f t="shared" si="48"/>
        <v>5.9494702526487364E-2</v>
      </c>
      <c r="I118" s="16">
        <f t="shared" si="48"/>
        <v>0.12267080745341614</v>
      </c>
      <c r="J118" s="16">
        <f t="shared" si="49"/>
        <v>0.15427509293680297</v>
      </c>
    </row>
    <row r="119" spans="1:10">
      <c r="A119" s="2" t="s">
        <v>32</v>
      </c>
      <c r="F119" s="16">
        <f t="shared" si="48"/>
        <v>8.6430423509075197E-4</v>
      </c>
      <c r="G119" s="16">
        <f t="shared" si="48"/>
        <v>1.7271157167530224E-3</v>
      </c>
      <c r="H119" s="16">
        <f t="shared" si="48"/>
        <v>1.6299918500407497E-3</v>
      </c>
      <c r="I119" s="16">
        <f t="shared" si="48"/>
        <v>2.329192546583851E-3</v>
      </c>
      <c r="J119" s="16">
        <f t="shared" si="49"/>
        <v>2.7881040892193307E-3</v>
      </c>
    </row>
    <row r="120" spans="1:10">
      <c r="A120" s="2" t="s">
        <v>34</v>
      </c>
      <c r="F120" s="16">
        <f t="shared" si="48"/>
        <v>0</v>
      </c>
      <c r="G120" s="16">
        <f t="shared" si="48"/>
        <v>0</v>
      </c>
      <c r="H120" s="16">
        <f t="shared" si="48"/>
        <v>0</v>
      </c>
      <c r="I120" s="16">
        <f t="shared" si="48"/>
        <v>-5.434782608695652E-3</v>
      </c>
      <c r="J120" s="16">
        <f t="shared" si="49"/>
        <v>1.0223048327137546E-2</v>
      </c>
    </row>
    <row r="121" spans="1:10">
      <c r="A121" s="2" t="s">
        <v>40</v>
      </c>
      <c r="F121" s="16">
        <f t="shared" si="48"/>
        <v>0.18928262748487468</v>
      </c>
      <c r="G121" s="16">
        <f t="shared" si="48"/>
        <v>0.17616580310880828</v>
      </c>
      <c r="H121" s="16">
        <f t="shared" si="48"/>
        <v>0.17359413202933985</v>
      </c>
      <c r="I121" s="16">
        <f t="shared" si="48"/>
        <v>0.17468944099378883</v>
      </c>
      <c r="J121" s="16">
        <f t="shared" si="49"/>
        <v>7.8996282527881045E-2</v>
      </c>
    </row>
    <row r="122" spans="1:10">
      <c r="A122" s="2" t="s">
        <v>35</v>
      </c>
      <c r="F122" s="16">
        <f t="shared" si="48"/>
        <v>0</v>
      </c>
      <c r="G122" s="16">
        <f t="shared" si="48"/>
        <v>8.6355785837651119E-4</v>
      </c>
      <c r="H122" s="16">
        <f t="shared" si="48"/>
        <v>3.2599837000814994E-3</v>
      </c>
      <c r="I122" s="16">
        <f t="shared" si="48"/>
        <v>1.8633540372670808E-2</v>
      </c>
      <c r="J122" s="16">
        <f t="shared" si="49"/>
        <v>2.5092936802973979E-2</v>
      </c>
    </row>
    <row r="123" spans="1:10">
      <c r="A123" s="2" t="s">
        <v>36</v>
      </c>
      <c r="F123" s="16">
        <f t="shared" si="48"/>
        <v>0.18928262748487468</v>
      </c>
      <c r="G123" s="16">
        <f t="shared" si="48"/>
        <v>0.17530224525043178</v>
      </c>
      <c r="H123" s="16">
        <f t="shared" si="48"/>
        <v>0.17033414832925836</v>
      </c>
      <c r="I123" s="16">
        <f t="shared" si="48"/>
        <v>0.15605590062111802</v>
      </c>
      <c r="J123" s="16">
        <f t="shared" si="49"/>
        <v>5.3903345724907063E-2</v>
      </c>
    </row>
    <row r="124" spans="1:10">
      <c r="A124" s="2" t="s">
        <v>37</v>
      </c>
      <c r="F124" s="16">
        <f t="shared" si="48"/>
        <v>3.4572169403630079E-3</v>
      </c>
      <c r="G124" s="16">
        <f t="shared" si="48"/>
        <v>3.4542314335060447E-3</v>
      </c>
      <c r="H124" s="16">
        <f t="shared" si="48"/>
        <v>3.2599837000814994E-3</v>
      </c>
      <c r="I124" s="16">
        <f t="shared" si="48"/>
        <v>3.8819875776397515E-3</v>
      </c>
      <c r="J124" s="16">
        <f t="shared" si="49"/>
        <v>4.646840148698885E-3</v>
      </c>
    </row>
    <row r="125" spans="1:10">
      <c r="A125" s="23" t="s">
        <v>38</v>
      </c>
      <c r="B125" s="4"/>
      <c r="C125" s="4"/>
      <c r="D125" s="4"/>
      <c r="E125" s="4"/>
      <c r="F125" s="24">
        <f t="shared" si="48"/>
        <v>0.18582541054451165</v>
      </c>
      <c r="G125" s="24">
        <f t="shared" si="48"/>
        <v>0.17184801381692574</v>
      </c>
      <c r="H125" s="24">
        <f t="shared" si="48"/>
        <v>0.16707416462917685</v>
      </c>
      <c r="I125" s="24">
        <f t="shared" si="48"/>
        <v>0.15217391304347827</v>
      </c>
      <c r="J125" s="24">
        <f t="shared" si="49"/>
        <v>4.9256505576208177E-2</v>
      </c>
    </row>
    <row r="126" spans="1:10">
      <c r="A126" s="62"/>
      <c r="B126" s="62"/>
      <c r="C126" s="62"/>
      <c r="D126" s="62"/>
      <c r="E126" s="62"/>
      <c r="F126" s="62"/>
      <c r="G126" s="62"/>
      <c r="H126" s="62"/>
      <c r="I126" s="62"/>
    </row>
    <row r="127" spans="1:10">
      <c r="A127" s="62"/>
      <c r="B127" s="62"/>
      <c r="C127" s="62"/>
      <c r="D127" s="62"/>
      <c r="E127" s="62"/>
      <c r="F127" s="62"/>
      <c r="G127" s="62"/>
      <c r="H127" s="62"/>
      <c r="I127" s="62"/>
    </row>
    <row r="128" spans="1:10" ht="14.55" customHeight="1">
      <c r="A128" s="67" t="s">
        <v>70</v>
      </c>
      <c r="B128" s="67"/>
      <c r="C128" s="67"/>
      <c r="D128" s="67"/>
      <c r="E128" s="67"/>
      <c r="F128" s="67"/>
      <c r="G128" s="67"/>
      <c r="H128" s="67"/>
      <c r="I128" s="67"/>
      <c r="J128" s="4"/>
    </row>
    <row r="129" spans="1:10" ht="14.5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25"/>
    </row>
    <row r="130" spans="1:10">
      <c r="A130" s="17" t="s">
        <v>44</v>
      </c>
    </row>
    <row r="131" spans="1:10">
      <c r="A131" s="10" t="s">
        <v>99</v>
      </c>
      <c r="B131" s="10"/>
      <c r="C131" s="10"/>
      <c r="D131" s="10"/>
      <c r="E131" s="10"/>
      <c r="F131" s="2">
        <v>2016</v>
      </c>
      <c r="G131" s="2">
        <v>2017</v>
      </c>
      <c r="H131" s="2">
        <v>2018</v>
      </c>
      <c r="I131" s="2">
        <v>2019</v>
      </c>
      <c r="J131" s="2">
        <v>2020</v>
      </c>
    </row>
    <row r="132" spans="1:10">
      <c r="A132" s="9" t="s">
        <v>45</v>
      </c>
      <c r="F132" s="16">
        <f>F43/F$54</f>
        <v>5.4396423248882268E-2</v>
      </c>
      <c r="G132" s="16">
        <f>G43/G$54</f>
        <v>9.3457943925233638E-3</v>
      </c>
      <c r="H132" s="16">
        <f>H43/H$54</f>
        <v>3.3287101248266296E-2</v>
      </c>
      <c r="I132" s="16">
        <f>I43/I$54</f>
        <v>2.564102564102564E-2</v>
      </c>
      <c r="J132" s="16">
        <f>J43/J$54</f>
        <v>6.2596203181118526E-2</v>
      </c>
    </row>
    <row r="133" spans="1:10" ht="23" customHeight="1">
      <c r="A133" s="2" t="s">
        <v>46</v>
      </c>
      <c r="F133" s="16">
        <f t="shared" ref="F133:J133" si="50">F44/F$54</f>
        <v>5.4396423248882268E-2</v>
      </c>
      <c r="G133" s="16">
        <f t="shared" si="50"/>
        <v>9.3457943925233638E-3</v>
      </c>
      <c r="H133" s="16">
        <f t="shared" si="50"/>
        <v>1.1789181692094313E-2</v>
      </c>
      <c r="I133" s="16">
        <f t="shared" si="50"/>
        <v>1.282051282051282E-2</v>
      </c>
      <c r="J133" s="16">
        <f t="shared" si="50"/>
        <v>6.1056952283222166E-2</v>
      </c>
    </row>
    <row r="134" spans="1:10">
      <c r="A134" s="2" t="s">
        <v>47</v>
      </c>
      <c r="F134" s="16">
        <f t="shared" ref="F134:J134" si="51">F45/F$54</f>
        <v>0</v>
      </c>
      <c r="G134" s="16">
        <f t="shared" si="51"/>
        <v>0</v>
      </c>
      <c r="H134" s="16">
        <f t="shared" si="51"/>
        <v>2.1497919556171984E-2</v>
      </c>
      <c r="I134" s="16">
        <f t="shared" si="51"/>
        <v>1.282051282051282E-2</v>
      </c>
      <c r="J134" s="16">
        <f t="shared" si="51"/>
        <v>1.5392508978963571E-3</v>
      </c>
    </row>
    <row r="135" spans="1:10">
      <c r="A135" s="9" t="s">
        <v>48</v>
      </c>
      <c r="F135" s="16">
        <f t="shared" ref="F135:J135" si="52">F46/F$54</f>
        <v>3.7257824143070044E-2</v>
      </c>
      <c r="G135" s="16">
        <f t="shared" si="52"/>
        <v>6.1826024442846871E-2</v>
      </c>
      <c r="H135" s="16">
        <f t="shared" si="52"/>
        <v>7.3509015256588067E-2</v>
      </c>
      <c r="I135" s="16">
        <f t="shared" si="52"/>
        <v>4.7337278106508875E-2</v>
      </c>
      <c r="J135" s="16">
        <f t="shared" si="52"/>
        <v>4.5664443304258596E-2</v>
      </c>
    </row>
    <row r="136" spans="1:10">
      <c r="A136" s="9" t="s">
        <v>14</v>
      </c>
      <c r="F136" s="16">
        <f t="shared" ref="F136:J136" si="53">F47/F$54</f>
        <v>7.6005961251862889E-2</v>
      </c>
      <c r="G136" s="16">
        <f t="shared" si="53"/>
        <v>9.1301222142343638E-2</v>
      </c>
      <c r="H136" s="16">
        <f t="shared" si="53"/>
        <v>7.9750346740638009E-2</v>
      </c>
      <c r="I136" s="16">
        <f t="shared" si="53"/>
        <v>7.7416173570019731E-2</v>
      </c>
      <c r="J136" s="16">
        <f t="shared" si="53"/>
        <v>5.3873781426372495E-2</v>
      </c>
    </row>
    <row r="137" spans="1:10">
      <c r="A137" s="9" t="s">
        <v>49</v>
      </c>
      <c r="F137" s="16">
        <f t="shared" ref="F137:J137" si="54">F48/F$54</f>
        <v>5.737704918032787E-2</v>
      </c>
      <c r="G137" s="16">
        <f t="shared" si="54"/>
        <v>5.7512580877066857E-2</v>
      </c>
      <c r="H137" s="16">
        <f t="shared" si="54"/>
        <v>4.8543689320388349E-2</v>
      </c>
      <c r="I137" s="16">
        <f t="shared" si="54"/>
        <v>1.9723865877712032E-2</v>
      </c>
      <c r="J137" s="16">
        <f t="shared" si="54"/>
        <v>2.6680348896870189E-2</v>
      </c>
    </row>
    <row r="138" spans="1:10">
      <c r="A138" s="2" t="s">
        <v>50</v>
      </c>
      <c r="F138" s="16">
        <f t="shared" ref="F138:J138" si="55">F49/F$54</f>
        <v>0.22503725782414308</v>
      </c>
      <c r="G138" s="16">
        <f t="shared" si="55"/>
        <v>0.21926671459381739</v>
      </c>
      <c r="H138" s="16">
        <f t="shared" si="55"/>
        <v>0.23509015256588073</v>
      </c>
      <c r="I138" s="16">
        <f t="shared" si="55"/>
        <v>0.17011834319526628</v>
      </c>
      <c r="J138" s="16">
        <f t="shared" si="55"/>
        <v>0.18830169317598769</v>
      </c>
    </row>
    <row r="139" spans="1:10">
      <c r="A139" s="9" t="s">
        <v>41</v>
      </c>
      <c r="F139" s="16">
        <f t="shared" ref="F139:J139" si="56">F50/F$54</f>
        <v>0.74664679582712368</v>
      </c>
      <c r="G139" s="16">
        <f t="shared" si="56"/>
        <v>0.74982027318475919</v>
      </c>
      <c r="H139" s="16">
        <f t="shared" si="56"/>
        <v>0.73509015256588073</v>
      </c>
      <c r="I139" s="16">
        <f t="shared" si="56"/>
        <v>0.80177514792899407</v>
      </c>
      <c r="J139" s="16">
        <f t="shared" si="56"/>
        <v>0.78809645972293485</v>
      </c>
    </row>
    <row r="140" spans="1:10">
      <c r="A140" s="2" t="s">
        <v>51</v>
      </c>
      <c r="F140" s="16">
        <f t="shared" ref="F140:J140" si="57">F51/F$54</f>
        <v>2.533532041728763E-2</v>
      </c>
      <c r="G140" s="16">
        <f t="shared" si="57"/>
        <v>2.2286125089863409E-2</v>
      </c>
      <c r="H140" s="16">
        <f t="shared" si="57"/>
        <v>2.2884882108183079E-2</v>
      </c>
      <c r="I140" s="16">
        <f t="shared" si="57"/>
        <v>1.4792899408284023E-2</v>
      </c>
      <c r="J140" s="16">
        <f t="shared" si="57"/>
        <v>1.3853258081067214E-2</v>
      </c>
    </row>
    <row r="141" spans="1:10">
      <c r="A141" s="2" t="s">
        <v>52</v>
      </c>
      <c r="F141" s="26" t="s">
        <v>97</v>
      </c>
      <c r="G141" s="26" t="s">
        <v>97</v>
      </c>
      <c r="H141" s="26" t="s">
        <v>97</v>
      </c>
      <c r="I141" s="16">
        <f t="shared" ref="I141:J141" si="58">I52/I$54</f>
        <v>5.4240631163708086E-3</v>
      </c>
      <c r="J141" s="16">
        <f t="shared" si="58"/>
        <v>4.1046690610569521E-3</v>
      </c>
    </row>
    <row r="142" spans="1:10">
      <c r="A142" s="2" t="s">
        <v>53</v>
      </c>
      <c r="F142" s="16">
        <f t="shared" ref="F142:J142" si="59">F53/F$54</f>
        <v>2.9806259314456036E-3</v>
      </c>
      <c r="G142" s="16">
        <f t="shared" si="59"/>
        <v>7.9079798705966927E-3</v>
      </c>
      <c r="H142" s="16">
        <f t="shared" si="59"/>
        <v>6.9348127600554789E-3</v>
      </c>
      <c r="I142" s="16">
        <f t="shared" si="59"/>
        <v>7.3964497041420114E-3</v>
      </c>
      <c r="J142" s="16">
        <f t="shared" si="59"/>
        <v>5.643919958953309E-3</v>
      </c>
    </row>
    <row r="143" spans="1:10">
      <c r="A143" s="23" t="s">
        <v>54</v>
      </c>
      <c r="B143" s="4"/>
      <c r="C143" s="4"/>
      <c r="D143" s="4"/>
      <c r="E143" s="4"/>
      <c r="F143" s="24">
        <f t="shared" ref="F143:J143" si="60">F54/F$54</f>
        <v>1</v>
      </c>
      <c r="G143" s="24">
        <f t="shared" si="60"/>
        <v>1</v>
      </c>
      <c r="H143" s="24">
        <f t="shared" si="60"/>
        <v>1</v>
      </c>
      <c r="I143" s="24">
        <f t="shared" si="60"/>
        <v>1</v>
      </c>
      <c r="J143" s="24">
        <f t="shared" si="60"/>
        <v>1</v>
      </c>
    </row>
    <row r="144" spans="1:10">
      <c r="A144" s="17" t="s">
        <v>65</v>
      </c>
      <c r="F144" s="16"/>
      <c r="G144" s="16"/>
      <c r="H144" s="16"/>
      <c r="I144" s="16"/>
      <c r="J144" s="16"/>
    </row>
    <row r="145" spans="1:10">
      <c r="A145" s="9" t="s">
        <v>15</v>
      </c>
      <c r="F145" s="16">
        <f t="shared" ref="F145:J145" si="61">F56/F$54</f>
        <v>4.6199701937406856E-2</v>
      </c>
      <c r="G145" s="16">
        <f t="shared" si="61"/>
        <v>5.5355859094176854E-2</v>
      </c>
      <c r="H145" s="16">
        <f t="shared" si="61"/>
        <v>8.8765603328710127E-2</v>
      </c>
      <c r="I145" s="16">
        <f t="shared" si="61"/>
        <v>4.9802761341222877E-2</v>
      </c>
      <c r="J145" s="16">
        <f t="shared" si="61"/>
        <v>4.5151359671626472E-2</v>
      </c>
    </row>
    <row r="146" spans="1:10">
      <c r="A146" s="2" t="s">
        <v>67</v>
      </c>
      <c r="F146" s="16">
        <f t="shared" ref="F146:J146" si="62">F57/F$54</f>
        <v>9.3889716840536513E-2</v>
      </c>
      <c r="G146" s="16">
        <f t="shared" si="62"/>
        <v>9.8490294751977001E-2</v>
      </c>
      <c r="H146" s="16">
        <f t="shared" si="62"/>
        <v>6.9348127600554782E-2</v>
      </c>
      <c r="I146" s="16">
        <f t="shared" si="62"/>
        <v>0.10848126232741617</v>
      </c>
      <c r="J146" s="16">
        <f t="shared" si="62"/>
        <v>0.11133914828116984</v>
      </c>
    </row>
    <row r="147" spans="1:10">
      <c r="A147" s="9" t="s">
        <v>55</v>
      </c>
      <c r="F147" s="16">
        <f t="shared" ref="F147:J147" si="63">F58/F$54</f>
        <v>5.2160953800298067E-3</v>
      </c>
      <c r="G147" s="16">
        <f t="shared" si="63"/>
        <v>5.7512580877066861E-3</v>
      </c>
      <c r="H147" s="16">
        <f t="shared" si="63"/>
        <v>6.9348127600554789E-3</v>
      </c>
      <c r="I147" s="16">
        <f t="shared" si="63"/>
        <v>6.9033530571992107E-3</v>
      </c>
      <c r="J147" s="16">
        <f t="shared" si="63"/>
        <v>7.1831708568496667E-3</v>
      </c>
    </row>
    <row r="148" spans="1:10">
      <c r="A148" s="9" t="s">
        <v>56</v>
      </c>
      <c r="F148" s="16">
        <f t="shared" ref="F148:J148" si="64">F59/F$54</f>
        <v>3.5022354694485842E-2</v>
      </c>
      <c r="G148" s="16">
        <f t="shared" si="64"/>
        <v>3.3788641265276781E-2</v>
      </c>
      <c r="H148" s="16">
        <f t="shared" si="64"/>
        <v>4.2302357836338421E-2</v>
      </c>
      <c r="I148" s="16">
        <f t="shared" si="64"/>
        <v>3.3037475345167655E-2</v>
      </c>
      <c r="J148" s="16">
        <f t="shared" si="64"/>
        <v>4.2585941508465883E-2</v>
      </c>
    </row>
    <row r="149" spans="1:10">
      <c r="A149" s="2" t="s">
        <v>57</v>
      </c>
      <c r="F149" s="16">
        <f t="shared" ref="F149:J149" si="65">F60/F$54</f>
        <v>0.18032786885245902</v>
      </c>
      <c r="G149" s="16">
        <f t="shared" si="65"/>
        <v>0.19338605319913732</v>
      </c>
      <c r="H149" s="16">
        <f t="shared" si="65"/>
        <v>0.2073509015256588</v>
      </c>
      <c r="I149" s="16">
        <f t="shared" si="65"/>
        <v>0.19822485207100593</v>
      </c>
      <c r="J149" s="16">
        <f t="shared" si="65"/>
        <v>0.20625962031811185</v>
      </c>
    </row>
    <row r="150" spans="1:10">
      <c r="A150" s="2" t="s">
        <v>58</v>
      </c>
      <c r="F150" s="16">
        <f t="shared" ref="F150:J150" si="66">F61/F$54</f>
        <v>0.17734724292101342</v>
      </c>
      <c r="G150" s="16">
        <f t="shared" si="66"/>
        <v>0.1387491013659238</v>
      </c>
      <c r="H150" s="16">
        <f t="shared" si="66"/>
        <v>0.10055478502080444</v>
      </c>
      <c r="I150" s="16">
        <f t="shared" si="66"/>
        <v>0.27317554240631164</v>
      </c>
      <c r="J150" s="16">
        <f t="shared" si="66"/>
        <v>0.25346331452026682</v>
      </c>
    </row>
    <row r="151" spans="1:10">
      <c r="A151" s="9" t="s">
        <v>59</v>
      </c>
      <c r="F151" s="16">
        <f t="shared" ref="F151:J151" si="67">F62/F$54</f>
        <v>4.3964232488822655E-2</v>
      </c>
      <c r="G151" s="16">
        <f t="shared" si="67"/>
        <v>4.4572250179726818E-2</v>
      </c>
      <c r="H151" s="16">
        <f t="shared" si="67"/>
        <v>4.5769764216366159E-2</v>
      </c>
      <c r="I151" s="16">
        <f t="shared" si="67"/>
        <v>3.5996055226824461E-2</v>
      </c>
      <c r="J151" s="16">
        <f t="shared" si="67"/>
        <v>4.8229861467419193E-2</v>
      </c>
    </row>
    <row r="152" spans="1:10">
      <c r="A152" s="23" t="s">
        <v>60</v>
      </c>
      <c r="B152" s="4"/>
      <c r="C152" s="4"/>
      <c r="D152" s="4"/>
      <c r="E152" s="4"/>
      <c r="F152" s="24">
        <f t="shared" ref="F152:J152" si="68">F63/F$54</f>
        <v>0.40163934426229508</v>
      </c>
      <c r="G152" s="24">
        <f t="shared" si="68"/>
        <v>0.37670740474478792</v>
      </c>
      <c r="H152" s="24">
        <f t="shared" si="68"/>
        <v>0.35367545076282941</v>
      </c>
      <c r="I152" s="24">
        <f t="shared" si="68"/>
        <v>0.50788954635108485</v>
      </c>
      <c r="J152" s="24">
        <f t="shared" si="68"/>
        <v>0.50795279630579782</v>
      </c>
    </row>
    <row r="153" spans="1:10">
      <c r="F153" s="16"/>
      <c r="G153" s="16"/>
      <c r="H153" s="16"/>
      <c r="I153" s="16"/>
      <c r="J153" s="16"/>
    </row>
    <row r="154" spans="1:10">
      <c r="F154" s="16"/>
      <c r="G154" s="16"/>
      <c r="H154" s="16"/>
      <c r="I154" s="16"/>
      <c r="J154" s="16"/>
    </row>
    <row r="155" spans="1:10">
      <c r="A155" s="17" t="s">
        <v>66</v>
      </c>
      <c r="F155" s="16"/>
      <c r="G155" s="16"/>
      <c r="H155" s="16"/>
      <c r="I155" s="16"/>
      <c r="J155" s="16"/>
    </row>
    <row r="156" spans="1:10">
      <c r="A156" s="9" t="s">
        <v>61</v>
      </c>
      <c r="F156" s="16">
        <f t="shared" ref="F156:J156" si="69">F67/F$54</f>
        <v>0.34426229508196721</v>
      </c>
      <c r="G156" s="16">
        <f t="shared" si="69"/>
        <v>0.46513299784327822</v>
      </c>
      <c r="H156" s="16">
        <f t="shared" si="69"/>
        <v>0.44868238557558948</v>
      </c>
      <c r="I156" s="16">
        <f t="shared" si="69"/>
        <v>0.31903353057199213</v>
      </c>
      <c r="J156" s="16">
        <f t="shared" si="69"/>
        <v>0.33196511031298104</v>
      </c>
    </row>
    <row r="157" spans="1:10">
      <c r="A157" s="9" t="s">
        <v>62</v>
      </c>
      <c r="F157" s="16">
        <f t="shared" ref="F157:J157" si="70">F68/F$54</f>
        <v>0.15052160953800298</v>
      </c>
      <c r="G157" s="16">
        <f t="shared" si="70"/>
        <v>0.13012221423436376</v>
      </c>
      <c r="H157" s="16">
        <f t="shared" si="70"/>
        <v>0.15742024965325938</v>
      </c>
      <c r="I157" s="16">
        <f t="shared" si="70"/>
        <v>0.133629191321499</v>
      </c>
      <c r="J157" s="16">
        <f t="shared" si="70"/>
        <v>0.11646998460749101</v>
      </c>
    </row>
    <row r="158" spans="1:10">
      <c r="A158" s="9" t="s">
        <v>63</v>
      </c>
      <c r="F158" s="16">
        <f t="shared" ref="F158:J158" si="71">F69/F$54</f>
        <v>0.10357675111773472</v>
      </c>
      <c r="G158" s="16">
        <f t="shared" si="71"/>
        <v>2.8037383177570093E-2</v>
      </c>
      <c r="H158" s="16">
        <f t="shared" si="71"/>
        <v>4.0915395284327326E-2</v>
      </c>
      <c r="I158" s="16">
        <f t="shared" si="71"/>
        <v>3.9447731755424063E-2</v>
      </c>
      <c r="J158" s="16">
        <f t="shared" si="71"/>
        <v>4.4125192406362236E-2</v>
      </c>
    </row>
    <row r="159" spans="1:10">
      <c r="A159" s="9" t="s">
        <v>64</v>
      </c>
      <c r="F159" s="16">
        <f t="shared" ref="F159:J159" si="72">F70/F$54</f>
        <v>0.59836065573770492</v>
      </c>
      <c r="G159" s="16">
        <f t="shared" si="72"/>
        <v>0.62329259525521208</v>
      </c>
      <c r="H159" s="16">
        <f t="shared" si="72"/>
        <v>0.64701803051317619</v>
      </c>
      <c r="I159" s="16">
        <f t="shared" si="72"/>
        <v>0.4921104536489152</v>
      </c>
      <c r="J159" s="16">
        <f t="shared" si="72"/>
        <v>0.49204720369420213</v>
      </c>
    </row>
    <row r="160" spans="1:10">
      <c r="A160" s="23" t="s">
        <v>94</v>
      </c>
      <c r="B160" s="4"/>
      <c r="C160" s="4"/>
      <c r="D160" s="4"/>
      <c r="E160" s="4"/>
      <c r="F160" s="24">
        <f t="shared" ref="F160:J160" si="73">F71/F$54</f>
        <v>1</v>
      </c>
      <c r="G160" s="24">
        <f t="shared" si="73"/>
        <v>1</v>
      </c>
      <c r="H160" s="24">
        <f t="shared" si="73"/>
        <v>1</v>
      </c>
      <c r="I160" s="24">
        <f t="shared" si="73"/>
        <v>1</v>
      </c>
      <c r="J160" s="24">
        <f t="shared" si="73"/>
        <v>1</v>
      </c>
    </row>
    <row r="161" spans="1:10">
      <c r="A161" s="62"/>
      <c r="B161" s="62"/>
      <c r="C161" s="62"/>
      <c r="D161" s="62"/>
      <c r="E161" s="62"/>
      <c r="F161" s="62"/>
      <c r="G161" s="62"/>
      <c r="H161" s="62"/>
      <c r="I161" s="62"/>
      <c r="J161" s="62"/>
    </row>
    <row r="162" spans="1:10">
      <c r="A162" s="62"/>
      <c r="B162" s="62"/>
      <c r="C162" s="62"/>
      <c r="D162" s="62"/>
      <c r="E162" s="62"/>
      <c r="F162" s="62"/>
      <c r="G162" s="62"/>
      <c r="H162" s="62"/>
      <c r="I162" s="62"/>
      <c r="J162" s="62"/>
    </row>
    <row r="163" spans="1:10">
      <c r="A163" s="62"/>
      <c r="B163" s="62"/>
      <c r="C163" s="62"/>
      <c r="D163" s="62"/>
      <c r="E163" s="62"/>
      <c r="F163" s="62"/>
      <c r="G163" s="62"/>
      <c r="H163" s="62"/>
      <c r="I163" s="62"/>
      <c r="J163" s="62"/>
    </row>
    <row r="164" spans="1:10" ht="38.25">
      <c r="A164" s="67" t="s">
        <v>95</v>
      </c>
      <c r="B164" s="67"/>
      <c r="C164" s="67"/>
      <c r="D164" s="67"/>
      <c r="E164" s="67"/>
      <c r="F164" s="67"/>
      <c r="G164" s="67"/>
      <c r="H164" s="67"/>
      <c r="I164" s="67"/>
      <c r="J164" s="67"/>
    </row>
    <row r="165" spans="1:10">
      <c r="A165" s="19" t="s">
        <v>68</v>
      </c>
      <c r="B165" s="19"/>
      <c r="C165" s="9"/>
      <c r="D165" s="9"/>
      <c r="E165" s="9"/>
      <c r="F165" s="9"/>
      <c r="G165" s="9"/>
      <c r="H165" s="9"/>
      <c r="I165" s="9"/>
    </row>
    <row r="166" spans="1:10">
      <c r="A166" s="10" t="s">
        <v>100</v>
      </c>
      <c r="B166" s="10"/>
      <c r="C166" s="10"/>
      <c r="D166" s="10"/>
      <c r="E166" s="10"/>
      <c r="F166" s="11">
        <v>2016</v>
      </c>
      <c r="G166" s="2">
        <v>2017</v>
      </c>
      <c r="H166" s="2">
        <v>2018</v>
      </c>
      <c r="I166" s="2">
        <v>2019</v>
      </c>
      <c r="J166" s="2">
        <v>2020</v>
      </c>
    </row>
    <row r="167" spans="1:10">
      <c r="A167" s="9" t="s">
        <v>8</v>
      </c>
      <c r="F167" s="16">
        <f>F80/F$23</f>
        <v>0.18762307692307692</v>
      </c>
      <c r="G167" s="16">
        <f>G80/G$23</f>
        <v>0.1727479274611399</v>
      </c>
      <c r="H167" s="16">
        <f>H80/H$23</f>
        <v>0.16639731051344744</v>
      </c>
      <c r="I167" s="16">
        <f>I80/I$23</f>
        <v>0.15616871118012421</v>
      </c>
      <c r="J167" s="16">
        <f>J80/J$23</f>
        <v>5.4088011152416356E-2</v>
      </c>
    </row>
    <row r="168" spans="1:10">
      <c r="A168" s="2" t="s">
        <v>10</v>
      </c>
      <c r="F168" s="16">
        <f t="shared" ref="F168:I174" si="74">F81/F$23</f>
        <v>6.8987554019014699E-2</v>
      </c>
      <c r="G168" s="16">
        <f t="shared" si="74"/>
        <v>6.0066148531951642E-2</v>
      </c>
      <c r="H168" s="16">
        <f t="shared" si="74"/>
        <v>6.0825509372453131E-2</v>
      </c>
      <c r="I168" s="16">
        <f t="shared" si="74"/>
        <v>0.12446925465838508</v>
      </c>
      <c r="J168" s="16">
        <f t="shared" ref="J168:J192" si="75">J81/J$23</f>
        <v>0.15712258364312268</v>
      </c>
    </row>
    <row r="169" spans="1:10">
      <c r="A169" s="2" t="s">
        <v>12</v>
      </c>
      <c r="F169" s="16">
        <f t="shared" si="74"/>
        <v>-1.3536473638720832E-2</v>
      </c>
      <c r="G169" s="16">
        <f t="shared" si="74"/>
        <v>-5.1416407599309155E-2</v>
      </c>
      <c r="H169" s="16">
        <f t="shared" si="74"/>
        <v>4.6260309698451511E-2</v>
      </c>
      <c r="I169" s="16">
        <f t="shared" si="74"/>
        <v>-1.5191847826086957E-2</v>
      </c>
      <c r="J169" s="16">
        <f t="shared" si="75"/>
        <v>1.6440892193308552E-2</v>
      </c>
    </row>
    <row r="170" spans="1:10">
      <c r="B170" s="2" t="s">
        <v>13</v>
      </c>
      <c r="F170" s="16">
        <f t="shared" si="74"/>
        <v>-1.6273033707865172E-2</v>
      </c>
      <c r="G170" s="16">
        <f t="shared" si="74"/>
        <v>-3.439378238341969E-2</v>
      </c>
      <c r="H170" s="16">
        <f t="shared" si="74"/>
        <v>-8.6199674001629992E-3</v>
      </c>
      <c r="I170" s="16">
        <f t="shared" si="74"/>
        <v>3.5960481366459622E-2</v>
      </c>
      <c r="J170" s="16">
        <f t="shared" si="75"/>
        <v>-1.0525557620817843E-2</v>
      </c>
    </row>
    <row r="171" spans="1:10">
      <c r="B171" s="2" t="s">
        <v>14</v>
      </c>
      <c r="F171" s="16">
        <f t="shared" si="74"/>
        <v>6.2162489196197056E-3</v>
      </c>
      <c r="G171" s="16">
        <f t="shared" si="74"/>
        <v>-2.1661485319516408E-2</v>
      </c>
      <c r="H171" s="16">
        <f t="shared" si="74"/>
        <v>9.3506927465362676E-3</v>
      </c>
      <c r="I171" s="16">
        <f t="shared" si="74"/>
        <v>-3.2137267080745345E-2</v>
      </c>
      <c r="J171" s="16">
        <f t="shared" si="75"/>
        <v>3.4513661710037176E-2</v>
      </c>
    </row>
    <row r="172" spans="1:10">
      <c r="B172" s="2" t="s">
        <v>15</v>
      </c>
      <c r="F172" s="16">
        <f t="shared" si="74"/>
        <v>-2.0916162489196196E-4</v>
      </c>
      <c r="G172" s="16">
        <f t="shared" si="74"/>
        <v>1.246070811744387E-2</v>
      </c>
      <c r="H172" s="16">
        <f t="shared" si="74"/>
        <v>5.3576528117359412E-2</v>
      </c>
      <c r="I172" s="16">
        <f t="shared" si="74"/>
        <v>-1.5746661490683229E-2</v>
      </c>
      <c r="J172" s="16">
        <f t="shared" si="75"/>
        <v>-3.7898698884758367E-3</v>
      </c>
    </row>
    <row r="173" spans="1:10">
      <c r="B173" s="2" t="s">
        <v>16</v>
      </c>
      <c r="F173" s="16">
        <f t="shared" si="74"/>
        <v>-3.2705272255834053E-3</v>
      </c>
      <c r="G173" s="16">
        <f t="shared" si="74"/>
        <v>-7.8218480138169261E-3</v>
      </c>
      <c r="H173" s="16">
        <f t="shared" si="74"/>
        <v>-8.0469437652811726E-3</v>
      </c>
      <c r="I173" s="16">
        <f t="shared" si="74"/>
        <v>-3.2684006211180124E-3</v>
      </c>
      <c r="J173" s="16">
        <f t="shared" si="75"/>
        <v>-3.7573420074349445E-3</v>
      </c>
    </row>
    <row r="174" spans="1:10">
      <c r="A174" s="23" t="s">
        <v>17</v>
      </c>
      <c r="B174" s="4"/>
      <c r="C174" s="4"/>
      <c r="D174" s="4"/>
      <c r="E174" s="4"/>
      <c r="F174" s="24">
        <f t="shared" si="74"/>
        <v>0.24307407087294727</v>
      </c>
      <c r="G174" s="24">
        <f t="shared" si="74"/>
        <v>0.18139766839378238</v>
      </c>
      <c r="H174" s="24">
        <f t="shared" si="74"/>
        <v>0.27348312958435211</v>
      </c>
      <c r="I174" s="24">
        <f t="shared" si="74"/>
        <v>0.26544619565217392</v>
      </c>
      <c r="J174" s="24">
        <f t="shared" si="75"/>
        <v>0.22765148698884757</v>
      </c>
    </row>
    <row r="175" spans="1:10">
      <c r="F175" s="16"/>
      <c r="G175" s="16"/>
      <c r="H175" s="16"/>
      <c r="I175" s="16"/>
      <c r="J175" s="16"/>
    </row>
    <row r="176" spans="1:10">
      <c r="F176" s="16"/>
      <c r="G176" s="16"/>
      <c r="H176" s="16"/>
      <c r="I176" s="16"/>
      <c r="J176" s="16"/>
    </row>
    <row r="177" spans="1:10">
      <c r="A177" s="17" t="s">
        <v>18</v>
      </c>
      <c r="F177" s="16"/>
      <c r="G177" s="16"/>
      <c r="H177" s="16"/>
      <c r="I177" s="16"/>
      <c r="J177" s="16"/>
    </row>
    <row r="178" spans="1:10">
      <c r="A178" s="2" t="s">
        <v>19</v>
      </c>
      <c r="F178" s="16">
        <f t="shared" ref="F178:I179" si="76">F91/F$23</f>
        <v>-0.1542933448573898</v>
      </c>
      <c r="G178" s="16">
        <f t="shared" si="76"/>
        <v>-9.8547409326424862E-2</v>
      </c>
      <c r="H178" s="16">
        <f t="shared" si="76"/>
        <v>-7.9554686226568874E-2</v>
      </c>
      <c r="I178" s="16">
        <f t="shared" si="76"/>
        <v>-5.9179037267080743E-2</v>
      </c>
      <c r="J178" s="16">
        <f t="shared" si="75"/>
        <v>-5.2899907063197027E-2</v>
      </c>
    </row>
    <row r="179" spans="1:10">
      <c r="A179" s="2" t="s">
        <v>20</v>
      </c>
      <c r="F179" s="16">
        <f t="shared" si="76"/>
        <v>2.6476231633535009E-3</v>
      </c>
      <c r="G179" s="16">
        <f t="shared" si="76"/>
        <v>2.1813471502590674E-4</v>
      </c>
      <c r="H179" s="16">
        <f t="shared" si="76"/>
        <v>1.4704156479217604E-3</v>
      </c>
      <c r="I179" s="16">
        <f t="shared" si="76"/>
        <v>4.2858695652173914E-3</v>
      </c>
      <c r="J179" s="16">
        <f t="shared" si="75"/>
        <v>1.2563197026022304E-3</v>
      </c>
    </row>
    <row r="180" spans="1:10">
      <c r="A180" s="2" t="s">
        <v>21</v>
      </c>
      <c r="F180" s="16">
        <v>0</v>
      </c>
      <c r="G180" s="16">
        <v>0</v>
      </c>
      <c r="H180" s="16">
        <f>H93/H$23</f>
        <v>-2.471711491442543E-2</v>
      </c>
      <c r="I180" s="16">
        <f>I93/I$23</f>
        <v>3.2005434782608694E-3</v>
      </c>
      <c r="J180" s="16">
        <f t="shared" si="75"/>
        <v>2.2688104089219334E-2</v>
      </c>
    </row>
    <row r="181" spans="1:10">
      <c r="A181" s="2" t="s">
        <v>22</v>
      </c>
      <c r="F181" s="16">
        <v>0</v>
      </c>
      <c r="G181" s="16">
        <v>0</v>
      </c>
      <c r="H181" s="16">
        <v>0</v>
      </c>
      <c r="I181" s="16">
        <f>I94/I$23</f>
        <v>1.4382763975155279E-3</v>
      </c>
      <c r="J181" s="16">
        <f t="shared" si="75"/>
        <v>6.7964684014869888E-4</v>
      </c>
    </row>
    <row r="182" spans="1:10">
      <c r="A182" s="23" t="s">
        <v>23</v>
      </c>
      <c r="B182" s="4"/>
      <c r="C182" s="4"/>
      <c r="D182" s="4"/>
      <c r="E182" s="4"/>
      <c r="F182" s="24">
        <f>F95/F$23</f>
        <v>-0.15164572169403631</v>
      </c>
      <c r="G182" s="24">
        <f>G95/G$23</f>
        <v>-9.8329274611398967E-2</v>
      </c>
      <c r="H182" s="24">
        <f>H95/H$23</f>
        <v>-0.10280138549307254</v>
      </c>
      <c r="I182" s="24">
        <f>I95/I$23</f>
        <v>-5.0254347826086954E-2</v>
      </c>
      <c r="J182" s="24">
        <f t="shared" si="75"/>
        <v>-2.8275836431226765E-2</v>
      </c>
    </row>
    <row r="183" spans="1:10">
      <c r="F183" s="16"/>
      <c r="G183" s="16"/>
      <c r="H183" s="16"/>
      <c r="I183" s="16"/>
      <c r="J183" s="16"/>
    </row>
    <row r="184" spans="1:10">
      <c r="F184" s="16"/>
      <c r="G184" s="16"/>
      <c r="H184" s="16"/>
      <c r="I184" s="16"/>
      <c r="J184" s="16"/>
    </row>
    <row r="185" spans="1:10">
      <c r="A185" s="17" t="s">
        <v>24</v>
      </c>
      <c r="B185" s="17"/>
      <c r="F185" s="16"/>
      <c r="G185" s="16"/>
      <c r="H185" s="16"/>
      <c r="I185" s="16"/>
      <c r="J185" s="16"/>
    </row>
    <row r="186" spans="1:10">
      <c r="A186" s="2" t="s">
        <v>25</v>
      </c>
      <c r="F186" s="16">
        <f t="shared" ref="F186:I187" si="77">F99/F$23</f>
        <v>-0.12134831460674157</v>
      </c>
      <c r="G186" s="16">
        <f t="shared" si="77"/>
        <v>-0.1172538860103627</v>
      </c>
      <c r="H186" s="16">
        <f t="shared" si="77"/>
        <v>-0.11220700896495517</v>
      </c>
      <c r="I186" s="16">
        <f t="shared" si="77"/>
        <v>-0.10545652173913043</v>
      </c>
      <c r="J186" s="16">
        <f t="shared" si="75"/>
        <v>-6.6122676579925641E-2</v>
      </c>
    </row>
    <row r="187" spans="1:10">
      <c r="A187" s="2" t="s">
        <v>26</v>
      </c>
      <c r="F187" s="16">
        <f t="shared" si="77"/>
        <v>6.402299049265342E-2</v>
      </c>
      <c r="G187" s="16">
        <f t="shared" si="77"/>
        <v>-3.0789982728842834E-2</v>
      </c>
      <c r="H187" s="16">
        <f t="shared" si="77"/>
        <v>-7.9340505297473524E-2</v>
      </c>
      <c r="I187" s="16">
        <f t="shared" si="77"/>
        <v>-4.5161024844720496E-2</v>
      </c>
      <c r="J187" s="16">
        <f t="shared" si="75"/>
        <v>-3.6409758364312268E-2</v>
      </c>
    </row>
    <row r="188" spans="1:10">
      <c r="A188" s="2" t="s">
        <v>11</v>
      </c>
      <c r="F188" s="16">
        <v>0</v>
      </c>
      <c r="G188" s="16">
        <v>0</v>
      </c>
      <c r="H188" s="16">
        <v>0</v>
      </c>
      <c r="I188" s="16">
        <f>I101/I$23</f>
        <v>-1.3457298136645964E-3</v>
      </c>
      <c r="J188" s="16">
        <f t="shared" si="75"/>
        <v>-2.4163568773234202E-3</v>
      </c>
    </row>
    <row r="189" spans="1:10">
      <c r="A189" s="2" t="s">
        <v>27</v>
      </c>
      <c r="F189" s="16">
        <f t="shared" ref="F189:H192" si="78">F102/F$23</f>
        <v>-5.7325324114088166E-5</v>
      </c>
      <c r="G189" s="16">
        <f t="shared" si="78"/>
        <v>-1.4804386873920554E-4</v>
      </c>
      <c r="H189" s="16">
        <f t="shared" si="78"/>
        <v>-1.9154751426242868E-4</v>
      </c>
      <c r="I189" s="16">
        <f>I102/I$23</f>
        <v>-1.5196327639751555E-4</v>
      </c>
      <c r="J189" s="16">
        <f t="shared" si="75"/>
        <v>-1.0494879182156133E-4</v>
      </c>
    </row>
    <row r="190" spans="1:10" ht="14.55" customHeight="1">
      <c r="A190" s="2" t="s">
        <v>73</v>
      </c>
      <c r="F190" s="16">
        <f t="shared" si="78"/>
        <v>0</v>
      </c>
      <c r="G190" s="16">
        <f t="shared" si="78"/>
        <v>6.3039723661485313E-5</v>
      </c>
      <c r="H190" s="16">
        <f t="shared" si="78"/>
        <v>-4.8808883455582715E-8</v>
      </c>
      <c r="I190" s="16">
        <f>I103/I$23</f>
        <v>3.3529038132763976E-9</v>
      </c>
      <c r="J190" s="16">
        <f t="shared" si="75"/>
        <v>8.2898739019889521E-9</v>
      </c>
    </row>
    <row r="191" spans="1:10">
      <c r="A191" s="23" t="s">
        <v>28</v>
      </c>
      <c r="B191" s="4"/>
      <c r="C191" s="4"/>
      <c r="D191" s="4"/>
      <c r="E191" s="4"/>
      <c r="F191" s="24">
        <f t="shared" si="78"/>
        <v>4.348962834917891E-2</v>
      </c>
      <c r="G191" s="24">
        <f t="shared" si="78"/>
        <v>-5.1780224525043175E-2</v>
      </c>
      <c r="H191" s="24">
        <f t="shared" si="78"/>
        <v>3.5196414017929912E-3</v>
      </c>
      <c r="I191" s="24">
        <f>I104/I$23</f>
        <v>6.9253881987577639E-3</v>
      </c>
      <c r="J191" s="24">
        <f t="shared" si="75"/>
        <v>8.6419516728624524E-2</v>
      </c>
    </row>
    <row r="192" spans="1:10">
      <c r="A192" s="23" t="s">
        <v>72</v>
      </c>
      <c r="B192" s="4"/>
      <c r="C192" s="4"/>
      <c r="D192" s="4"/>
      <c r="E192" s="4"/>
      <c r="F192" s="24">
        <f t="shared" si="78"/>
        <v>6.3094209161624892E-2</v>
      </c>
      <c r="G192" s="24">
        <f t="shared" si="78"/>
        <v>-5.1717184801381689E-5</v>
      </c>
      <c r="H192" s="24">
        <f t="shared" si="78"/>
        <v>3.5195925929095355E-6</v>
      </c>
      <c r="I192" s="24">
        <f>I105/I$23</f>
        <v>6.9253915516615778E-6</v>
      </c>
      <c r="J192" s="24">
        <f t="shared" si="75"/>
        <v>8.641952501849843E-5</v>
      </c>
    </row>
    <row r="196" spans="1:15" ht="16.05" customHeight="1">
      <c r="A196" s="66" t="s">
        <v>77</v>
      </c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</row>
    <row r="197" spans="1:15" ht="16.0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</row>
    <row r="198" spans="1:15" ht="16.0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</row>
    <row r="199" spans="1:15" ht="16.0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</row>
    <row r="200" spans="1:15" ht="16.0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</row>
    <row r="201" spans="1:15">
      <c r="A201" s="2" t="s">
        <v>78</v>
      </c>
      <c r="D201" s="21">
        <v>2021</v>
      </c>
      <c r="E201" s="21">
        <v>2022</v>
      </c>
      <c r="F201" s="21">
        <v>2023</v>
      </c>
      <c r="G201" s="21">
        <v>2024</v>
      </c>
      <c r="H201" s="21">
        <v>2025</v>
      </c>
    </row>
    <row r="202" spans="1:15">
      <c r="D202" s="6">
        <f>(K91+K87)*1000</f>
        <v>266881.00849834445</v>
      </c>
      <c r="E202" s="6">
        <f t="shared" ref="E202:H202" si="79">(L91+L87)*1000</f>
        <v>269804.68563853233</v>
      </c>
      <c r="F202" s="6">
        <f t="shared" si="79"/>
        <v>264630.57688916102</v>
      </c>
      <c r="G202" s="6">
        <f t="shared" si="79"/>
        <v>305522.51253383845</v>
      </c>
      <c r="H202" s="6">
        <f t="shared" si="79"/>
        <v>301724.17808873253</v>
      </c>
    </row>
    <row r="203" spans="1:15">
      <c r="J203" s="27"/>
    </row>
    <row r="204" spans="1:15">
      <c r="A204" s="28" t="s">
        <v>79</v>
      </c>
      <c r="B204" s="28"/>
      <c r="C204" s="28"/>
      <c r="D204" s="29">
        <v>7.0000000000000007E-2</v>
      </c>
    </row>
    <row r="205" spans="1:15">
      <c r="A205" s="28"/>
      <c r="B205" s="28"/>
      <c r="C205" s="28"/>
      <c r="D205" s="29"/>
    </row>
    <row r="206" spans="1:15">
      <c r="A206" s="30"/>
      <c r="B206" s="30"/>
    </row>
    <row r="207" spans="1:15">
      <c r="A207" s="2" t="s">
        <v>80</v>
      </c>
      <c r="D207" s="27">
        <f>NPV(D204,D202:H202)</f>
        <v>1149303.5738289081</v>
      </c>
      <c r="F207" s="12"/>
      <c r="G207" s="12"/>
      <c r="H207" s="12"/>
      <c r="I207" s="12"/>
      <c r="J207" s="12"/>
    </row>
    <row r="208" spans="1:15">
      <c r="D208" s="27"/>
    </row>
    <row r="209" spans="1:10">
      <c r="A209" s="31"/>
      <c r="D209" s="27"/>
      <c r="E209" s="7"/>
    </row>
    <row r="210" spans="1:10">
      <c r="A210" s="2" t="s">
        <v>82</v>
      </c>
      <c r="D210" s="27">
        <f>H202*(1+H210)/(D204-H210)</f>
        <v>6155173.233010143</v>
      </c>
      <c r="F210" s="2" t="s">
        <v>81</v>
      </c>
      <c r="H210" s="7">
        <v>0.02</v>
      </c>
    </row>
    <row r="211" spans="1:10">
      <c r="A211" s="2" t="s">
        <v>83</v>
      </c>
      <c r="D211" s="32">
        <f>D210/(1+D204)^4</f>
        <v>4695752.1887865243</v>
      </c>
      <c r="E211" s="7"/>
      <c r="I211" s="12"/>
      <c r="J211" s="12"/>
    </row>
    <row r="212" spans="1:10">
      <c r="D212" s="27"/>
      <c r="F212" s="12"/>
      <c r="G212" s="12"/>
      <c r="H212" s="12"/>
      <c r="I212" s="12"/>
      <c r="J212" s="12"/>
    </row>
    <row r="213" spans="1:10">
      <c r="A213" s="33" t="s">
        <v>84</v>
      </c>
      <c r="D213" s="27">
        <f>D211+D207</f>
        <v>5845055.762615433</v>
      </c>
      <c r="E213" s="34"/>
    </row>
    <row r="214" spans="1:10">
      <c r="A214" s="2" t="s">
        <v>85</v>
      </c>
      <c r="D214" s="35">
        <f>(J61+J57)</f>
        <v>711</v>
      </c>
      <c r="F214" s="12"/>
      <c r="G214" s="12"/>
      <c r="H214" s="12"/>
      <c r="I214" s="12"/>
    </row>
    <row r="215" spans="1:10">
      <c r="A215" s="2" t="s">
        <v>86</v>
      </c>
      <c r="D215" s="36">
        <f>D213-D214</f>
        <v>5844344.762615433</v>
      </c>
      <c r="F215" s="12"/>
      <c r="G215" s="12"/>
      <c r="H215" s="12"/>
      <c r="I215" s="12"/>
      <c r="J215" s="12"/>
    </row>
    <row r="216" spans="1:10">
      <c r="A216" s="2" t="s">
        <v>88</v>
      </c>
      <c r="D216" s="36">
        <f>68680000/1000</f>
        <v>68680</v>
      </c>
    </row>
    <row r="218" spans="1:10" ht="16.05" customHeight="1">
      <c r="A218" s="2" t="s">
        <v>87</v>
      </c>
      <c r="D218" s="37">
        <f>D215/D216</f>
        <v>85.095293573317306</v>
      </c>
    </row>
    <row r="219" spans="1:10" ht="16.05" customHeight="1">
      <c r="I219" s="12"/>
      <c r="J219" s="12"/>
    </row>
    <row r="221" spans="1:10" ht="16.05" customHeight="1" thickBot="1"/>
    <row r="222" spans="1:10" ht="16.05" customHeight="1">
      <c r="C222" s="68"/>
      <c r="D222" s="69"/>
      <c r="E222" s="69"/>
      <c r="F222" s="71" t="s">
        <v>89</v>
      </c>
      <c r="G222" s="71"/>
      <c r="H222" s="69"/>
      <c r="I222" s="70"/>
    </row>
    <row r="223" spans="1:10">
      <c r="C223" s="38"/>
      <c r="D223" s="39"/>
      <c r="E223" s="40"/>
      <c r="F223" s="72" t="s">
        <v>90</v>
      </c>
      <c r="G223" s="72"/>
      <c r="H223" s="40"/>
      <c r="I223" s="41"/>
      <c r="J223" s="7"/>
    </row>
    <row r="224" spans="1:10">
      <c r="C224" s="38"/>
      <c r="D224" s="39"/>
      <c r="E224" s="42">
        <v>0.06</v>
      </c>
      <c r="F224" s="42">
        <v>6.5000000000000002E-2</v>
      </c>
      <c r="G224" s="42">
        <v>7.0000000000000007E-2</v>
      </c>
      <c r="H224" s="42">
        <v>7.4999999999999997E-2</v>
      </c>
      <c r="I224" s="43">
        <v>0.08</v>
      </c>
    </row>
    <row r="225" spans="1:15">
      <c r="C225" s="44" t="s">
        <v>91</v>
      </c>
      <c r="D225" s="45">
        <v>0.01</v>
      </c>
      <c r="E225" s="46">
        <f t="shared" ref="E225:I227" si="80">(((NPV(E$224,$D$202:$H$202)+$H$202*(1+$D225)/(E$224-$D225)/(1+E$224)^4))-$D$214)/$D$216</f>
        <v>87.485744577069283</v>
      </c>
      <c r="F225" s="46">
        <f t="shared" si="80"/>
        <v>79.666557958098537</v>
      </c>
      <c r="G225" s="46">
        <f t="shared" si="80"/>
        <v>73.141459076109484</v>
      </c>
      <c r="H225" s="46">
        <f t="shared" si="80"/>
        <v>67.612201766086514</v>
      </c>
      <c r="I225" s="47">
        <f t="shared" si="80"/>
        <v>62.86573681000008</v>
      </c>
      <c r="J225" s="7"/>
    </row>
    <row r="226" spans="1:15">
      <c r="C226" s="44"/>
      <c r="D226" s="45">
        <v>0.02</v>
      </c>
      <c r="E226" s="46">
        <f t="shared" si="80"/>
        <v>105.92877297546563</v>
      </c>
      <c r="F226" s="46">
        <f t="shared" si="80"/>
        <v>94.361091341187304</v>
      </c>
      <c r="G226" s="48">
        <f t="shared" si="80"/>
        <v>85.095293573317306</v>
      </c>
      <c r="H226" s="46">
        <f t="shared" si="80"/>
        <v>77.504071478225626</v>
      </c>
      <c r="I226" s="49">
        <f t="shared" si="80"/>
        <v>71.16920009251622</v>
      </c>
    </row>
    <row r="227" spans="1:15">
      <c r="C227" s="44"/>
      <c r="D227" s="45">
        <v>0.03</v>
      </c>
      <c r="E227" s="50">
        <f t="shared" si="80"/>
        <v>136.66715363945951</v>
      </c>
      <c r="F227" s="46">
        <f t="shared" si="80"/>
        <v>117.45250094318394</v>
      </c>
      <c r="G227" s="46">
        <f t="shared" si="80"/>
        <v>103.026045319129</v>
      </c>
      <c r="H227" s="46">
        <f t="shared" si="80"/>
        <v>91.792327729093245</v>
      </c>
      <c r="I227" s="49">
        <f t="shared" si="80"/>
        <v>82.794048688038785</v>
      </c>
    </row>
    <row r="228" spans="1:15">
      <c r="C228" s="38"/>
      <c r="D228" s="39"/>
      <c r="E228" s="51"/>
      <c r="F228" s="51"/>
      <c r="G228" s="51"/>
      <c r="H228" s="51"/>
      <c r="I228" s="52"/>
    </row>
    <row r="229" spans="1:15" ht="16.149999999999999" thickBot="1">
      <c r="C229" s="53"/>
      <c r="D229" s="54"/>
      <c r="E229" s="55" t="s">
        <v>101</v>
      </c>
      <c r="F229" s="55"/>
      <c r="G229" s="55" t="s">
        <v>102</v>
      </c>
      <c r="H229" s="55"/>
      <c r="I229" s="56" t="s">
        <v>103</v>
      </c>
    </row>
    <row r="233" spans="1:15">
      <c r="A233" s="66" t="s">
        <v>104</v>
      </c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</row>
    <row r="234" spans="1:15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</row>
    <row r="235" spans="1:1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</row>
    <row r="236" spans="1:15" ht="16.0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</row>
    <row r="237" spans="1:15" ht="16.0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</row>
    <row r="238" spans="1:15" ht="16.05" customHeight="1">
      <c r="B238"/>
    </row>
    <row r="239" spans="1:15" ht="16.05" customHeight="1">
      <c r="B239"/>
      <c r="C239" s="58"/>
      <c r="E239">
        <v>2016</v>
      </c>
      <c r="F239">
        <v>2017</v>
      </c>
      <c r="G239">
        <v>2018</v>
      </c>
      <c r="H239">
        <v>2019</v>
      </c>
      <c r="I239">
        <v>2020</v>
      </c>
      <c r="J239"/>
    </row>
    <row r="240" spans="1:15">
      <c r="B240"/>
      <c r="C240" s="58" t="s">
        <v>105</v>
      </c>
      <c r="E240"/>
      <c r="F240"/>
      <c r="G240"/>
      <c r="H240"/>
      <c r="I240"/>
      <c r="J240"/>
    </row>
    <row r="241" spans="2:10">
      <c r="B241"/>
      <c r="C241" t="s">
        <v>106</v>
      </c>
      <c r="E241" s="59">
        <f>F49/F60</f>
        <v>1.2479338842975207</v>
      </c>
      <c r="F241" s="59">
        <f>G49/G60</f>
        <v>1.1338289962825279</v>
      </c>
      <c r="G241" s="59">
        <f>H49/H60</f>
        <v>1.1337792642140467</v>
      </c>
      <c r="H241" s="59">
        <f>I49/I60</f>
        <v>0.85820895522388063</v>
      </c>
      <c r="I241" s="59">
        <f>J49/J60</f>
        <v>0.91293532338308458</v>
      </c>
      <c r="J241"/>
    </row>
    <row r="242" spans="2:10">
      <c r="B242"/>
      <c r="C242" t="s">
        <v>107</v>
      </c>
      <c r="E242" s="59">
        <f>(F49-(F47+F48))/F60</f>
        <v>0.50826446280991733</v>
      </c>
      <c r="F242" s="59">
        <f>(G49-(G47+G48))/G60</f>
        <v>0.36431226765799257</v>
      </c>
      <c r="G242" s="59">
        <f>(H49-(H47+H48))/H60</f>
        <v>0.51505016722408026</v>
      </c>
      <c r="H242" s="59">
        <f>(I49-(I47+I48))/I60</f>
        <v>0.36815920398009949</v>
      </c>
      <c r="I242" s="59">
        <f>(J49-(J47+J48))/J60</f>
        <v>0.52238805970149249</v>
      </c>
      <c r="J242"/>
    </row>
    <row r="243" spans="2:10">
      <c r="B243"/>
      <c r="C243" t="s">
        <v>108</v>
      </c>
      <c r="E243" s="59">
        <f>F44/F60</f>
        <v>0.30165289256198347</v>
      </c>
      <c r="F243" s="59">
        <f>G44/G60</f>
        <v>4.8327137546468404E-2</v>
      </c>
      <c r="G243" s="59">
        <f>H44/H60</f>
        <v>5.6856187290969896E-2</v>
      </c>
      <c r="H243" s="59">
        <f>I44/I60</f>
        <v>6.4676616915422883E-2</v>
      </c>
      <c r="I243" s="59">
        <f>J44/J60</f>
        <v>0.29601990049751242</v>
      </c>
      <c r="J243"/>
    </row>
    <row r="244" spans="2:10">
      <c r="B244"/>
      <c r="C244" s="58" t="s">
        <v>109</v>
      </c>
      <c r="E244"/>
      <c r="F244"/>
      <c r="G244"/>
      <c r="H244"/>
      <c r="I244"/>
      <c r="J244"/>
    </row>
    <row r="245" spans="2:10">
      <c r="B245"/>
      <c r="C245" t="s">
        <v>110</v>
      </c>
      <c r="E245" s="59">
        <f>F24/F47</f>
        <v>8.0392156862745097</v>
      </c>
      <c r="F245" s="59">
        <f>G24/G47</f>
        <v>6.4960629921259843</v>
      </c>
      <c r="G245" s="59">
        <f>H24/H47</f>
        <v>7.7217391304347824</v>
      </c>
      <c r="H245" s="59">
        <f>I24/I47</f>
        <v>5.7770700636942678</v>
      </c>
      <c r="I245" s="59">
        <f>J24/J47</f>
        <v>7.8285714285714283</v>
      </c>
      <c r="J245"/>
    </row>
    <row r="246" spans="2:10">
      <c r="B246"/>
      <c r="C246" t="s">
        <v>111</v>
      </c>
      <c r="E246" s="59">
        <f>365/E245</f>
        <v>45.402439024390247</v>
      </c>
      <c r="F246" s="59">
        <f t="shared" ref="F246:I246" si="81">365/F245</f>
        <v>56.187878787878788</v>
      </c>
      <c r="G246" s="59">
        <f t="shared" si="81"/>
        <v>47.269144144144143</v>
      </c>
      <c r="H246" s="59">
        <f t="shared" si="81"/>
        <v>63.180815876515986</v>
      </c>
      <c r="I246" s="59">
        <f t="shared" si="81"/>
        <v>46.62408759124088</v>
      </c>
      <c r="J246"/>
    </row>
    <row r="247" spans="2:10">
      <c r="B247"/>
      <c r="C247" t="s">
        <v>112</v>
      </c>
      <c r="E247" s="59">
        <f>F23/F46</f>
        <v>23.14</v>
      </c>
      <c r="F247" s="59">
        <f>G23/G46</f>
        <v>13.465116279069768</v>
      </c>
      <c r="G247" s="59">
        <f>H23/H46</f>
        <v>11.575471698113208</v>
      </c>
      <c r="H247" s="59">
        <f>I23/I46</f>
        <v>13.416666666666666</v>
      </c>
      <c r="I247" s="59">
        <f>J23/J46</f>
        <v>12.089887640449438</v>
      </c>
      <c r="J247"/>
    </row>
    <row r="248" spans="2:10">
      <c r="B248"/>
      <c r="C248" t="s">
        <v>113</v>
      </c>
      <c r="E248" s="59">
        <f>365/E247</f>
        <v>15.773552290406222</v>
      </c>
      <c r="F248" s="59">
        <f t="shared" ref="F248:I248" si="82">365/F247</f>
        <v>27.107081174438687</v>
      </c>
      <c r="G248" s="59">
        <f t="shared" si="82"/>
        <v>31.532192339038303</v>
      </c>
      <c r="H248" s="59">
        <f t="shared" si="82"/>
        <v>27.204968944099381</v>
      </c>
      <c r="I248" s="59">
        <f t="shared" si="82"/>
        <v>30.190520446096652</v>
      </c>
      <c r="J248"/>
    </row>
    <row r="249" spans="2:10">
      <c r="B249"/>
      <c r="C249" t="s">
        <v>114</v>
      </c>
      <c r="E249" s="60">
        <f>F24/F56</f>
        <v>13.225806451612904</v>
      </c>
      <c r="F249" s="60">
        <f>G24/G56</f>
        <v>10.714285714285714</v>
      </c>
      <c r="G249" s="60">
        <f>H24/H56</f>
        <v>6.9375</v>
      </c>
      <c r="H249" s="60">
        <f>I24/I56</f>
        <v>8.9801980198019802</v>
      </c>
      <c r="I249" s="60">
        <f>J24/J56</f>
        <v>9.3409090909090917</v>
      </c>
      <c r="J249"/>
    </row>
    <row r="250" spans="2:10">
      <c r="B250"/>
      <c r="C250" t="s">
        <v>115</v>
      </c>
      <c r="E250" s="59">
        <f>365/E249</f>
        <v>27.597560975609756</v>
      </c>
      <c r="F250" s="59">
        <f t="shared" ref="F250:I250" si="83">365/F249</f>
        <v>34.06666666666667</v>
      </c>
      <c r="G250" s="59">
        <f t="shared" si="83"/>
        <v>52.612612612612615</v>
      </c>
      <c r="H250" s="59">
        <f t="shared" si="83"/>
        <v>40.644983461962511</v>
      </c>
      <c r="I250" s="59">
        <f t="shared" si="83"/>
        <v>39.075425790754252</v>
      </c>
      <c r="J250"/>
    </row>
    <row r="251" spans="2:10">
      <c r="B251"/>
      <c r="C251" t="s">
        <v>116</v>
      </c>
      <c r="E251" s="59">
        <f>E246+E248+E250</f>
        <v>88.773552290406229</v>
      </c>
      <c r="F251" s="59">
        <f t="shared" ref="F251:I251" si="84">F246+F248+F250</f>
        <v>117.36162662898414</v>
      </c>
      <c r="G251" s="59">
        <f t="shared" si="84"/>
        <v>131.41394909579506</v>
      </c>
      <c r="H251" s="59">
        <f t="shared" si="84"/>
        <v>131.03076828257787</v>
      </c>
      <c r="I251" s="59">
        <f t="shared" si="84"/>
        <v>115.89003382809179</v>
      </c>
      <c r="J251"/>
    </row>
    <row r="252" spans="2:10">
      <c r="B252"/>
      <c r="C252" t="s">
        <v>117</v>
      </c>
      <c r="E252" s="59">
        <f>F23/F50</f>
        <v>1.154690618762475</v>
      </c>
      <c r="F252" s="59">
        <f>G23/G50</f>
        <v>1.1102588686481305</v>
      </c>
      <c r="G252" s="59">
        <f>H23/H50</f>
        <v>1.1575471698113207</v>
      </c>
      <c r="H252" s="59">
        <f>I23/I50</f>
        <v>0.79212792127921283</v>
      </c>
      <c r="I252" s="59">
        <f>J23/J50</f>
        <v>0.70052083333333337</v>
      </c>
      <c r="J252"/>
    </row>
    <row r="253" spans="2:10">
      <c r="B253"/>
      <c r="C253" t="s">
        <v>118</v>
      </c>
      <c r="E253" s="59">
        <f>F23/F54</f>
        <v>0.86214605067064087</v>
      </c>
      <c r="F253" s="59">
        <f>G23/G54</f>
        <v>0.83249460819554277</v>
      </c>
      <c r="G253" s="59">
        <f>H23/H54</f>
        <v>0.85090152565880717</v>
      </c>
      <c r="H253" s="59">
        <f>I23/I54</f>
        <v>0.63510848126232744</v>
      </c>
      <c r="I253" s="59">
        <f>J23/J54</f>
        <v>0.55207798871216007</v>
      </c>
      <c r="J253"/>
    </row>
    <row r="254" spans="2:10">
      <c r="B254"/>
      <c r="C254" t="s">
        <v>119</v>
      </c>
      <c r="E254" s="60">
        <f>F23/F70</f>
        <v>1.4408468244084682</v>
      </c>
      <c r="F254" s="60">
        <f>G23/G70</f>
        <v>1.3356401384083045</v>
      </c>
      <c r="G254" s="60">
        <f>H23/H70</f>
        <v>1.315112540192926</v>
      </c>
      <c r="H254" s="60">
        <f>I23/I70</f>
        <v>1.2905811623246493</v>
      </c>
      <c r="I254" s="60">
        <f>J23/J70</f>
        <v>1.1220020855057351</v>
      </c>
      <c r="J254"/>
    </row>
    <row r="255" spans="2:10">
      <c r="B255"/>
      <c r="C255" s="58" t="s">
        <v>120</v>
      </c>
      <c r="E255"/>
      <c r="F255"/>
      <c r="G255"/>
      <c r="H255"/>
      <c r="I255"/>
      <c r="J255"/>
    </row>
    <row r="256" spans="2:10">
      <c r="B256"/>
      <c r="C256" t="s">
        <v>121</v>
      </c>
      <c r="E256" s="60">
        <f>F63/F54</f>
        <v>0.40163934426229508</v>
      </c>
      <c r="F256" s="60">
        <f>G63/G54</f>
        <v>0.37670740474478792</v>
      </c>
      <c r="G256" s="60">
        <f>H63/H54</f>
        <v>0.35367545076282941</v>
      </c>
      <c r="H256" s="60">
        <f>I63/I54</f>
        <v>0.50788954635108485</v>
      </c>
      <c r="I256" s="60">
        <f>J63/J54</f>
        <v>0.50795279630579782</v>
      </c>
      <c r="J256"/>
    </row>
    <row r="257" spans="2:10">
      <c r="B257"/>
      <c r="C257" t="s">
        <v>122</v>
      </c>
      <c r="E257" s="60">
        <v>0</v>
      </c>
      <c r="F257" s="60">
        <v>0</v>
      </c>
      <c r="G257" s="60">
        <v>0</v>
      </c>
      <c r="H257" s="60">
        <v>0</v>
      </c>
      <c r="I257" s="60">
        <v>0</v>
      </c>
      <c r="J257"/>
    </row>
    <row r="258" spans="2:10">
      <c r="B258"/>
      <c r="C258" t="s">
        <v>123</v>
      </c>
      <c r="E258" s="59">
        <f>F63/(F63+F70)</f>
        <v>0.40163934426229508</v>
      </c>
      <c r="F258" s="59">
        <f>G63/(G63+G70)</f>
        <v>0.37670740474478792</v>
      </c>
      <c r="G258" s="59">
        <f>H63/(H63+H70)</f>
        <v>0.35343035343035345</v>
      </c>
      <c r="H258" s="59">
        <f>I63/(I63+I70)</f>
        <v>0.50788954635108485</v>
      </c>
      <c r="I258" s="59">
        <f>J63/(J63+J70)</f>
        <v>0.50795279630579782</v>
      </c>
      <c r="J258" s="59">
        <f>AVERAGE(E258:I258)</f>
        <v>0.42952388901886379</v>
      </c>
    </row>
    <row r="259" spans="2:10">
      <c r="B259"/>
      <c r="C259" t="s">
        <v>124</v>
      </c>
      <c r="E259">
        <v>0</v>
      </c>
      <c r="F259">
        <v>0</v>
      </c>
      <c r="G259">
        <v>0</v>
      </c>
      <c r="H259">
        <v>0</v>
      </c>
      <c r="I259">
        <v>0</v>
      </c>
      <c r="J259"/>
    </row>
    <row r="260" spans="2:10">
      <c r="B260"/>
      <c r="C260" s="58" t="s">
        <v>129</v>
      </c>
      <c r="E260"/>
      <c r="F260"/>
      <c r="G260"/>
      <c r="H260"/>
      <c r="I260"/>
      <c r="J260"/>
    </row>
    <row r="261" spans="2:10">
      <c r="B261"/>
      <c r="C261" t="s">
        <v>125</v>
      </c>
      <c r="E261" s="59">
        <f>F34/F23</f>
        <v>0.18582541054451165</v>
      </c>
      <c r="F261" s="59">
        <f>G34/G23</f>
        <v>0.17184801381692574</v>
      </c>
      <c r="G261" s="59">
        <f>H34/H23</f>
        <v>0.16707416462917685</v>
      </c>
      <c r="H261" s="59">
        <f>I34/I23</f>
        <v>0.15217391304347827</v>
      </c>
      <c r="I261" s="59">
        <f>J34/J23</f>
        <v>4.9256505576208177E-2</v>
      </c>
      <c r="J261"/>
    </row>
    <row r="262" spans="2:10">
      <c r="C262" t="s">
        <v>126</v>
      </c>
      <c r="E262" s="59">
        <f>F30/F54</f>
        <v>0.1631892697466468</v>
      </c>
      <c r="F262" s="59">
        <f>G30/G54</f>
        <v>0.14665708123652049</v>
      </c>
      <c r="G262" s="59">
        <f>H30/H54</f>
        <v>0.14771151178918168</v>
      </c>
      <c r="H262" s="59">
        <f>I30/I54</f>
        <v>0.11094674556213018</v>
      </c>
      <c r="I262" s="59">
        <f>J30/J54</f>
        <v>4.3612108773730118E-2</v>
      </c>
      <c r="J262"/>
    </row>
    <row r="263" spans="2:10">
      <c r="C263" t="s">
        <v>127</v>
      </c>
      <c r="E263" s="59">
        <f>F34/F54</f>
        <v>0.1602086438152012</v>
      </c>
      <c r="F263" s="59">
        <f>G34/G54</f>
        <v>0.14306254493170381</v>
      </c>
      <c r="G263" s="59">
        <f>H34/H54</f>
        <v>0.1421636615811373</v>
      </c>
      <c r="H263" s="59">
        <f>I34/I54</f>
        <v>9.6646942800788949E-2</v>
      </c>
      <c r="I263" s="59">
        <f>J34/J54</f>
        <v>2.719343252950231E-2</v>
      </c>
      <c r="J263"/>
    </row>
    <row r="264" spans="2:10">
      <c r="C264" t="s">
        <v>128</v>
      </c>
      <c r="E264" s="59">
        <f>F34/F70</f>
        <v>0.26774595267745954</v>
      </c>
      <c r="F264" s="59">
        <f>G34/G70</f>
        <v>0.22952710495963091</v>
      </c>
      <c r="G264" s="59">
        <f>H34/H70</f>
        <v>0.21972132904608788</v>
      </c>
      <c r="H264" s="59">
        <f>I34/I70</f>
        <v>0.19639278557114229</v>
      </c>
      <c r="I264" s="59">
        <f>J34/J70</f>
        <v>5.526590198123045E-2</v>
      </c>
      <c r="J264"/>
    </row>
    <row r="266" spans="2:10">
      <c r="C266" s="2" t="s">
        <v>130</v>
      </c>
    </row>
  </sheetData>
  <mergeCells count="20">
    <mergeCell ref="A233:O237"/>
    <mergeCell ref="A196:O200"/>
    <mergeCell ref="A73:O77"/>
    <mergeCell ref="A36:O40"/>
    <mergeCell ref="A106:O110"/>
    <mergeCell ref="A164:J164"/>
    <mergeCell ref="A161:J163"/>
    <mergeCell ref="A111:I112"/>
    <mergeCell ref="A126:I127"/>
    <mergeCell ref="A128:I129"/>
    <mergeCell ref="F222:G222"/>
    <mergeCell ref="F223:G223"/>
    <mergeCell ref="A1:M7"/>
    <mergeCell ref="A8:C8"/>
    <mergeCell ref="A9:C9"/>
    <mergeCell ref="A17:O21"/>
    <mergeCell ref="A12:C12"/>
    <mergeCell ref="A13:C13"/>
    <mergeCell ref="A11:C1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YAZEED M</cp:lastModifiedBy>
  <dcterms:created xsi:type="dcterms:W3CDTF">2021-12-08T10:47:24Z</dcterms:created>
  <dcterms:modified xsi:type="dcterms:W3CDTF">2021-12-15T05:20:38Z</dcterms:modified>
</cp:coreProperties>
</file>