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урсач ПО 62411" sheetId="1" r:id="rId3"/>
  </sheets>
  <definedNames/>
  <calcPr/>
</workbook>
</file>

<file path=xl/sharedStrings.xml><?xml version="1.0" encoding="utf-8"?>
<sst xmlns="http://schemas.openxmlformats.org/spreadsheetml/2006/main" count="231" uniqueCount="193">
  <si>
    <t>стр 56</t>
  </si>
  <si>
    <t>исходные данные</t>
  </si>
  <si>
    <t xml:space="preserve">1 Коэффициент изменения скорости обработки информации </t>
  </si>
  <si>
    <t xml:space="preserve">ед. </t>
  </si>
  <si>
    <r>
      <rPr>
        <rFont val="Times New Roman"/>
        <color rgb="FF000000"/>
        <sz val="10.0"/>
      </rPr>
      <t>К</t>
    </r>
    <r>
      <rPr>
        <rFont val="Times New Roman"/>
        <color rgb="FF000000"/>
        <sz val="10.0"/>
        <vertAlign val="subscript"/>
      </rPr>
      <t>ск</t>
    </r>
    <r>
      <rPr>
        <rFont val="Times New Roman"/>
        <color rgb="FF000000"/>
        <sz val="10.0"/>
      </rPr>
      <t xml:space="preserve"> </t>
    </r>
  </si>
  <si>
    <r>
      <rPr>
        <rFont val="Times New Roman"/>
        <color rgb="FF000000"/>
        <sz val="10.0"/>
      </rPr>
      <t>К</t>
    </r>
    <r>
      <rPr>
        <rFont val="Times New Roman"/>
        <color rgb="FF000000"/>
        <sz val="10.0"/>
        <vertAlign val="subscript"/>
      </rPr>
      <t xml:space="preserve">ск </t>
    </r>
    <r>
      <rPr>
        <rFont val="Times New Roman"/>
        <color rgb="FF000000"/>
        <sz val="10.0"/>
      </rPr>
      <t xml:space="preserve">= 0,5–0,7 </t>
    </r>
  </si>
  <si>
    <t xml:space="preserve">2 Численность разработчиков </t>
  </si>
  <si>
    <t xml:space="preserve">чел. </t>
  </si>
  <si>
    <r>
      <rPr>
        <rFont val="Times New Roman"/>
        <color rgb="FF000000"/>
        <sz val="10.0"/>
      </rPr>
      <t>Ч</t>
    </r>
    <r>
      <rPr>
        <rFont val="Times New Roman"/>
        <color rgb="FF000000"/>
        <sz val="10.0"/>
        <vertAlign val="subscript"/>
      </rPr>
      <t>р</t>
    </r>
    <r>
      <rPr>
        <rFont val="Times New Roman"/>
        <color rgb="FF000000"/>
        <sz val="10.0"/>
      </rPr>
      <t xml:space="preserve"> </t>
    </r>
  </si>
  <si>
    <r>
      <rPr>
        <rFont val="Times New Roman"/>
        <color rgb="FF000000"/>
        <sz val="10.0"/>
      </rPr>
      <t>Ч</t>
    </r>
    <r>
      <rPr>
        <rFont val="Times New Roman"/>
        <color rgb="FF000000"/>
        <sz val="10.0"/>
        <vertAlign val="subscript"/>
      </rPr>
      <t xml:space="preserve">р </t>
    </r>
    <r>
      <rPr>
        <rFont val="Times New Roman"/>
        <color rgb="FF000000"/>
        <sz val="10.0"/>
      </rPr>
      <t xml:space="preserve">= 1 </t>
    </r>
  </si>
  <si>
    <t xml:space="preserve">3 Тарифная ставка 1-го разряда в организации </t>
  </si>
  <si>
    <t xml:space="preserve">руб. </t>
  </si>
  <si>
    <r>
      <rPr>
        <rFont val="Times New Roman"/>
        <color rgb="FF000000"/>
        <sz val="11.0"/>
      </rPr>
      <t>C</t>
    </r>
    <r>
      <rPr>
        <rFont val="Times New Roman"/>
        <color rgb="FF000000"/>
        <sz val="7.0"/>
      </rPr>
      <t>1</t>
    </r>
    <r>
      <rPr>
        <rFont val="Times New Roman"/>
        <color rgb="FF000000"/>
        <sz val="11.0"/>
        <vertAlign val="subscript"/>
      </rPr>
      <t>зм</t>
    </r>
    <r>
      <rPr>
        <rFont val="Times New Roman"/>
        <color rgb="FF000000"/>
        <sz val="10.0"/>
      </rPr>
      <t xml:space="preserve"> </t>
    </r>
  </si>
  <si>
    <t xml:space="preserve">4 Тарифный коэффициент </t>
  </si>
  <si>
    <r>
      <rPr>
        <rFont val="Times New Roman"/>
        <color rgb="FF000000"/>
        <sz val="10.0"/>
      </rPr>
      <t>К</t>
    </r>
    <r>
      <rPr>
        <rFont val="Times New Roman"/>
        <color rgb="FF000000"/>
        <sz val="10.0"/>
        <vertAlign val="subscript"/>
      </rPr>
      <t>т</t>
    </r>
    <r>
      <rPr>
        <rFont val="Times New Roman"/>
        <color rgb="FF000000"/>
        <sz val="10.0"/>
      </rPr>
      <t xml:space="preserve"> </t>
    </r>
  </si>
  <si>
    <t>на 2018 год</t>
  </si>
  <si>
    <t xml:space="preserve">5 Фонд рабочего времени </t>
  </si>
  <si>
    <t xml:space="preserve">ч </t>
  </si>
  <si>
    <t xml:space="preserve">ФРВ </t>
  </si>
  <si>
    <t>5-дневка</t>
  </si>
  <si>
    <t xml:space="preserve">6 Коэффициент естественных потерь рабочего времени </t>
  </si>
  <si>
    <r>
      <rPr>
        <rFont val="Times New Roman"/>
        <color rgb="FF000000"/>
        <sz val="10.0"/>
      </rPr>
      <t>К</t>
    </r>
    <r>
      <rPr>
        <rFont val="Times New Roman"/>
        <color rgb="FF000000"/>
        <sz val="10.0"/>
        <vertAlign val="subscript"/>
      </rPr>
      <t>п</t>
    </r>
    <r>
      <rPr>
        <rFont val="Times New Roman"/>
        <color rgb="FF000000"/>
        <sz val="10.0"/>
      </rPr>
      <t xml:space="preserve"> </t>
    </r>
  </si>
  <si>
    <r>
      <rPr>
        <rFont val="Times New Roman"/>
        <color rgb="FF000000"/>
        <sz val="10.0"/>
      </rPr>
      <t>К</t>
    </r>
    <r>
      <rPr>
        <rFont val="Times New Roman"/>
        <color rgb="FF000000"/>
        <sz val="10.0"/>
        <vertAlign val="subscript"/>
      </rPr>
      <t xml:space="preserve">п </t>
    </r>
    <r>
      <rPr>
        <rFont val="Times New Roman"/>
        <color rgb="FF000000"/>
        <sz val="10.0"/>
      </rPr>
      <t xml:space="preserve">= 1,1–1,4 </t>
    </r>
  </si>
  <si>
    <t>6-дневка</t>
  </si>
  <si>
    <t xml:space="preserve">7 Коэффициент премирования </t>
  </si>
  <si>
    <r>
      <rPr>
        <rFont val="Times New Roman"/>
        <color rgb="FF000000"/>
        <sz val="10.0"/>
      </rPr>
      <t>К</t>
    </r>
    <r>
      <rPr>
        <rFont val="Times New Roman"/>
        <color rgb="FF000000"/>
        <sz val="10.0"/>
        <vertAlign val="subscript"/>
      </rPr>
      <t>пр</t>
    </r>
    <r>
      <rPr>
        <rFont val="Times New Roman"/>
        <color rgb="FF000000"/>
        <sz val="10.0"/>
      </rPr>
      <t xml:space="preserve"> </t>
    </r>
  </si>
  <si>
    <r>
      <rPr>
        <rFont val="Times New Roman"/>
        <color rgb="FF000000"/>
        <sz val="10.0"/>
      </rPr>
      <t>К</t>
    </r>
    <r>
      <rPr>
        <rFont val="Times New Roman"/>
        <color rgb="FF000000"/>
        <sz val="10.0"/>
        <vertAlign val="subscript"/>
      </rPr>
      <t xml:space="preserve">пр </t>
    </r>
    <r>
      <rPr>
        <rFont val="Times New Roman"/>
        <color rgb="FF000000"/>
        <sz val="10.0"/>
      </rPr>
      <t xml:space="preserve">= 1,1–1,3 </t>
    </r>
  </si>
  <si>
    <t xml:space="preserve">8 Норматив дополнительной заработной платы </t>
  </si>
  <si>
    <t xml:space="preserve">% </t>
  </si>
  <si>
    <r>
      <rPr>
        <rFont val="Times New Roman"/>
        <color rgb="FF000000"/>
        <sz val="10.0"/>
      </rPr>
      <t>Н</t>
    </r>
    <r>
      <rPr>
        <rFont val="Times New Roman"/>
        <color rgb="FF000000"/>
        <sz val="10.0"/>
        <vertAlign val="subscript"/>
      </rPr>
      <t>дз</t>
    </r>
    <r>
      <rPr>
        <rFont val="Times New Roman"/>
        <color rgb="FF000000"/>
        <sz val="10.0"/>
      </rPr>
      <t xml:space="preserve"> </t>
    </r>
  </si>
  <si>
    <r>
      <rPr>
        <rFont val="Times New Roman"/>
        <color rgb="FF000000"/>
        <sz val="10.0"/>
      </rPr>
      <t>Н</t>
    </r>
    <r>
      <rPr>
        <rFont val="Times New Roman"/>
        <color rgb="FF000000"/>
        <sz val="10.0"/>
        <vertAlign val="subscript"/>
      </rPr>
      <t xml:space="preserve">дз </t>
    </r>
    <r>
      <rPr>
        <rFont val="Times New Roman"/>
        <color rgb="FF000000"/>
        <sz val="10.0"/>
      </rPr>
      <t xml:space="preserve">= 10–20 % </t>
    </r>
  </si>
  <si>
    <t xml:space="preserve">9 Ставка отчислений в Фонд социальной защиты населения </t>
  </si>
  <si>
    <r>
      <rPr>
        <rFont val="Times New Roman"/>
        <color rgb="FF000000"/>
        <sz val="10.0"/>
      </rPr>
      <t>Н</t>
    </r>
    <r>
      <rPr>
        <rFont val="Times New Roman"/>
        <color rgb="FF000000"/>
        <sz val="6.0"/>
      </rPr>
      <t>фсзн</t>
    </r>
    <r>
      <rPr>
        <rFont val="Times New Roman"/>
        <color rgb="FF000000"/>
        <sz val="10.0"/>
      </rPr>
      <t xml:space="preserve"> </t>
    </r>
  </si>
  <si>
    <r>
      <rPr>
        <rFont val="Times New Roman"/>
        <color rgb="FF000000"/>
        <sz val="10.0"/>
      </rPr>
      <t>Н</t>
    </r>
    <r>
      <rPr>
        <rFont val="Times New Roman"/>
        <color rgb="FF000000"/>
        <sz val="10.0"/>
        <vertAlign val="subscript"/>
      </rPr>
      <t xml:space="preserve">фсзн </t>
    </r>
    <r>
      <rPr>
        <rFont val="Times New Roman"/>
        <color rgb="FF000000"/>
        <sz val="10.0"/>
      </rPr>
      <t xml:space="preserve">= 34 % </t>
    </r>
  </si>
  <si>
    <t xml:space="preserve">10 Ставка отчислений по обязательному страхованию от несчастных случаев на производстве и профессиональных заболеваний </t>
  </si>
  <si>
    <r>
      <rPr>
        <rFont val="Times New Roman"/>
        <color rgb="FF000000"/>
        <sz val="10.0"/>
      </rPr>
      <t>Н</t>
    </r>
    <r>
      <rPr>
        <rFont val="Times New Roman"/>
        <color rgb="FF000000"/>
        <sz val="10.0"/>
        <vertAlign val="subscript"/>
      </rPr>
      <t>бгс</t>
    </r>
    <r>
      <rPr>
        <rFont val="Times New Roman"/>
        <color rgb="FF000000"/>
        <sz val="10.0"/>
      </rPr>
      <t xml:space="preserve"> </t>
    </r>
  </si>
  <si>
    <r>
      <rPr>
        <rFont val="Times New Roman"/>
        <color rgb="FF000000"/>
        <sz val="10.0"/>
      </rPr>
      <t>Н</t>
    </r>
    <r>
      <rPr>
        <rFont val="Times New Roman"/>
        <color rgb="FF000000"/>
        <sz val="10.0"/>
        <vertAlign val="subscript"/>
      </rPr>
      <t xml:space="preserve">бгс </t>
    </r>
    <r>
      <rPr>
        <rFont val="Times New Roman"/>
        <color rgb="FF000000"/>
        <sz val="10.0"/>
      </rPr>
      <t xml:space="preserve">= 0,1–1 % </t>
    </r>
  </si>
  <si>
    <t xml:space="preserve">11 Цена одного машино-часа </t>
  </si>
  <si>
    <r>
      <rPr>
        <rFont val="Times New Roman"/>
        <color rgb="FF000000"/>
        <sz val="10.0"/>
      </rPr>
      <t>Ц</t>
    </r>
    <r>
      <rPr>
        <rFont val="Times New Roman"/>
        <color rgb="FF000000"/>
        <sz val="10.0"/>
        <vertAlign val="subscript"/>
      </rPr>
      <t>м</t>
    </r>
    <r>
      <rPr>
        <rFont val="Times New Roman"/>
        <color rgb="FF000000"/>
        <sz val="10.0"/>
      </rPr>
      <t xml:space="preserve"> </t>
    </r>
  </si>
  <si>
    <r>
      <rPr>
        <rFont val="Times New Roman"/>
        <color rgb="FF000000"/>
        <sz val="10.0"/>
      </rPr>
      <t>Ц</t>
    </r>
    <r>
      <rPr>
        <rFont val="Times New Roman"/>
        <color rgb="FF000000"/>
        <sz val="10.0"/>
        <vertAlign val="subscript"/>
      </rPr>
      <t>м</t>
    </r>
    <r>
      <rPr>
        <rFont val="Times New Roman"/>
        <color rgb="FF000000"/>
        <sz val="10.0"/>
      </rPr>
      <t xml:space="preserve"> = </t>
    </r>
  </si>
  <si>
    <t xml:space="preserve">12 Норматив прочих затрат </t>
  </si>
  <si>
    <r>
      <rPr>
        <rFont val="Times New Roman"/>
        <color rgb="FF000000"/>
        <sz val="10.0"/>
      </rPr>
      <t>Н</t>
    </r>
    <r>
      <rPr>
        <rFont val="Times New Roman"/>
        <color rgb="FF000000"/>
        <sz val="10.0"/>
        <vertAlign val="subscript"/>
      </rPr>
      <t>пз</t>
    </r>
    <r>
      <rPr>
        <rFont val="Times New Roman"/>
        <color rgb="FF000000"/>
        <sz val="10.0"/>
      </rPr>
      <t xml:space="preserve"> </t>
    </r>
  </si>
  <si>
    <r>
      <rPr>
        <rFont val="Times New Roman"/>
        <color rgb="FF000000"/>
        <sz val="10.0"/>
      </rPr>
      <t>Н</t>
    </r>
    <r>
      <rPr>
        <rFont val="Times New Roman"/>
        <color rgb="FF000000"/>
        <sz val="10.0"/>
        <vertAlign val="subscript"/>
      </rPr>
      <t xml:space="preserve">пз </t>
    </r>
    <r>
      <rPr>
        <rFont val="Times New Roman"/>
        <color rgb="FF000000"/>
        <sz val="10.0"/>
      </rPr>
      <t xml:space="preserve">= 10–20 % </t>
    </r>
  </si>
  <si>
    <t xml:space="preserve">13 Норматив накладных расходов </t>
  </si>
  <si>
    <r>
      <rPr>
        <rFont val="Times New Roman"/>
        <color rgb="FF000000"/>
        <sz val="10.0"/>
      </rPr>
      <t>Н</t>
    </r>
    <r>
      <rPr>
        <rFont val="Times New Roman"/>
        <color rgb="FF000000"/>
        <sz val="10.0"/>
        <vertAlign val="subscript"/>
      </rPr>
      <t>нр</t>
    </r>
    <r>
      <rPr>
        <rFont val="Times New Roman"/>
        <color rgb="FF000000"/>
        <sz val="10.0"/>
      </rPr>
      <t xml:space="preserve"> </t>
    </r>
  </si>
  <si>
    <r>
      <rPr>
        <rFont val="Times New Roman"/>
        <color rgb="FF000000"/>
        <sz val="10.0"/>
      </rPr>
      <t>Н</t>
    </r>
    <r>
      <rPr>
        <rFont val="Times New Roman"/>
        <color rgb="FF000000"/>
        <sz val="10.0"/>
        <vertAlign val="subscript"/>
      </rPr>
      <t xml:space="preserve">нр </t>
    </r>
    <r>
      <rPr>
        <rFont val="Times New Roman"/>
        <color rgb="FF000000"/>
        <sz val="10.0"/>
      </rPr>
      <t xml:space="preserve">= 100–200 % </t>
    </r>
  </si>
  <si>
    <t xml:space="preserve">14 Норматив расходов на сопровождение и адаптацию </t>
  </si>
  <si>
    <r>
      <rPr>
        <rFont val="Times New Roman"/>
        <color rgb="FF000000"/>
        <sz val="10.0"/>
      </rPr>
      <t>Н</t>
    </r>
    <r>
      <rPr>
        <rFont val="Times New Roman"/>
        <color rgb="FF000000"/>
        <sz val="10.0"/>
        <vertAlign val="subscript"/>
      </rPr>
      <t>рса</t>
    </r>
    <r>
      <rPr>
        <rFont val="Times New Roman"/>
        <color rgb="FF000000"/>
        <sz val="10.0"/>
      </rPr>
      <t xml:space="preserve"> </t>
    </r>
  </si>
  <si>
    <r>
      <rPr>
        <rFont val="Times New Roman"/>
        <color rgb="FF000000"/>
        <sz val="10.0"/>
      </rPr>
      <t>Н</t>
    </r>
    <r>
      <rPr>
        <rFont val="Times New Roman"/>
        <color rgb="FF000000"/>
        <sz val="10.0"/>
        <vertAlign val="subscript"/>
      </rPr>
      <t xml:space="preserve">рса </t>
    </r>
    <r>
      <rPr>
        <rFont val="Times New Roman"/>
        <color rgb="FF000000"/>
        <sz val="10.0"/>
      </rPr>
      <t xml:space="preserve">= 10 % </t>
    </r>
  </si>
  <si>
    <t xml:space="preserve">15 Уровень рентабельности </t>
  </si>
  <si>
    <r>
      <rPr>
        <rFont val="Times New Roman"/>
        <color rgb="FF000000"/>
        <sz val="10.0"/>
      </rPr>
      <t>У</t>
    </r>
    <r>
      <rPr>
        <rFont val="Times New Roman"/>
        <color rgb="FF000000"/>
        <sz val="10.0"/>
        <vertAlign val="subscript"/>
      </rPr>
      <t>рн</t>
    </r>
    <r>
      <rPr>
        <rFont val="Times New Roman"/>
        <color rgb="FF000000"/>
        <sz val="10.0"/>
      </rPr>
      <t xml:space="preserve"> </t>
    </r>
  </si>
  <si>
    <r>
      <rPr>
        <rFont val="Times New Roman"/>
        <color rgb="FF000000"/>
        <sz val="10.0"/>
      </rPr>
      <t>У</t>
    </r>
    <r>
      <rPr>
        <rFont val="Times New Roman"/>
        <color rgb="FF000000"/>
        <sz val="10.0"/>
        <vertAlign val="subscript"/>
      </rPr>
      <t xml:space="preserve">рн </t>
    </r>
    <r>
      <rPr>
        <rFont val="Times New Roman"/>
        <color rgb="FF000000"/>
        <sz val="10.0"/>
      </rPr>
      <t xml:space="preserve">= 20–40 % </t>
    </r>
  </si>
  <si>
    <t xml:space="preserve">16 Ставка НДС </t>
  </si>
  <si>
    <r>
      <rPr>
        <rFont val="Times New Roman"/>
        <color rgb="FF000000"/>
        <sz val="10.0"/>
      </rPr>
      <t>Н</t>
    </r>
    <r>
      <rPr>
        <rFont val="Times New Roman"/>
        <color rgb="FF000000"/>
        <sz val="10.0"/>
        <vertAlign val="subscript"/>
      </rPr>
      <t>ндс</t>
    </r>
    <r>
      <rPr>
        <rFont val="Times New Roman"/>
        <color rgb="FF000000"/>
        <sz val="10.0"/>
      </rPr>
      <t xml:space="preserve"> </t>
    </r>
  </si>
  <si>
    <r>
      <rPr>
        <rFont val="Times New Roman"/>
        <color rgb="FF000000"/>
        <sz val="10.0"/>
      </rPr>
      <t>Н</t>
    </r>
    <r>
      <rPr>
        <rFont val="Times New Roman"/>
        <color rgb="FF000000"/>
        <sz val="10.0"/>
        <vertAlign val="subscript"/>
      </rPr>
      <t>ндс</t>
    </r>
    <r>
      <rPr>
        <rFont val="Times New Roman"/>
        <color rgb="FF000000"/>
        <sz val="10.0"/>
      </rPr>
      <t xml:space="preserve"> = 20 % </t>
    </r>
  </si>
  <si>
    <t xml:space="preserve">17 Норматив расходов на освоение ПС </t>
  </si>
  <si>
    <r>
      <rPr>
        <rFont val="Times New Roman"/>
        <color rgb="FF000000"/>
        <sz val="10.0"/>
      </rPr>
      <t>Н</t>
    </r>
    <r>
      <rPr>
        <rFont val="Times New Roman"/>
        <color rgb="FF000000"/>
        <sz val="10.0"/>
        <vertAlign val="subscript"/>
      </rPr>
      <t>кос</t>
    </r>
    <r>
      <rPr>
        <rFont val="Times New Roman"/>
        <color rgb="FF000000"/>
        <sz val="10.0"/>
      </rPr>
      <t xml:space="preserve"> </t>
    </r>
  </si>
  <si>
    <r>
      <rPr>
        <rFont val="Times New Roman"/>
        <color rgb="FF000000"/>
        <sz val="10.0"/>
      </rPr>
      <t>Н</t>
    </r>
    <r>
      <rPr>
        <rFont val="Times New Roman"/>
        <color rgb="FF000000"/>
        <sz val="10.0"/>
        <vertAlign val="subscript"/>
      </rPr>
      <t xml:space="preserve">кос </t>
    </r>
    <r>
      <rPr>
        <rFont val="Times New Roman"/>
        <color rgb="FF000000"/>
        <sz val="10.0"/>
      </rPr>
      <t xml:space="preserve">= 1–2 % </t>
    </r>
  </si>
  <si>
    <t xml:space="preserve">18 Норматив расходов на пополнение оборотных средств в связи с использованием нового ПС </t>
  </si>
  <si>
    <r>
      <rPr>
        <rFont val="Times New Roman"/>
        <color rgb="FF000000"/>
        <sz val="10.0"/>
      </rPr>
      <t>Н</t>
    </r>
    <r>
      <rPr>
        <rFont val="Times New Roman"/>
        <color rgb="FF000000"/>
        <sz val="10.0"/>
        <vertAlign val="subscript"/>
      </rPr>
      <t>коб</t>
    </r>
    <r>
      <rPr>
        <rFont val="Times New Roman"/>
        <color rgb="FF000000"/>
        <sz val="10.0"/>
      </rPr>
      <t xml:space="preserve"> </t>
    </r>
  </si>
  <si>
    <r>
      <rPr>
        <rFont val="Times New Roman"/>
        <color rgb="FF000000"/>
        <sz val="10.0"/>
      </rPr>
      <t>Н</t>
    </r>
    <r>
      <rPr>
        <rFont val="Times New Roman"/>
        <color rgb="FF000000"/>
        <sz val="10.0"/>
        <vertAlign val="subscript"/>
      </rPr>
      <t xml:space="preserve">коб </t>
    </r>
    <r>
      <rPr>
        <rFont val="Times New Roman"/>
        <color rgb="FF000000"/>
        <sz val="10.0"/>
      </rPr>
      <t xml:space="preserve">= 1–2 % </t>
    </r>
  </si>
  <si>
    <t xml:space="preserve">19 Ставка налога на прибыль </t>
  </si>
  <si>
    <r>
      <rPr>
        <rFont val="Times New Roman"/>
        <color rgb="FF000000"/>
        <sz val="10.0"/>
      </rPr>
      <t>Н</t>
    </r>
    <r>
      <rPr>
        <rFont val="Times New Roman"/>
        <color rgb="FF000000"/>
        <sz val="6.0"/>
      </rPr>
      <t>nр</t>
    </r>
    <r>
      <rPr>
        <rFont val="Times New Roman"/>
        <color rgb="FF000000"/>
        <sz val="10.0"/>
      </rPr>
      <t xml:space="preserve"> </t>
    </r>
  </si>
  <si>
    <r>
      <rPr>
        <rFont val="Times New Roman"/>
        <color rgb="FF000000"/>
        <sz val="10.0"/>
      </rPr>
      <t>Н</t>
    </r>
    <r>
      <rPr>
        <rFont val="Times New Roman"/>
        <color rgb="FF000000"/>
        <sz val="10.0"/>
        <vertAlign val="subscript"/>
      </rPr>
      <t xml:space="preserve">пр </t>
    </r>
    <r>
      <rPr>
        <rFont val="Times New Roman"/>
        <color rgb="FF000000"/>
        <sz val="10.0"/>
      </rPr>
      <t xml:space="preserve">= 18 % </t>
    </r>
  </si>
  <si>
    <t xml:space="preserve">20 Норматив приведения разновременных затрат </t>
  </si>
  <si>
    <r>
      <rPr>
        <rFont val="Times New Roman"/>
        <color rgb="FF000000"/>
        <sz val="10.0"/>
      </rPr>
      <t>Е</t>
    </r>
    <r>
      <rPr>
        <rFont val="Times New Roman"/>
        <color rgb="FF000000"/>
        <sz val="10.0"/>
        <vertAlign val="subscript"/>
      </rPr>
      <t>н</t>
    </r>
    <r>
      <rPr>
        <rFont val="Times New Roman"/>
        <color rgb="FF000000"/>
        <sz val="10.0"/>
      </rPr>
      <t xml:space="preserve"> </t>
    </r>
  </si>
  <si>
    <r>
      <rPr>
        <rFont val="Times New Roman"/>
        <color rgb="FF000000"/>
        <sz val="10.0"/>
      </rPr>
      <t>Е</t>
    </r>
    <r>
      <rPr>
        <rFont val="Times New Roman"/>
        <color rgb="FF000000"/>
        <sz val="10.0"/>
        <vertAlign val="subscript"/>
      </rPr>
      <t xml:space="preserve">н </t>
    </r>
    <r>
      <rPr>
        <rFont val="Times New Roman"/>
        <color rgb="FF000000"/>
        <sz val="10.0"/>
      </rPr>
      <t xml:space="preserve">= 0,25 </t>
    </r>
  </si>
  <si>
    <t>Контроль, предварительная обработка и ввод информации</t>
  </si>
  <si>
    <t>Управление вводом/выводом</t>
  </si>
  <si>
    <t>Формирование баз данных</t>
  </si>
  <si>
    <t>Vo=суммаVi</t>
  </si>
  <si>
    <t>Vo</t>
  </si>
  <si>
    <t>прил Р</t>
  </si>
  <si>
    <t>Манипулирование данными</t>
  </si>
  <si>
    <t>V1o=VoKck</t>
  </si>
  <si>
    <t>V1o</t>
  </si>
  <si>
    <t>Тн</t>
  </si>
  <si>
    <t>Организация поиска и поиск в базе данных</t>
  </si>
  <si>
    <t>То=Тн*(1+Ксл)</t>
  </si>
  <si>
    <t>То</t>
  </si>
  <si>
    <t>прил С</t>
  </si>
  <si>
    <t>Загрузка базы данных</t>
  </si>
  <si>
    <t>Сзм=С1змКт</t>
  </si>
  <si>
    <t>Сзм</t>
  </si>
  <si>
    <t>Предварительная обработка и печать файлов</t>
  </si>
  <si>
    <t>Соз=суммСздТоКпКпр</t>
  </si>
  <si>
    <t>Соз</t>
  </si>
  <si>
    <t>Сдз=(Соз*Ндз)/100</t>
  </si>
  <si>
    <t>Сдз</t>
  </si>
  <si>
    <t>ИТОГО</t>
  </si>
  <si>
    <t>Сфсзн=(Соз+Сдз)Нфсзн/100</t>
  </si>
  <si>
    <t>Сфзсн</t>
  </si>
  <si>
    <t>Сбгс=(Соз+Сдз)Нбгс/100</t>
  </si>
  <si>
    <t>Сбгс</t>
  </si>
  <si>
    <t>См=НмVо/100</t>
  </si>
  <si>
    <t>См</t>
  </si>
  <si>
    <t>прилФ</t>
  </si>
  <si>
    <t>Смв=ЦмV1оНмв/100</t>
  </si>
  <si>
    <t>Смв</t>
  </si>
  <si>
    <t>прил  Х</t>
  </si>
  <si>
    <t>Спз=СозНмв/100</t>
  </si>
  <si>
    <t>Спз</t>
  </si>
  <si>
    <t>Снр=СозНнр/100</t>
  </si>
  <si>
    <t>Снр</t>
  </si>
  <si>
    <t>Ср=Соз+Сдз+Сфзсн+Сбгс+См+Ссо+Смв+Спз+Снр</t>
  </si>
  <si>
    <t>Ср</t>
  </si>
  <si>
    <t>Срса</t>
  </si>
  <si>
    <t>Сп=Ср+Срса</t>
  </si>
  <si>
    <t>Сп</t>
  </si>
  <si>
    <t>Ппс=СпУрп/100</t>
  </si>
  <si>
    <t>Ппс</t>
  </si>
  <si>
    <t>Цп=Сп+Ппс</t>
  </si>
  <si>
    <t>Цп</t>
  </si>
  <si>
    <t>НДС=ЦпНндс/100</t>
  </si>
  <si>
    <t>НДС</t>
  </si>
  <si>
    <t>1. Средняя трудоемкость работ в расчете на 100 КБ</t>
  </si>
  <si>
    <r>
      <rPr>
        <rFont val="Times New Roman"/>
        <color rgb="FF000000"/>
        <sz val="12.0"/>
      </rPr>
      <t>Т</t>
    </r>
    <r>
      <rPr>
        <rFont val="Times New Roman"/>
        <color rgb="FF000000"/>
        <sz val="12.0"/>
        <vertAlign val="subscript"/>
      </rPr>
      <t>с</t>
    </r>
    <r>
      <rPr>
        <rFont val="Times New Roman"/>
        <color rgb="FF000000"/>
        <sz val="12.0"/>
        <vertAlign val="superscript"/>
      </rPr>
      <t>1</t>
    </r>
  </si>
  <si>
    <t>человеко-час на 100 КБ</t>
  </si>
  <si>
    <t>По данным пользователя</t>
  </si>
  <si>
    <t>Цо=Цп+Нндс</t>
  </si>
  <si>
    <t>Цо</t>
  </si>
  <si>
    <r>
      <rPr>
        <rFont val="Times New Roman"/>
        <color rgb="FF000000"/>
        <sz val="12.0"/>
      </rPr>
      <t>Т</t>
    </r>
    <r>
      <rPr>
        <rFont val="Times New Roman"/>
        <color rgb="FF000000"/>
        <sz val="12.0"/>
        <vertAlign val="subscript"/>
      </rPr>
      <t>с</t>
    </r>
    <r>
      <rPr>
        <rFont val="Times New Roman"/>
        <color rgb="FF000000"/>
        <sz val="12.0"/>
        <vertAlign val="superscript"/>
      </rPr>
      <t>2</t>
    </r>
  </si>
  <si>
    <t>А=V1оКпс</t>
  </si>
  <si>
    <t>А</t>
  </si>
  <si>
    <t>2.Средний расход машинного времени в расчете на 100 КБ</t>
  </si>
  <si>
    <t>Нмв1</t>
  </si>
  <si>
    <t>машино-час на 100 КБ</t>
  </si>
  <si>
    <t xml:space="preserve">По данным пользователя </t>
  </si>
  <si>
    <t>Ко=Кпр+Кос+Ктс+Коб</t>
  </si>
  <si>
    <t>Ко</t>
  </si>
  <si>
    <r>
      <rPr>
        <rFont val="Times New Roman"/>
        <color rgb="FF000000"/>
        <sz val="12.0"/>
      </rPr>
      <t>Н</t>
    </r>
    <r>
      <rPr>
        <rFont val="Times New Roman"/>
        <color rgb="FF000000"/>
        <sz val="12.0"/>
        <vertAlign val="subscript"/>
      </rPr>
      <t>мв</t>
    </r>
    <r>
      <rPr>
        <rFont val="Times New Roman"/>
        <color rgb="FF000000"/>
        <sz val="12.0"/>
        <vertAlign val="superscript"/>
      </rPr>
      <t>2</t>
    </r>
  </si>
  <si>
    <t>Кос=КпрНкос</t>
  </si>
  <si>
    <t>Кос</t>
  </si>
  <si>
    <t xml:space="preserve">3.Средний расход материалов в расчете на </t>
  </si>
  <si>
    <r>
      <rPr>
        <rFont val="Times New Roman"/>
        <color rgb="FF000000"/>
        <sz val="12.0"/>
        <vertAlign val="subscript"/>
      </rPr>
      <t>Hм</t>
    </r>
    <r>
      <rPr>
        <rFont val="Times New Roman"/>
        <color rgb="FF000000"/>
        <sz val="12.0"/>
        <vertAlign val="superscript"/>
      </rPr>
      <t>1</t>
    </r>
  </si>
  <si>
    <t>руб. на 100 КБ</t>
  </si>
  <si>
    <t>Коб=КпрНкоб</t>
  </si>
  <si>
    <t>Коб</t>
  </si>
  <si>
    <t>100 КБ</t>
  </si>
  <si>
    <r>
      <rPr>
        <rFont val="Times New Roman"/>
        <color rgb="FF000000"/>
        <sz val="12.0"/>
        <vertAlign val="subscript"/>
      </rPr>
      <t>Hм</t>
    </r>
    <r>
      <rPr>
        <rFont val="Times New Roman"/>
        <color rgb="FF000000"/>
        <sz val="12.0"/>
        <vertAlign val="superscript"/>
      </rPr>
      <t>2</t>
    </r>
  </si>
  <si>
    <t>Эоз=Э1озА</t>
  </si>
  <si>
    <t>Эоз</t>
  </si>
  <si>
    <t>Э1оз=Сзм(Тс1-Тс2)/ФРВ</t>
  </si>
  <si>
    <t>Э1оз</t>
  </si>
  <si>
    <t>Тс2=0,4Тн100/V1о</t>
  </si>
  <si>
    <t>Тс2</t>
  </si>
  <si>
    <t>Энач=ЭозКнач</t>
  </si>
  <si>
    <t>Энач</t>
  </si>
  <si>
    <t>Кнач=(Нфсзн+Нбгс)/100</t>
  </si>
  <si>
    <t>Кнач</t>
  </si>
  <si>
    <t>Эмв=Э1мвА</t>
  </si>
  <si>
    <t>Эмв</t>
  </si>
  <si>
    <t>Э1мв=Цм(Нмв1-Нмв2)</t>
  </si>
  <si>
    <t>Э1мв</t>
  </si>
  <si>
    <t>Эм=Э1мА</t>
  </si>
  <si>
    <t>Эм</t>
  </si>
  <si>
    <t>Э1м=См1-См2</t>
  </si>
  <si>
    <t>Э1м</t>
  </si>
  <si>
    <t>Эо=Эоз+Энач+Эмв+Эм</t>
  </si>
  <si>
    <t>Эо</t>
  </si>
  <si>
    <t>дельтаП=Эо-ЭоНп/100</t>
  </si>
  <si>
    <t>дельтаП</t>
  </si>
  <si>
    <t>ALFAt=(1+Eн)в степени tp-t</t>
  </si>
  <si>
    <t>ALFAt</t>
  </si>
  <si>
    <t>Показатель</t>
  </si>
  <si>
    <t>Единица
Измерения</t>
  </si>
  <si>
    <t>Методика расчета</t>
  </si>
  <si>
    <t>ГОД</t>
  </si>
  <si>
    <t>Результаты</t>
  </si>
  <si>
    <t xml:space="preserve">Прирост прибыли за счет экономии затрат </t>
  </si>
  <si>
    <r>
      <rPr>
        <rFont val="Times New Roman"/>
        <color rgb="FF000000"/>
        <sz val="10.0"/>
      </rPr>
      <t>∆П</t>
    </r>
    <r>
      <rPr>
        <rFont val="Times New Roman"/>
        <color rgb="FF000000"/>
        <sz val="10.0"/>
        <vertAlign val="subscript"/>
      </rPr>
      <t>ч</t>
    </r>
    <r>
      <rPr>
        <rFont val="Times New Roman"/>
        <color rgb="FF000000"/>
        <sz val="10.0"/>
      </rPr>
      <t xml:space="preserve"> </t>
    </r>
  </si>
  <si>
    <t xml:space="preserve">Сумма прибыли с учетом фактора времени </t>
  </si>
  <si>
    <t xml:space="preserve">  руб. </t>
  </si>
  <si>
    <r>
      <rPr>
        <rFont val="Times New Roman"/>
        <color rgb="FF000000"/>
        <sz val="10.0"/>
      </rPr>
      <t>∆П</t>
    </r>
    <r>
      <rPr>
        <rFont val="Times New Roman"/>
        <color rgb="FF000000"/>
        <sz val="10.0"/>
        <vertAlign val="subscript"/>
      </rPr>
      <t>ч</t>
    </r>
    <r>
      <rPr>
        <rFont val="Times New Roman"/>
        <color rgb="FF000000"/>
        <sz val="8.0"/>
      </rPr>
      <t xml:space="preserve"> </t>
    </r>
    <r>
      <rPr>
        <rFont val="Times New Roman"/>
        <i/>
        <color rgb="FF000000"/>
        <sz val="10.0"/>
      </rPr>
      <t>ALFA</t>
    </r>
    <r>
      <rPr>
        <rFont val="Times New Roman"/>
        <i/>
        <color rgb="FF000000"/>
        <sz val="10.0"/>
        <vertAlign val="subscript"/>
      </rPr>
      <t>t</t>
    </r>
    <r>
      <rPr>
        <rFont val="Times New Roman"/>
        <color rgb="FF000000"/>
        <sz val="10.0"/>
      </rPr>
      <t xml:space="preserve"> </t>
    </r>
  </si>
  <si>
    <t xml:space="preserve">Затраты на приобретение ПС </t>
  </si>
  <si>
    <r>
      <rPr>
        <rFont val="Times New Roman"/>
        <color rgb="FF000000"/>
        <sz val="10.0"/>
      </rPr>
      <t>К</t>
    </r>
    <r>
      <rPr>
        <rFont val="Times New Roman"/>
        <color rgb="FF000000"/>
        <sz val="10.0"/>
        <vertAlign val="subscript"/>
      </rPr>
      <t>пр</t>
    </r>
    <r>
      <rPr>
        <rFont val="Times New Roman"/>
        <color rgb="FF000000"/>
        <sz val="10.0"/>
      </rPr>
      <t xml:space="preserve"> </t>
    </r>
  </si>
  <si>
    <t>х</t>
  </si>
  <si>
    <t xml:space="preserve">Затраты на освоение ПС </t>
  </si>
  <si>
    <r>
      <rPr>
        <rFont val="Times New Roman"/>
        <color rgb="FF000000"/>
        <sz val="10.0"/>
      </rPr>
      <t>К</t>
    </r>
    <r>
      <rPr>
        <rFont val="Times New Roman"/>
        <color rgb="FF000000"/>
        <sz val="10.0"/>
        <vertAlign val="subscript"/>
      </rPr>
      <t>ос</t>
    </r>
    <r>
      <rPr>
        <rFont val="Times New Roman"/>
        <color rgb="FF000000"/>
        <sz val="10.0"/>
      </rPr>
      <t xml:space="preserve"> </t>
    </r>
  </si>
  <si>
    <t xml:space="preserve">Затраты на доукомплектование ВТ техническими средствами </t>
  </si>
  <si>
    <r>
      <rPr>
        <rFont val="Times New Roman"/>
        <color rgb="FF000000"/>
        <sz val="10.0"/>
      </rPr>
      <t>К</t>
    </r>
    <r>
      <rPr>
        <rFont val="Times New Roman"/>
        <color rgb="FF000000"/>
        <sz val="6.0"/>
      </rPr>
      <t xml:space="preserve">тс </t>
    </r>
  </si>
  <si>
    <t xml:space="preserve">Затраты на пополнение оборотных средств </t>
  </si>
  <si>
    <r>
      <rPr>
        <rFont val="Times New Roman"/>
        <color rgb="FF000000"/>
        <sz val="10.0"/>
      </rPr>
      <t>К</t>
    </r>
    <r>
      <rPr>
        <rFont val="Times New Roman"/>
        <color rgb="FF000000"/>
        <sz val="10.0"/>
        <vertAlign val="subscript"/>
      </rPr>
      <t>об</t>
    </r>
    <r>
      <rPr>
        <rFont val="Times New Roman"/>
        <color rgb="FF000000"/>
        <sz val="10.0"/>
      </rPr>
      <t xml:space="preserve"> </t>
    </r>
  </si>
  <si>
    <t xml:space="preserve">Сумма затрат </t>
  </si>
  <si>
    <r>
      <rPr>
        <rFont val="Times New Roman"/>
        <color rgb="FF000000"/>
        <sz val="10.0"/>
      </rPr>
      <t>К</t>
    </r>
    <r>
      <rPr>
        <rFont val="Times New Roman"/>
        <color rgb="FF000000"/>
        <sz val="10.0"/>
        <vertAlign val="subscript"/>
      </rPr>
      <t>о</t>
    </r>
    <r>
      <rPr>
        <rFont val="Times New Roman"/>
        <color rgb="FF000000"/>
        <sz val="10.0"/>
      </rPr>
      <t xml:space="preserve"> </t>
    </r>
  </si>
  <si>
    <t xml:space="preserve">Сумма затрат с учетом фактора времени </t>
  </si>
  <si>
    <r>
      <rPr>
        <rFont val="Times New Roman"/>
        <color rgb="FF000000"/>
        <sz val="10.0"/>
      </rPr>
      <t>К</t>
    </r>
    <r>
      <rPr>
        <rFont val="Times New Roman"/>
        <color rgb="FF000000"/>
        <sz val="10.0"/>
        <vertAlign val="subscript"/>
      </rPr>
      <t>о</t>
    </r>
    <r>
      <rPr>
        <rFont val="Times New Roman"/>
        <color rgb="FF000000"/>
        <sz val="8.0"/>
      </rPr>
      <t xml:space="preserve"> ·</t>
    </r>
    <r>
      <rPr>
        <rFont val="Times New Roman"/>
        <color rgb="FF000000"/>
        <sz val="8.0"/>
        <vertAlign val="subscript"/>
      </rPr>
      <t xml:space="preserve"> </t>
    </r>
    <r>
      <rPr>
        <rFont val="Times New Roman"/>
        <i/>
        <color rgb="FF000000"/>
        <sz val="10.0"/>
      </rPr>
      <t>ALFA</t>
    </r>
    <r>
      <rPr>
        <rFont val="Times New Roman"/>
        <i/>
        <color rgb="FF000000"/>
        <sz val="10.0"/>
        <vertAlign val="subscript"/>
      </rPr>
      <t>t</t>
    </r>
    <r>
      <rPr>
        <rFont val="Times New Roman"/>
        <color rgb="FF000000"/>
        <sz val="10.0"/>
      </rPr>
      <t xml:space="preserve"> </t>
    </r>
  </si>
  <si>
    <t xml:space="preserve">Экономический эффект </t>
  </si>
  <si>
    <r>
      <rPr>
        <rFont val="Times New Roman"/>
        <color rgb="FF000000"/>
        <sz val="10.0"/>
      </rPr>
      <t>∆ П</t>
    </r>
    <r>
      <rPr>
        <rFont val="Times New Roman"/>
        <color rgb="FF000000"/>
        <sz val="10.0"/>
        <vertAlign val="subscript"/>
      </rPr>
      <t xml:space="preserve">ч </t>
    </r>
    <r>
      <rPr>
        <rFont val="Times New Roman"/>
        <color rgb="FF000000"/>
        <sz val="10.0"/>
      </rPr>
      <t xml:space="preserve">· </t>
    </r>
    <r>
      <rPr>
        <rFont val="Times New Roman"/>
        <i/>
        <color rgb="FF000000"/>
        <sz val="10.0"/>
      </rPr>
      <t>ALFA</t>
    </r>
    <r>
      <rPr>
        <rFont val="Times New Roman"/>
        <i/>
        <color rgb="FF000000"/>
        <sz val="10.0"/>
        <vertAlign val="subscript"/>
      </rPr>
      <t>t</t>
    </r>
    <r>
      <rPr>
        <rFont val="Times New Roman"/>
        <color rgb="FF000000"/>
        <sz val="10.0"/>
      </rPr>
      <t xml:space="preserve"> –  К</t>
    </r>
    <r>
      <rPr>
        <rFont val="Times New Roman"/>
        <color rgb="FF000000"/>
        <sz val="10.0"/>
        <vertAlign val="subscript"/>
      </rPr>
      <t xml:space="preserve">о </t>
    </r>
    <r>
      <rPr>
        <rFont val="Times New Roman"/>
        <color rgb="FF000000"/>
        <sz val="10.0"/>
      </rPr>
      <t>·</t>
    </r>
    <r>
      <rPr>
        <rFont val="Times New Roman"/>
        <i/>
        <color rgb="FF000000"/>
        <sz val="10.0"/>
      </rPr>
      <t xml:space="preserve"> ALFA</t>
    </r>
    <r>
      <rPr>
        <rFont val="Times New Roman"/>
        <i/>
        <color rgb="FF000000"/>
        <sz val="10.0"/>
        <vertAlign val="subscript"/>
      </rPr>
      <t>t</t>
    </r>
    <r>
      <rPr>
        <rFont val="Times New Roman"/>
        <color rgb="FF000000"/>
        <sz val="10.0"/>
      </rPr>
      <t xml:space="preserve"> </t>
    </r>
  </si>
  <si>
    <t xml:space="preserve">Экономический эффект с нарастающим итогом </t>
  </si>
  <si>
    <t xml:space="preserve"> </t>
  </si>
  <si>
    <t xml:space="preserve">Коэффициент приведения </t>
  </si>
  <si>
    <r>
      <rPr>
        <rFont val="Times New Roman"/>
        <i/>
        <color rgb="FF000000"/>
        <sz val="10.0"/>
      </rPr>
      <t>ALFA</t>
    </r>
    <r>
      <rPr>
        <rFont val="Times New Roman"/>
        <i/>
        <color rgb="FF000000"/>
        <sz val="10.0"/>
        <vertAlign val="subscript"/>
      </rPr>
      <t>t</t>
    </r>
    <r>
      <rPr>
        <rFont val="Times New Roman"/>
        <i/>
        <color rgb="FF000000"/>
        <sz val="10.0"/>
      </rPr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</si>
</sst>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0.000"/>
    <numFmt numFmtId="166" formatCode="#,##0.000"/>
  </numFmts>
  <fonts count="11">
    <font>
      <sz val="11.0"/>
      <color rgb="FF000000"/>
      <name val="Calibri"/>
    </font>
    <font>
      <b/>
      <sz val="14.0"/>
      <color rgb="FF000000"/>
      <name val="Calibri"/>
    </font>
    <font/>
    <font>
      <sz val="10.0"/>
      <color rgb="FF000000"/>
      <name val="Times New Roman"/>
    </font>
    <font>
      <sz val="11.0"/>
      <color rgb="FF000000"/>
      <name val="Times New Roman"/>
    </font>
    <font>
      <sz val="14.0"/>
      <color rgb="FF000000"/>
      <name val="Times New Roman"/>
    </font>
    <font>
      <sz val="12.0"/>
      <color rgb="FF000000"/>
      <name val="Times New Roman"/>
    </font>
    <font>
      <vertAlign val="subscript"/>
      <sz val="12.0"/>
      <color rgb="FF000000"/>
      <name val="Times New Roman"/>
    </font>
    <font>
      <vertAlign val="subscript"/>
      <sz val="12.0"/>
      <color rgb="FF000000"/>
      <name val="Times New Roman"/>
    </font>
    <font>
      <sz val="14.0"/>
      <color rgb="FF000000"/>
      <name val="Arial"/>
    </font>
    <font>
      <i/>
      <sz val="10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8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2" numFmtId="0" xfId="0" applyBorder="1" applyFont="1"/>
    <xf borderId="0" fillId="0" fontId="1" numFmtId="0" xfId="0" applyAlignment="1" applyFont="1">
      <alignment shrinkToFit="0" vertical="bottom" wrapText="0"/>
    </xf>
    <xf borderId="2" fillId="0" fontId="3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left" shrinkToFit="0" vertical="center" wrapText="1"/>
    </xf>
    <xf borderId="4" fillId="2" fontId="0" numFmtId="4" xfId="0" applyAlignment="1" applyBorder="1" applyFill="1" applyFont="1" applyNumberFormat="1">
      <alignment shrinkToFit="0" vertical="bottom" wrapText="0"/>
    </xf>
    <xf borderId="0" fillId="0" fontId="0" numFmtId="4" xfId="0" applyAlignment="1" applyFont="1" applyNumberFormat="1">
      <alignment shrinkToFit="0" vertical="bottom" wrapText="0"/>
    </xf>
    <xf borderId="5" fillId="0" fontId="3" numFmtId="0" xfId="0" applyAlignment="1" applyBorder="1" applyFont="1">
      <alignment horizontal="left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4" fillId="2" fontId="0" numFmtId="3" xfId="0" applyAlignment="1" applyBorder="1" applyFont="1" applyNumberFormat="1">
      <alignment shrinkToFit="0" vertical="bottom" wrapText="0"/>
    </xf>
    <xf borderId="0" fillId="0" fontId="0" numFmtId="3" xfId="0" applyAlignment="1" applyFont="1" applyNumberFormat="1">
      <alignment shrinkToFit="0" vertical="bottom" wrapText="0"/>
    </xf>
    <xf borderId="3" fillId="0" fontId="4" numFmtId="0" xfId="0" applyAlignment="1" applyBorder="1" applyFont="1">
      <alignment horizontal="center" shrinkToFit="0" vertical="center" wrapText="1"/>
    </xf>
    <xf borderId="3" fillId="0" fontId="3" numFmtId="3" xfId="0" applyAlignment="1" applyBorder="1" applyFont="1" applyNumberFormat="1">
      <alignment horizontal="center" shrinkToFit="0" vertical="center" wrapText="1"/>
    </xf>
    <xf borderId="4" fillId="2" fontId="0" numFmtId="4" xfId="0" applyAlignment="1" applyBorder="1" applyFont="1" applyNumberFormat="1">
      <alignment readingOrder="0" shrinkToFit="0" vertical="bottom" wrapText="0"/>
    </xf>
    <xf borderId="7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4" fillId="2" fontId="0" numFmtId="4" xfId="0" applyAlignment="1" applyBorder="1" applyFont="1" applyNumberFormat="1">
      <alignment horizontal="right" readingOrder="0" shrinkToFit="0" vertical="center" wrapText="1"/>
    </xf>
    <xf borderId="6" fillId="0" fontId="3" numFmtId="0" xfId="0" applyAlignment="1" applyBorder="1" applyFont="1">
      <alignment horizontal="left" shrinkToFit="0" vertical="center" wrapText="1"/>
    </xf>
    <xf borderId="4" fillId="2" fontId="0" numFmtId="164" xfId="0" applyAlignment="1" applyBorder="1" applyFont="1" applyNumberFormat="1">
      <alignment shrinkToFit="0" vertical="bottom" wrapText="0"/>
    </xf>
    <xf borderId="0" fillId="0" fontId="0" numFmtId="164" xfId="0" applyAlignment="1" applyFont="1" applyNumberFormat="1">
      <alignment shrinkToFit="0" vertical="bottom" wrapText="0"/>
    </xf>
    <xf borderId="4" fillId="2" fontId="0" numFmtId="1" xfId="0" applyAlignment="1" applyBorder="1" applyFont="1" applyNumberFormat="1">
      <alignment shrinkToFit="0" vertical="bottom" wrapText="0"/>
    </xf>
    <xf borderId="0" fillId="0" fontId="0" numFmtId="10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3" fillId="0" fontId="4" numFmtId="0" xfId="0" applyAlignment="1" applyBorder="1" applyFont="1">
      <alignment shrinkToFit="0" vertical="center" wrapText="1"/>
    </xf>
    <xf borderId="6" fillId="0" fontId="3" numFmtId="0" xfId="0" applyAlignment="1" applyBorder="1" applyFont="1">
      <alignment horizontal="right" shrinkToFit="0" vertical="center" wrapText="1"/>
    </xf>
    <xf borderId="0" fillId="2" fontId="0" numFmtId="4" xfId="0" applyAlignment="1" applyFont="1" applyNumberFormat="1">
      <alignment readingOrder="0" shrinkToFit="0" vertical="bottom" wrapText="0"/>
    </xf>
    <xf borderId="2" fillId="0" fontId="6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4" fillId="3" fontId="0" numFmtId="0" xfId="0" applyAlignment="1" applyBorder="1" applyFill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4" fillId="2" fontId="0" numFmtId="0" xfId="0" applyAlignment="1" applyBorder="1" applyFont="1">
      <alignment shrinkToFit="0" vertical="bottom" wrapText="0"/>
    </xf>
    <xf borderId="4" fillId="4" fontId="0" numFmtId="0" xfId="0" applyAlignment="1" applyBorder="1" applyFill="1" applyFont="1">
      <alignment readingOrder="0" shrinkToFit="0" vertical="bottom" wrapText="0"/>
    </xf>
    <xf borderId="0" fillId="0" fontId="0" numFmtId="2" xfId="0" applyAlignment="1" applyFont="1" applyNumberFormat="1">
      <alignment shrinkToFit="0" vertical="bottom" wrapText="0"/>
    </xf>
    <xf borderId="6" fillId="0" fontId="6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horizontal="left" shrinkToFit="0" vertical="center" wrapText="1"/>
    </xf>
    <xf borderId="9" fillId="0" fontId="6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center" shrinkToFit="0" vertical="center" wrapText="1"/>
    </xf>
    <xf borderId="10" fillId="2" fontId="6" numFmtId="2" xfId="0" applyAlignment="1" applyBorder="1" applyFont="1" applyNumberFormat="1">
      <alignment horizontal="center" readingOrder="0" shrinkToFit="0" vertical="center" wrapText="1"/>
    </xf>
    <xf borderId="10" fillId="2" fontId="6" numFmtId="2" xfId="0" applyAlignment="1" applyBorder="1" applyFont="1" applyNumberFormat="1">
      <alignment horizontal="center" shrinkToFit="0" vertical="center" wrapText="1"/>
    </xf>
    <xf borderId="8" fillId="0" fontId="6" numFmtId="0" xfId="0" applyAlignment="1" applyBorder="1" applyFont="1">
      <alignment shrinkToFit="0" vertical="center" wrapText="1"/>
    </xf>
    <xf borderId="5" fillId="0" fontId="2" numFmtId="0" xfId="0" applyBorder="1" applyFont="1"/>
    <xf borderId="5" fillId="0" fontId="6" numFmtId="165" xfId="0" applyAlignment="1" applyBorder="1" applyFont="1" applyNumberFormat="1">
      <alignment horizontal="center" shrinkToFit="0" vertical="center" wrapText="1"/>
    </xf>
    <xf borderId="5" fillId="0" fontId="6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10" fillId="2" fontId="6" numFmtId="0" xfId="0" applyAlignment="1" applyBorder="1" applyFont="1">
      <alignment horizontal="center" readingOrder="0" shrinkToFit="0" vertical="center" wrapText="1"/>
    </xf>
    <xf borderId="10" fillId="2" fontId="6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right" shrinkToFit="0" vertical="bottom" wrapText="0"/>
    </xf>
    <xf borderId="0" fillId="0" fontId="0" numFmtId="0" xfId="0" applyAlignment="1" applyFont="1">
      <alignment horizontal="left" shrinkToFit="0" vertical="bottom" wrapText="0"/>
    </xf>
    <xf borderId="11" fillId="0" fontId="6" numFmtId="0" xfId="0" applyAlignment="1" applyBorder="1" applyFont="1">
      <alignment horizontal="left" shrinkToFit="0" vertical="center" wrapText="1"/>
    </xf>
    <xf borderId="7" fillId="0" fontId="7" numFmtId="0" xfId="0" applyAlignment="1" applyBorder="1" applyFont="1">
      <alignment horizontal="center" shrinkToFit="0" vertical="center" wrapText="1"/>
    </xf>
    <xf borderId="8" fillId="2" fontId="6" numFmtId="0" xfId="0" applyAlignment="1" applyBorder="1" applyFont="1">
      <alignment horizontal="center" shrinkToFit="0" vertical="center" wrapText="1"/>
    </xf>
    <xf borderId="8" fillId="2" fontId="6" numFmtId="4" xfId="0" applyAlignment="1" applyBorder="1" applyFont="1" applyNumberFormat="1">
      <alignment horizontal="center" shrinkToFit="0" vertical="center" wrapText="1"/>
    </xf>
    <xf borderId="5" fillId="0" fontId="6" numFmtId="0" xfId="0" applyAlignment="1" applyBorder="1" applyFont="1">
      <alignment horizontal="left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4" fillId="5" fontId="0" numFmtId="4" xfId="0" applyAlignment="1" applyBorder="1" applyFill="1" applyFont="1" applyNumberFormat="1">
      <alignment shrinkToFit="0" vertical="bottom" wrapText="0"/>
    </xf>
    <xf borderId="0" fillId="5" fontId="2" numFmtId="0" xfId="0" applyFont="1"/>
    <xf borderId="4" fillId="2" fontId="0" numFmtId="166" xfId="0" applyAlignment="1" applyBorder="1" applyFont="1" applyNumberFormat="1">
      <alignment shrinkToFit="0" vertical="bottom" wrapText="0"/>
    </xf>
    <xf borderId="12" fillId="0" fontId="9" numFmtId="0" xfId="0" applyAlignment="1" applyBorder="1" applyFont="1">
      <alignment readingOrder="0"/>
    </xf>
    <xf borderId="12" fillId="0" fontId="2" numFmtId="0" xfId="0" applyAlignment="1" applyBorder="1" applyFont="1">
      <alignment readingOrder="0" vertical="top"/>
    </xf>
    <xf borderId="13" fillId="0" fontId="9" numFmtId="0" xfId="0" applyAlignment="1" applyBorder="1" applyFont="1">
      <alignment horizontal="center" readingOrder="0"/>
    </xf>
    <xf borderId="14" fillId="0" fontId="9" numFmtId="0" xfId="0" applyAlignment="1" applyBorder="1" applyFont="1">
      <alignment horizontal="center" readingOrder="0"/>
    </xf>
    <xf borderId="15" fillId="0" fontId="9" numFmtId="0" xfId="0" applyAlignment="1" applyBorder="1" applyFont="1">
      <alignment horizontal="center" readingOrder="0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9" numFmtId="0" xfId="0" applyAlignment="1" applyBorder="1" applyFont="1">
      <alignment horizontal="center" readingOrder="0"/>
    </xf>
    <xf borderId="13" fillId="0" fontId="9" numFmtId="0" xfId="0" applyAlignment="1" applyBorder="1" applyFont="1">
      <alignment readingOrder="0"/>
    </xf>
    <xf borderId="3" fillId="0" fontId="4" numFmtId="4" xfId="0" applyAlignment="1" applyBorder="1" applyFont="1" applyNumberFormat="1">
      <alignment horizontal="center" shrinkToFit="0" vertical="center" wrapText="1"/>
    </xf>
    <xf borderId="6" fillId="0" fontId="4" numFmtId="4" xfId="0" applyAlignment="1" applyBorder="1" applyFont="1" applyNumberFormat="1">
      <alignment horizontal="center" shrinkToFit="0" vertical="center" wrapText="1"/>
    </xf>
    <xf borderId="3" fillId="0" fontId="3" numFmtId="4" xfId="0" applyAlignment="1" applyBorder="1" applyFont="1" applyNumberForma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6" fillId="0" fontId="3" numFmtId="4" xfId="0" applyAlignment="1" applyBorder="1" applyFont="1" applyNumberFormat="1">
      <alignment horizontal="center" shrinkToFit="0" vertical="center" wrapText="1"/>
    </xf>
    <xf borderId="6" fillId="0" fontId="1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0.71"/>
    <col customWidth="1" min="3" max="3" width="20.29"/>
    <col customWidth="1" min="4" max="4" width="19.0"/>
    <col customWidth="1" min="5" max="5" width="19.57"/>
    <col customWidth="1" min="6" max="6" width="19.71"/>
    <col customWidth="1" min="7" max="7" width="20.86"/>
    <col customWidth="1" min="8" max="9" width="10.71"/>
    <col customWidth="1" min="10" max="10" width="11.43"/>
    <col customWidth="1" min="11" max="13" width="10.71"/>
    <col customWidth="1" min="14" max="14" width="60.57"/>
    <col customWidth="1" min="15" max="16" width="10.71"/>
    <col customWidth="1" min="17" max="17" width="16.57"/>
    <col customWidth="1" min="18" max="19" width="10.71"/>
    <col customWidth="1" min="20" max="26" width="8.71"/>
  </cols>
  <sheetData>
    <row r="1" ht="13.5" customHeight="1">
      <c r="A1" t="s">
        <v>0</v>
      </c>
    </row>
    <row r="2" ht="13.5" customHeight="1">
      <c r="A2" s="1" t="s">
        <v>1</v>
      </c>
      <c r="B2" s="2"/>
      <c r="C2" s="2"/>
      <c r="D2" s="2"/>
      <c r="E2" s="3"/>
    </row>
    <row r="3" ht="13.5" customHeight="1">
      <c r="A3" s="4" t="s">
        <v>2</v>
      </c>
      <c r="B3" s="5" t="s">
        <v>3</v>
      </c>
      <c r="C3" s="5" t="s">
        <v>4</v>
      </c>
      <c r="D3" s="6" t="s">
        <v>5</v>
      </c>
      <c r="E3" s="7">
        <v>0.5</v>
      </c>
      <c r="F3" s="8">
        <v>0.5</v>
      </c>
    </row>
    <row r="4" ht="13.5" customHeight="1">
      <c r="A4" s="9" t="s">
        <v>6</v>
      </c>
      <c r="B4" s="10" t="s">
        <v>7</v>
      </c>
      <c r="C4" s="10" t="s">
        <v>8</v>
      </c>
      <c r="D4" s="10" t="s">
        <v>9</v>
      </c>
      <c r="E4" s="11">
        <v>1.0</v>
      </c>
      <c r="F4" s="12">
        <v>1.0</v>
      </c>
    </row>
    <row r="5" ht="13.5" customHeight="1">
      <c r="A5" s="4" t="s">
        <v>10</v>
      </c>
      <c r="B5" s="6" t="s">
        <v>11</v>
      </c>
      <c r="C5" s="13" t="s">
        <v>12</v>
      </c>
      <c r="D5" s="14">
        <v>295000.0</v>
      </c>
      <c r="E5" s="15">
        <v>185.0</v>
      </c>
      <c r="F5" s="8">
        <v>35.5</v>
      </c>
    </row>
    <row r="6" ht="13.5" customHeight="1">
      <c r="A6" s="9" t="s">
        <v>13</v>
      </c>
      <c r="B6" s="10" t="s">
        <v>3</v>
      </c>
      <c r="C6" s="10" t="s">
        <v>14</v>
      </c>
      <c r="D6" s="16">
        <v>2.84</v>
      </c>
      <c r="E6" s="15">
        <v>1.29</v>
      </c>
      <c r="F6" s="8">
        <v>2.84</v>
      </c>
      <c r="J6" t="s">
        <v>15</v>
      </c>
    </row>
    <row r="7" ht="13.5" customHeight="1">
      <c r="A7" s="9" t="s">
        <v>16</v>
      </c>
      <c r="B7" s="10" t="s">
        <v>17</v>
      </c>
      <c r="C7" s="17" t="s">
        <v>18</v>
      </c>
      <c r="D7" s="18">
        <v>168.0</v>
      </c>
      <c r="G7" s="19">
        <v>169.33</v>
      </c>
      <c r="J7" t="s">
        <v>19</v>
      </c>
      <c r="K7">
        <v>2016.0</v>
      </c>
    </row>
    <row r="8" ht="13.5" customHeight="1">
      <c r="A8" s="9" t="s">
        <v>20</v>
      </c>
      <c r="B8" s="10" t="s">
        <v>3</v>
      </c>
      <c r="C8" s="10" t="s">
        <v>21</v>
      </c>
      <c r="D8" s="20" t="s">
        <v>22</v>
      </c>
      <c r="E8" s="21">
        <v>1.2</v>
      </c>
      <c r="F8" s="22">
        <v>1.1</v>
      </c>
      <c r="J8" t="s">
        <v>23</v>
      </c>
      <c r="K8">
        <v>2022.0</v>
      </c>
    </row>
    <row r="9" ht="13.5" customHeight="1">
      <c r="A9" s="4" t="s">
        <v>24</v>
      </c>
      <c r="B9" s="5" t="s">
        <v>3</v>
      </c>
      <c r="C9" s="5" t="s">
        <v>25</v>
      </c>
      <c r="D9" s="5" t="s">
        <v>26</v>
      </c>
      <c r="E9" s="21">
        <v>1.2</v>
      </c>
      <c r="F9" s="22">
        <v>1.1</v>
      </c>
    </row>
    <row r="10" ht="13.5" customHeight="1">
      <c r="A10" s="9" t="s">
        <v>27</v>
      </c>
      <c r="B10" s="10" t="s">
        <v>28</v>
      </c>
      <c r="C10" s="10" t="s">
        <v>29</v>
      </c>
      <c r="D10" s="20" t="s">
        <v>30</v>
      </c>
      <c r="E10" s="11">
        <v>12.0</v>
      </c>
      <c r="F10" s="12">
        <v>10.0</v>
      </c>
    </row>
    <row r="11" ht="13.5" customHeight="1">
      <c r="A11" s="9" t="s">
        <v>31</v>
      </c>
      <c r="B11" s="10" t="s">
        <v>28</v>
      </c>
      <c r="C11" s="10" t="s">
        <v>32</v>
      </c>
      <c r="D11" s="10" t="s">
        <v>33</v>
      </c>
      <c r="E11" s="11">
        <v>34.0</v>
      </c>
      <c r="F11" s="12">
        <v>34.0</v>
      </c>
    </row>
    <row r="12" ht="13.5" customHeight="1">
      <c r="A12" s="9" t="s">
        <v>34</v>
      </c>
      <c r="B12" s="10" t="s">
        <v>28</v>
      </c>
      <c r="C12" s="10" t="s">
        <v>35</v>
      </c>
      <c r="D12" s="20" t="s">
        <v>36</v>
      </c>
      <c r="E12" s="21">
        <v>0.6</v>
      </c>
      <c r="F12" s="22">
        <v>0.6</v>
      </c>
    </row>
    <row r="13" ht="13.5" customHeight="1">
      <c r="A13" s="9" t="s">
        <v>37</v>
      </c>
      <c r="B13" s="20" t="s">
        <v>11</v>
      </c>
      <c r="C13" s="10" t="s">
        <v>38</v>
      </c>
      <c r="D13" s="10" t="s">
        <v>39</v>
      </c>
      <c r="E13" s="15">
        <v>2.5</v>
      </c>
      <c r="F13" s="8">
        <v>2.5</v>
      </c>
    </row>
    <row r="14" ht="13.5" customHeight="1">
      <c r="A14" s="9" t="s">
        <v>40</v>
      </c>
      <c r="B14" s="10" t="s">
        <v>28</v>
      </c>
      <c r="C14" s="10" t="s">
        <v>41</v>
      </c>
      <c r="D14" s="20" t="s">
        <v>42</v>
      </c>
      <c r="E14" s="11">
        <v>12.0</v>
      </c>
      <c r="F14" s="12">
        <v>10.0</v>
      </c>
    </row>
    <row r="15" ht="13.5" customHeight="1">
      <c r="A15" s="9" t="s">
        <v>43</v>
      </c>
      <c r="B15" s="10" t="s">
        <v>28</v>
      </c>
      <c r="C15" s="10" t="s">
        <v>44</v>
      </c>
      <c r="D15" s="20" t="s">
        <v>45</v>
      </c>
      <c r="E15" s="11">
        <v>120.0</v>
      </c>
      <c r="F15" s="12">
        <v>100.0</v>
      </c>
    </row>
    <row r="16" ht="13.5" customHeight="1">
      <c r="A16" s="9" t="s">
        <v>46</v>
      </c>
      <c r="B16" s="10" t="s">
        <v>28</v>
      </c>
      <c r="C16" s="10" t="s">
        <v>47</v>
      </c>
      <c r="D16" s="10" t="s">
        <v>48</v>
      </c>
      <c r="E16" s="11">
        <v>10.0</v>
      </c>
      <c r="F16" s="12">
        <v>10.0</v>
      </c>
    </row>
    <row r="17" ht="13.5" customHeight="1">
      <c r="A17" s="9" t="s">
        <v>49</v>
      </c>
      <c r="B17" s="10" t="s">
        <v>28</v>
      </c>
      <c r="C17" s="10" t="s">
        <v>50</v>
      </c>
      <c r="D17" s="20" t="s">
        <v>51</v>
      </c>
      <c r="E17" s="11">
        <v>22.0</v>
      </c>
      <c r="F17" s="12">
        <v>30.0</v>
      </c>
    </row>
    <row r="18" ht="13.5" customHeight="1">
      <c r="A18" s="9" t="s">
        <v>52</v>
      </c>
      <c r="B18" s="10" t="s">
        <v>28</v>
      </c>
      <c r="C18" s="10" t="s">
        <v>53</v>
      </c>
      <c r="D18" s="10" t="s">
        <v>54</v>
      </c>
      <c r="E18" s="11">
        <v>20.0</v>
      </c>
      <c r="F18" s="12">
        <v>20.0</v>
      </c>
    </row>
    <row r="19" ht="13.5" customHeight="1">
      <c r="A19" s="4" t="s">
        <v>55</v>
      </c>
      <c r="B19" s="5" t="s">
        <v>28</v>
      </c>
      <c r="C19" s="5" t="s">
        <v>56</v>
      </c>
      <c r="D19" s="5" t="s">
        <v>57</v>
      </c>
      <c r="E19" s="23">
        <v>1.0</v>
      </c>
      <c r="F19" s="24">
        <v>0.01</v>
      </c>
    </row>
    <row r="20" ht="13.5" customHeight="1">
      <c r="A20" s="9" t="s">
        <v>58</v>
      </c>
      <c r="B20" s="10" t="s">
        <v>28</v>
      </c>
      <c r="C20" s="10" t="s">
        <v>59</v>
      </c>
      <c r="D20" s="10" t="s">
        <v>60</v>
      </c>
      <c r="E20" s="23">
        <v>2.0</v>
      </c>
      <c r="F20" s="24">
        <v>0.02</v>
      </c>
      <c r="O20" s="25"/>
    </row>
    <row r="21" ht="13.5" customHeight="1">
      <c r="A21" s="9" t="s">
        <v>61</v>
      </c>
      <c r="B21" s="10" t="s">
        <v>28</v>
      </c>
      <c r="C21" s="10" t="s">
        <v>62</v>
      </c>
      <c r="D21" s="10" t="s">
        <v>63</v>
      </c>
      <c r="E21" s="11">
        <v>18.0</v>
      </c>
      <c r="F21" s="12">
        <v>18.0</v>
      </c>
      <c r="N21" s="26"/>
      <c r="O21" s="25"/>
    </row>
    <row r="22" ht="13.5" customHeight="1">
      <c r="A22" s="9" t="s">
        <v>64</v>
      </c>
      <c r="B22" s="10" t="s">
        <v>3</v>
      </c>
      <c r="C22" s="10" t="s">
        <v>65</v>
      </c>
      <c r="D22" s="27" t="s">
        <v>66</v>
      </c>
      <c r="E22" s="28">
        <v>0.09</v>
      </c>
      <c r="F22" s="8">
        <v>0.1</v>
      </c>
      <c r="M22" s="29">
        <v>105.0</v>
      </c>
      <c r="N22" s="30" t="s">
        <v>67</v>
      </c>
      <c r="O22" s="25">
        <v>13.0</v>
      </c>
    </row>
    <row r="23" ht="13.5" customHeight="1">
      <c r="M23" s="31">
        <v>109.0</v>
      </c>
      <c r="N23" s="30" t="s">
        <v>68</v>
      </c>
      <c r="O23" s="25">
        <v>71.0</v>
      </c>
    </row>
    <row r="24" ht="13.5" customHeight="1">
      <c r="M24" s="31">
        <v>204.0</v>
      </c>
      <c r="N24" s="30" t="s">
        <v>69</v>
      </c>
      <c r="O24" s="32">
        <v>553.0</v>
      </c>
    </row>
    <row r="25" ht="13.5" customHeight="1">
      <c r="A25" t="s">
        <v>70</v>
      </c>
      <c r="B25" t="s">
        <v>71</v>
      </c>
      <c r="C25" s="15">
        <v>2356.0</v>
      </c>
      <c r="D25" s="33" t="s">
        <v>72</v>
      </c>
      <c r="M25" s="31">
        <v>203.0</v>
      </c>
      <c r="N25" s="30" t="s">
        <v>73</v>
      </c>
      <c r="O25" s="25">
        <v>230.0</v>
      </c>
    </row>
    <row r="26" ht="13.5" customHeight="1">
      <c r="A26" t="s">
        <v>74</v>
      </c>
      <c r="B26" t="s">
        <v>75</v>
      </c>
      <c r="C26" s="7">
        <f>C25*E3</f>
        <v>1178</v>
      </c>
      <c r="D26" s="34"/>
      <c r="H26" t="s">
        <v>76</v>
      </c>
      <c r="M26" s="31">
        <v>208.0</v>
      </c>
      <c r="N26" s="30" t="s">
        <v>77</v>
      </c>
      <c r="O26" s="25">
        <v>108.0</v>
      </c>
    </row>
    <row r="27" ht="13.5" customHeight="1">
      <c r="A27" t="s">
        <v>78</v>
      </c>
      <c r="B27" t="s">
        <v>79</v>
      </c>
      <c r="C27" s="35">
        <f>_xlfn.FLOOR.PRECISE(H27*(1+0.07),0.01)</f>
        <v>56.92</v>
      </c>
      <c r="D27" s="33" t="s">
        <v>80</v>
      </c>
      <c r="E27" s="34"/>
      <c r="F27" s="36">
        <v>76.0</v>
      </c>
      <c r="G27" s="33">
        <v>0.7</v>
      </c>
      <c r="H27" s="35">
        <f>F27*G27</f>
        <v>53.2</v>
      </c>
      <c r="M27" s="31">
        <v>210.0</v>
      </c>
      <c r="N27" s="30" t="s">
        <v>81</v>
      </c>
      <c r="O27" s="25">
        <v>50.0</v>
      </c>
    </row>
    <row r="28" ht="13.5" customHeight="1">
      <c r="A28" t="s">
        <v>82</v>
      </c>
      <c r="B28" t="s">
        <v>83</v>
      </c>
      <c r="C28" s="7">
        <f>_xlfn.FLOOR.PRECISE(E5*E6,0.01)</f>
        <v>238.65</v>
      </c>
      <c r="D28" s="37">
        <v>21.25</v>
      </c>
      <c r="E28">
        <f>_xlfn.FLOOR.PRECISE(C28/D28,0.01)</f>
        <v>11.23</v>
      </c>
      <c r="F28">
        <v>1.0</v>
      </c>
      <c r="M28" s="31">
        <v>309.0</v>
      </c>
      <c r="N28" s="30" t="s">
        <v>84</v>
      </c>
      <c r="O28" s="32">
        <v>31.0</v>
      </c>
    </row>
    <row r="29" ht="13.5" customHeight="1">
      <c r="A29" t="s">
        <v>85</v>
      </c>
      <c r="B29" t="s">
        <v>86</v>
      </c>
      <c r="C29" s="7">
        <f>_xlfn.FLOOR.PRECISE(E28*C27*E8*E9,0.01)</f>
        <v>920.46</v>
      </c>
      <c r="M29" s="31">
        <v>706.0</v>
      </c>
      <c r="N29" s="30"/>
      <c r="O29" s="32">
        <v>65.0</v>
      </c>
    </row>
    <row r="30" ht="13.5" customHeight="1">
      <c r="A30" t="s">
        <v>87</v>
      </c>
      <c r="B30" t="s">
        <v>88</v>
      </c>
      <c r="C30" s="7">
        <f>_xlfn.FLOOR.PRECISE(C29*E10/100,0.01)</f>
        <v>110.45</v>
      </c>
      <c r="M30" s="31"/>
      <c r="N30" s="38" t="s">
        <v>89</v>
      </c>
      <c r="O30" s="32">
        <f>SUM(O22:O29)</f>
        <v>1121</v>
      </c>
    </row>
    <row r="31" ht="13.5" customHeight="1">
      <c r="A31" t="s">
        <v>90</v>
      </c>
      <c r="B31" t="s">
        <v>91</v>
      </c>
      <c r="C31" s="7">
        <f>_xlfn.FLOOR.PRECISE(((C29+C30)*E11)/100,0.01)</f>
        <v>350.5</v>
      </c>
    </row>
    <row r="32" ht="13.5" customHeight="1">
      <c r="A32" t="s">
        <v>92</v>
      </c>
      <c r="B32" t="s">
        <v>93</v>
      </c>
      <c r="C32" s="7">
        <f>_xlfn.FLOOR.PRECISE(((C29+C30)*E12)/100,0.01)</f>
        <v>6.18</v>
      </c>
    </row>
    <row r="33" ht="13.5" customHeight="1">
      <c r="A33" t="s">
        <v>94</v>
      </c>
      <c r="B33" t="s">
        <v>95</v>
      </c>
      <c r="C33" s="7">
        <f>_xlfn.FLOOR.PRECISE((E33*F33*C26/100),0.01)</f>
        <v>0.26</v>
      </c>
      <c r="D33" s="34" t="s">
        <v>96</v>
      </c>
      <c r="E33" s="33">
        <v>0.038</v>
      </c>
      <c r="F33" s="33">
        <v>0.6</v>
      </c>
      <c r="G33">
        <f>_xlfn.FLOOR.PRECISE(E33*F33,0.01)</f>
        <v>0.02</v>
      </c>
    </row>
    <row r="34" ht="13.5" customHeight="1">
      <c r="A34" t="s">
        <v>97</v>
      </c>
      <c r="B34" t="s">
        <v>98</v>
      </c>
      <c r="C34" s="7">
        <f>_xlfn.FLOOR.PRECISE((E13*C26*E34*F34)/100,0.01)</f>
        <v>212.04</v>
      </c>
      <c r="D34" s="34" t="s">
        <v>99</v>
      </c>
      <c r="E34" s="33">
        <v>12.0</v>
      </c>
      <c r="F34" s="33">
        <v>0.6</v>
      </c>
    </row>
    <row r="35" ht="13.5" customHeight="1">
      <c r="C35" s="7">
        <v>0.0</v>
      </c>
      <c r="D35" s="34"/>
      <c r="E35" s="34"/>
      <c r="F35" s="34"/>
    </row>
    <row r="36" ht="13.5" customHeight="1">
      <c r="A36" t="s">
        <v>100</v>
      </c>
      <c r="B36" t="s">
        <v>101</v>
      </c>
      <c r="C36" s="7">
        <f>_xlfn.FLOOR.PRECISE((C29*E14)/100,0.01)</f>
        <v>110.45</v>
      </c>
    </row>
    <row r="37" ht="13.5" customHeight="1">
      <c r="A37" t="s">
        <v>102</v>
      </c>
      <c r="B37" t="s">
        <v>103</v>
      </c>
      <c r="C37" s="7">
        <f>_xlfn.FLOOR.PRECISE((C29*E15)/100,0.01)</f>
        <v>1104.55</v>
      </c>
    </row>
    <row r="38" ht="13.5" customHeight="1">
      <c r="A38" t="s">
        <v>104</v>
      </c>
      <c r="B38" t="s">
        <v>105</v>
      </c>
      <c r="C38" s="7">
        <f>C29+C30+C31+C32+C33+C34+C36+C37+C35</f>
        <v>2814.89</v>
      </c>
    </row>
    <row r="39" ht="13.5" customHeight="1">
      <c r="A39" t="s">
        <v>106</v>
      </c>
      <c r="B39" t="s">
        <v>106</v>
      </c>
      <c r="C39" s="7">
        <f>_xlfn.FLOOR.PRECISE((C38*E16)/100,0.01)</f>
        <v>281.48</v>
      </c>
    </row>
    <row r="40" ht="13.5" customHeight="1">
      <c r="A40" t="s">
        <v>107</v>
      </c>
      <c r="B40" t="s">
        <v>108</v>
      </c>
      <c r="C40" s="7">
        <f>C38+C39</f>
        <v>3096.37</v>
      </c>
    </row>
    <row r="41" ht="13.5" customHeight="1">
      <c r="A41" t="s">
        <v>109</v>
      </c>
      <c r="B41" t="s">
        <v>110</v>
      </c>
      <c r="C41" s="7">
        <f>_xlfn.FLOOR.PRECISE((C40*E17)/100,0.01)</f>
        <v>681.2</v>
      </c>
    </row>
    <row r="42" ht="13.5" customHeight="1">
      <c r="A42" t="s">
        <v>111</v>
      </c>
      <c r="B42" t="s">
        <v>112</v>
      </c>
      <c r="C42" s="7">
        <f>C40+C41</f>
        <v>3777.57</v>
      </c>
      <c r="Q42" s="37">
        <f>R43*0.15</f>
        <v>0.2025</v>
      </c>
      <c r="R42" s="37">
        <f>Q45*1.1</f>
        <v>8.36</v>
      </c>
    </row>
    <row r="43" ht="51.75" customHeight="1">
      <c r="A43" t="s">
        <v>113</v>
      </c>
      <c r="B43" t="s">
        <v>114</v>
      </c>
      <c r="C43" s="7">
        <f>_xlfn.FLOOR.PRECISE(C42*E18/100,0.01)</f>
        <v>755.51</v>
      </c>
      <c r="N43" s="39" t="s">
        <v>115</v>
      </c>
      <c r="O43" s="40" t="s">
        <v>116</v>
      </c>
      <c r="P43" s="41" t="s">
        <v>117</v>
      </c>
      <c r="Q43" s="42">
        <f>R43*1.8</f>
        <v>2.43</v>
      </c>
      <c r="R43" s="43">
        <f>C51</f>
        <v>1.35</v>
      </c>
      <c r="S43" s="44" t="s">
        <v>118</v>
      </c>
    </row>
    <row r="44" ht="13.5" customHeight="1">
      <c r="A44" t="s">
        <v>119</v>
      </c>
      <c r="B44" t="s">
        <v>120</v>
      </c>
      <c r="C44" s="7">
        <f>C42+C43</f>
        <v>4533.08</v>
      </c>
      <c r="N44" s="45"/>
      <c r="O44" s="32" t="s">
        <v>121</v>
      </c>
      <c r="P44" s="45"/>
      <c r="Q44" s="31"/>
      <c r="R44" s="46"/>
      <c r="S44" s="47"/>
    </row>
    <row r="45" ht="42.0" customHeight="1">
      <c r="A45" t="s">
        <v>122</v>
      </c>
      <c r="B45" t="s">
        <v>123</v>
      </c>
      <c r="C45" s="7">
        <f>C26*D45</f>
        <v>706.8</v>
      </c>
      <c r="D45" s="34">
        <v>0.6</v>
      </c>
      <c r="E45">
        <v>706.8</v>
      </c>
      <c r="N45" s="39" t="s">
        <v>124</v>
      </c>
      <c r="O45" s="48" t="s">
        <v>125</v>
      </c>
      <c r="P45" s="41" t="s">
        <v>126</v>
      </c>
      <c r="Q45" s="49">
        <f>R45+0.4</f>
        <v>7.6</v>
      </c>
      <c r="R45" s="50">
        <f>E34*F34</f>
        <v>7.2</v>
      </c>
      <c r="S45" s="44" t="s">
        <v>127</v>
      </c>
    </row>
    <row r="46" ht="13.5" customHeight="1">
      <c r="A46" t="s">
        <v>128</v>
      </c>
      <c r="B46" t="s">
        <v>129</v>
      </c>
      <c r="C46" s="7">
        <f>_xlfn.FLOOR.PRECISE((C44+C47+C48),0.01)</f>
        <v>4669.07</v>
      </c>
      <c r="E46" s="51">
        <v>4669.07</v>
      </c>
      <c r="F46" s="52"/>
      <c r="G46" s="8"/>
      <c r="N46" s="45"/>
      <c r="O46" s="32" t="s">
        <v>130</v>
      </c>
      <c r="P46" s="45"/>
      <c r="Q46" s="31"/>
      <c r="R46" s="31"/>
      <c r="S46" s="47"/>
    </row>
    <row r="47" ht="42.0" customHeight="1">
      <c r="A47" t="s">
        <v>131</v>
      </c>
      <c r="B47" t="s">
        <v>132</v>
      </c>
      <c r="C47" s="7">
        <f>_xlfn.FLOOR.PRECISE((C44*E19)/100,0.01)</f>
        <v>45.33</v>
      </c>
      <c r="E47">
        <v>45.33</v>
      </c>
      <c r="N47" s="53" t="s">
        <v>133</v>
      </c>
      <c r="O47" s="54" t="s">
        <v>134</v>
      </c>
      <c r="P47" s="41" t="s">
        <v>135</v>
      </c>
      <c r="Q47" s="55">
        <v>0.03</v>
      </c>
      <c r="R47" s="56">
        <f>G33</f>
        <v>0.02</v>
      </c>
      <c r="S47" s="44" t="s">
        <v>127</v>
      </c>
    </row>
    <row r="48" ht="13.5" customHeight="1">
      <c r="A48" t="s">
        <v>136</v>
      </c>
      <c r="B48" t="s">
        <v>137</v>
      </c>
      <c r="C48" s="7">
        <f>_xlfn.FLOOR.PRECISE((C44*E20)/100,0.01)</f>
        <v>90.66</v>
      </c>
      <c r="E48">
        <v>90.66</v>
      </c>
      <c r="N48" s="57" t="s">
        <v>138</v>
      </c>
      <c r="O48" s="58" t="s">
        <v>139</v>
      </c>
      <c r="P48" s="45"/>
      <c r="Q48" s="45"/>
      <c r="R48" s="45"/>
      <c r="S48" s="45"/>
    </row>
    <row r="49" ht="42.0" customHeight="1">
      <c r="A49" t="s">
        <v>140</v>
      </c>
      <c r="B49" t="s">
        <v>141</v>
      </c>
      <c r="C49" s="59">
        <f>_xlfn.FLOOR.PRECISE((C50*C45),0.01)</f>
        <v>1074.33</v>
      </c>
      <c r="D49" s="60"/>
      <c r="E49" s="60">
        <v>268.58</v>
      </c>
    </row>
    <row r="50" ht="15.75" customHeight="1">
      <c r="A50" t="s">
        <v>142</v>
      </c>
      <c r="B50" t="s">
        <v>143</v>
      </c>
      <c r="C50" s="59">
        <f>_xlfn.FLOOR.PRECISE((C28*(Q43-R43)/G7),0.01)</f>
        <v>1.52</v>
      </c>
      <c r="D50" s="60"/>
      <c r="E50" s="60">
        <v>0.38</v>
      </c>
    </row>
    <row r="51" ht="13.5" customHeight="1">
      <c r="A51" t="s">
        <v>144</v>
      </c>
      <c r="B51" t="s">
        <v>145</v>
      </c>
      <c r="C51" s="7">
        <f>_xlfn.FLOOR.PRECISE((0.3*H27*100/C26),0.01)</f>
        <v>1.35</v>
      </c>
      <c r="D51" s="34"/>
      <c r="E51">
        <v>1.35</v>
      </c>
    </row>
    <row r="52" ht="13.5" customHeight="1">
      <c r="A52" t="s">
        <v>146</v>
      </c>
      <c r="B52" t="s">
        <v>147</v>
      </c>
      <c r="C52" s="59">
        <f>_xlfn.FLOOR.PRECISE(C49*C53,0.01)</f>
        <v>371.71</v>
      </c>
      <c r="D52" s="60"/>
      <c r="E52" s="60">
        <v>92.92</v>
      </c>
    </row>
    <row r="53" ht="13.5" customHeight="1">
      <c r="A53" t="s">
        <v>148</v>
      </c>
      <c r="B53" t="s">
        <v>149</v>
      </c>
      <c r="C53" s="61">
        <f>_xlfn.FLOOR.PRECISE((E11+E12)/100,0.001)</f>
        <v>0.346</v>
      </c>
      <c r="E53">
        <v>0.34600000000000003</v>
      </c>
    </row>
    <row r="54" ht="13.5" customHeight="1">
      <c r="A54" t="s">
        <v>150</v>
      </c>
      <c r="B54" t="s">
        <v>151</v>
      </c>
      <c r="C54" s="7">
        <f>_xlfn.FLOOR.PRECISE(C55*C45,0.01)</f>
        <v>706.8</v>
      </c>
      <c r="E54">
        <v>706.8000000000001</v>
      </c>
    </row>
    <row r="55" ht="13.5" customHeight="1">
      <c r="A55" t="s">
        <v>152</v>
      </c>
      <c r="B55" t="s">
        <v>153</v>
      </c>
      <c r="C55" s="7">
        <f>_xlfn.FLOOR.PRECISE(E13*(Q45-R45),0.01)</f>
        <v>1</v>
      </c>
      <c r="D55" s="34"/>
      <c r="E55">
        <v>1.0</v>
      </c>
    </row>
    <row r="56" ht="13.5" customHeight="1">
      <c r="A56" t="s">
        <v>154</v>
      </c>
      <c r="B56" t="s">
        <v>155</v>
      </c>
      <c r="C56" s="7">
        <f>_xlfn.FLOOR.PRECISE(C57*C45,0.01)</f>
        <v>7.06</v>
      </c>
      <c r="E56">
        <v>7.0600000000000005</v>
      </c>
    </row>
    <row r="57" ht="13.5" customHeight="1">
      <c r="A57" t="s">
        <v>156</v>
      </c>
      <c r="B57" t="s">
        <v>157</v>
      </c>
      <c r="C57" s="7">
        <f>Q47-R47</f>
        <v>0.01</v>
      </c>
      <c r="D57" s="34"/>
      <c r="E57">
        <v>0.009999999999999998</v>
      </c>
    </row>
    <row r="58" ht="13.5" customHeight="1">
      <c r="A58" t="s">
        <v>158</v>
      </c>
      <c r="B58" t="s">
        <v>159</v>
      </c>
      <c r="C58" s="59">
        <f>C49+C52+C54+C56</f>
        <v>2159.9</v>
      </c>
      <c r="D58" s="60"/>
      <c r="E58" s="60">
        <v>1075.3600000000001</v>
      </c>
    </row>
    <row r="59" ht="13.5" customHeight="1">
      <c r="A59" t="s">
        <v>160</v>
      </c>
      <c r="B59" t="s">
        <v>161</v>
      </c>
      <c r="C59" s="59">
        <f>_xlfn.FLOOR.PRECISE(C58-(C58*E21/100),0.01)</f>
        <v>1771.11</v>
      </c>
      <c r="D59" s="60"/>
      <c r="E59" s="60">
        <v>881.79</v>
      </c>
    </row>
    <row r="60" ht="13.5" customHeight="1">
      <c r="A60" t="s">
        <v>162</v>
      </c>
      <c r="B60" t="s">
        <v>163</v>
      </c>
      <c r="C60" s="8"/>
    </row>
    <row r="61" ht="13.5" customHeight="1"/>
    <row r="62" ht="13.5" customHeight="1"/>
    <row r="63" ht="13.5" customHeight="1"/>
    <row r="64" ht="13.5" customHeight="1"/>
    <row r="65" ht="13.5" customHeight="1">
      <c r="B65" s="62"/>
      <c r="C65" s="63"/>
      <c r="D65" s="64"/>
      <c r="E65" s="65"/>
      <c r="F65" s="65"/>
      <c r="G65" s="66"/>
    </row>
    <row r="66" ht="13.5" customHeight="1">
      <c r="B66" s="62"/>
      <c r="C66" s="63"/>
      <c r="D66" s="64"/>
      <c r="E66" s="65"/>
      <c r="F66" s="65"/>
      <c r="G66" s="66"/>
    </row>
    <row r="67" ht="13.5" customHeight="1">
      <c r="B67" s="62"/>
      <c r="C67" s="63"/>
      <c r="D67" s="64"/>
      <c r="E67" s="65"/>
      <c r="F67" s="65"/>
      <c r="G67" s="66"/>
    </row>
    <row r="68" ht="13.5" customHeight="1">
      <c r="A68" s="63" t="s">
        <v>164</v>
      </c>
      <c r="B68" s="62" t="s">
        <v>165</v>
      </c>
      <c r="C68" s="63" t="s">
        <v>166</v>
      </c>
      <c r="D68" s="64" t="s">
        <v>167</v>
      </c>
      <c r="E68" s="67"/>
      <c r="F68" s="67"/>
      <c r="G68" s="68"/>
    </row>
    <row r="69" ht="13.5" customHeight="1">
      <c r="A69" s="69"/>
      <c r="B69" s="69"/>
      <c r="C69" s="69"/>
      <c r="D69" s="70">
        <v>2020.0</v>
      </c>
      <c r="E69" s="70">
        <v>2021.0</v>
      </c>
      <c r="F69" s="70">
        <v>2022.0</v>
      </c>
      <c r="G69" s="70">
        <v>2023.0</v>
      </c>
    </row>
    <row r="70" ht="13.5" customHeight="1">
      <c r="A70" s="71" t="s">
        <v>168</v>
      </c>
      <c r="B70" s="67"/>
      <c r="C70" s="67"/>
      <c r="D70" s="67"/>
      <c r="E70" s="67"/>
      <c r="F70" s="67"/>
      <c r="G70" s="68"/>
    </row>
    <row r="71" ht="13.5" customHeight="1">
      <c r="A71" s="4" t="s">
        <v>169</v>
      </c>
      <c r="B71" s="5" t="s">
        <v>11</v>
      </c>
      <c r="C71" s="5" t="s">
        <v>170</v>
      </c>
      <c r="D71" s="72">
        <f t="shared" ref="D71:G71" si="1">$C$59</f>
        <v>1771.11</v>
      </c>
      <c r="E71" s="72">
        <f t="shared" si="1"/>
        <v>1771.11</v>
      </c>
      <c r="F71" s="72">
        <f t="shared" si="1"/>
        <v>1771.11</v>
      </c>
      <c r="G71" s="72">
        <f t="shared" si="1"/>
        <v>1771.11</v>
      </c>
    </row>
    <row r="72" ht="13.5" customHeight="1">
      <c r="A72" s="9" t="s">
        <v>171</v>
      </c>
      <c r="B72" s="20" t="s">
        <v>172</v>
      </c>
      <c r="C72" s="10" t="s">
        <v>173</v>
      </c>
      <c r="D72" s="73">
        <f t="shared" ref="D72:G72" si="2">_xlfn.FLOOR.PRECISE(D71*D81,0.01)</f>
        <v>1771.11</v>
      </c>
      <c r="E72" s="73">
        <f t="shared" si="2"/>
        <v>1611.71</v>
      </c>
      <c r="F72" s="73">
        <f t="shared" si="2"/>
        <v>1487.73</v>
      </c>
      <c r="G72" s="73">
        <f t="shared" si="2"/>
        <v>1363.75</v>
      </c>
    </row>
    <row r="73" ht="13.5" customHeight="1">
      <c r="A73" s="4" t="s">
        <v>174</v>
      </c>
      <c r="B73" s="5" t="s">
        <v>11</v>
      </c>
      <c r="C73" s="5" t="s">
        <v>175</v>
      </c>
      <c r="D73" s="72">
        <f>C44</f>
        <v>4533.08</v>
      </c>
      <c r="E73" s="72" t="s">
        <v>176</v>
      </c>
      <c r="F73" s="72" t="s">
        <v>176</v>
      </c>
      <c r="G73" s="74" t="s">
        <v>176</v>
      </c>
    </row>
    <row r="74" ht="13.5" customHeight="1">
      <c r="A74" s="9" t="s">
        <v>177</v>
      </c>
      <c r="B74" s="10" t="s">
        <v>11</v>
      </c>
      <c r="C74" s="10" t="s">
        <v>178</v>
      </c>
      <c r="D74" s="73">
        <f>C47</f>
        <v>45.33</v>
      </c>
      <c r="E74" s="72" t="s">
        <v>176</v>
      </c>
      <c r="F74" s="72" t="s">
        <v>176</v>
      </c>
      <c r="G74" s="74" t="s">
        <v>176</v>
      </c>
      <c r="J74" s="37"/>
      <c r="L74" s="37"/>
      <c r="M74" s="37"/>
    </row>
    <row r="75" ht="13.5" customHeight="1">
      <c r="A75" s="9" t="s">
        <v>179</v>
      </c>
      <c r="B75" s="10" t="s">
        <v>11</v>
      </c>
      <c r="C75" s="10" t="s">
        <v>180</v>
      </c>
      <c r="D75" s="73">
        <v>0.0</v>
      </c>
      <c r="E75" s="72">
        <v>0.0</v>
      </c>
      <c r="F75" s="72">
        <v>0.0</v>
      </c>
      <c r="G75" s="74">
        <v>0.0</v>
      </c>
      <c r="J75" s="37"/>
      <c r="K75" s="37"/>
      <c r="L75" s="37"/>
    </row>
    <row r="76" ht="13.5" customHeight="1">
      <c r="A76" s="9" t="s">
        <v>181</v>
      </c>
      <c r="B76" s="10" t="s">
        <v>11</v>
      </c>
      <c r="C76" s="10" t="s">
        <v>182</v>
      </c>
      <c r="D76" s="73">
        <f>C48</f>
        <v>90.66</v>
      </c>
      <c r="E76" s="72">
        <f>D76</f>
        <v>90.66</v>
      </c>
      <c r="F76" s="72">
        <f>D76</f>
        <v>90.66</v>
      </c>
      <c r="G76" s="72">
        <f>D76</f>
        <v>90.66</v>
      </c>
    </row>
    <row r="77" ht="13.5" customHeight="1">
      <c r="A77" s="75" t="s">
        <v>183</v>
      </c>
      <c r="B77" s="10" t="s">
        <v>11</v>
      </c>
      <c r="C77" s="10" t="s">
        <v>184</v>
      </c>
      <c r="D77" s="73">
        <f>D73+D74+D75+D76</f>
        <v>4669.07</v>
      </c>
      <c r="E77" s="73">
        <f t="shared" ref="E77:G77" si="3">E75+E76</f>
        <v>90.66</v>
      </c>
      <c r="F77" s="73">
        <f t="shared" si="3"/>
        <v>90.66</v>
      </c>
      <c r="G77" s="73">
        <f t="shared" si="3"/>
        <v>90.66</v>
      </c>
    </row>
    <row r="78" ht="13.5" customHeight="1">
      <c r="A78" s="9" t="s">
        <v>185</v>
      </c>
      <c r="B78" s="10" t="s">
        <v>11</v>
      </c>
      <c r="C78" s="10" t="s">
        <v>186</v>
      </c>
      <c r="D78" s="73">
        <f t="shared" ref="D78:G78" si="4">_xlfn.FLOOR.PRECISE(D77*D81,0.01)</f>
        <v>4669.07</v>
      </c>
      <c r="E78" s="73">
        <f t="shared" si="4"/>
        <v>82.5</v>
      </c>
      <c r="F78" s="73">
        <f t="shared" si="4"/>
        <v>76.15</v>
      </c>
      <c r="G78" s="73">
        <f t="shared" si="4"/>
        <v>69.8</v>
      </c>
    </row>
    <row r="79" ht="13.5" customHeight="1">
      <c r="A79" s="9" t="s">
        <v>187</v>
      </c>
      <c r="B79" s="10" t="s">
        <v>11</v>
      </c>
      <c r="C79" s="10" t="s">
        <v>188</v>
      </c>
      <c r="D79" s="73">
        <f t="shared" ref="D79:G79" si="5">D72-D78</f>
        <v>-2897.96</v>
      </c>
      <c r="E79" s="73">
        <f t="shared" si="5"/>
        <v>1529.21</v>
      </c>
      <c r="F79" s="73">
        <f t="shared" si="5"/>
        <v>1411.58</v>
      </c>
      <c r="G79" s="73">
        <f t="shared" si="5"/>
        <v>1293.95</v>
      </c>
    </row>
    <row r="80" ht="13.5" customHeight="1">
      <c r="A80" s="9" t="s">
        <v>189</v>
      </c>
      <c r="B80" s="10" t="s">
        <v>11</v>
      </c>
      <c r="C80" s="10" t="s">
        <v>190</v>
      </c>
      <c r="D80" s="73">
        <f>D79</f>
        <v>-2897.96</v>
      </c>
      <c r="E80" s="76">
        <f t="shared" ref="E80:G80" si="6">_xlfn.FLOOR.PRECISE(D80+E79,0.01)</f>
        <v>-1368.75</v>
      </c>
      <c r="F80" s="76">
        <f t="shared" si="6"/>
        <v>42.82</v>
      </c>
      <c r="G80" s="76">
        <f t="shared" si="6"/>
        <v>1336.77</v>
      </c>
    </row>
    <row r="81" ht="13.5" customHeight="1">
      <c r="A81" s="9" t="s">
        <v>191</v>
      </c>
      <c r="B81" s="10" t="s">
        <v>3</v>
      </c>
      <c r="C81" s="77" t="s">
        <v>192</v>
      </c>
      <c r="D81" s="73">
        <f>D83</f>
        <v>1</v>
      </c>
      <c r="E81" s="76">
        <f>D84</f>
        <v>0.91</v>
      </c>
      <c r="F81" s="73">
        <f>D85</f>
        <v>0.84</v>
      </c>
      <c r="G81" s="76">
        <f>D86</f>
        <v>0.77</v>
      </c>
    </row>
    <row r="82" ht="13.5" customHeight="1"/>
    <row r="83" ht="13.5" customHeight="1">
      <c r="B83" s="8">
        <f>1+E22</f>
        <v>1.09</v>
      </c>
      <c r="C83">
        <f>1-1</f>
        <v>0</v>
      </c>
      <c r="D83" s="8">
        <f t="shared" ref="D83:D86" si="7">_xlfn.FLOOR.PRECISE(POWER(B83,C83),0.01)</f>
        <v>1</v>
      </c>
    </row>
    <row r="84" ht="13.5" customHeight="1">
      <c r="B84" s="8">
        <f>1+E22</f>
        <v>1.09</v>
      </c>
      <c r="C84">
        <f>1-2</f>
        <v>-1</v>
      </c>
      <c r="D84" s="8">
        <f t="shared" si="7"/>
        <v>0.91</v>
      </c>
    </row>
    <row r="85" ht="13.5" customHeight="1">
      <c r="B85" s="8">
        <f>1+E22</f>
        <v>1.09</v>
      </c>
      <c r="C85">
        <f>1-3</f>
        <v>-2</v>
      </c>
      <c r="D85" s="8">
        <f t="shared" si="7"/>
        <v>0.84</v>
      </c>
    </row>
    <row r="86" ht="13.5" customHeight="1">
      <c r="B86" s="8">
        <f>1+E22</f>
        <v>1.09</v>
      </c>
      <c r="C86">
        <f>1-4</f>
        <v>-3</v>
      </c>
      <c r="D86" s="8">
        <f t="shared" si="7"/>
        <v>0.77</v>
      </c>
    </row>
    <row r="87" ht="13.5" customHeight="1"/>
    <row r="88" ht="13.5" customHeight="1">
      <c r="D88">
        <v>881.79</v>
      </c>
      <c r="E88">
        <v>881.79</v>
      </c>
      <c r="F88">
        <v>881.79</v>
      </c>
      <c r="G88">
        <v>881.79</v>
      </c>
    </row>
    <row r="89" ht="13.5" customHeight="1">
      <c r="D89">
        <v>881.79</v>
      </c>
      <c r="E89">
        <v>802.4200000000001</v>
      </c>
      <c r="F89">
        <v>740.7</v>
      </c>
      <c r="G89">
        <v>678.97</v>
      </c>
    </row>
    <row r="90" ht="13.5" customHeight="1">
      <c r="D90">
        <v>4533.080000000001</v>
      </c>
      <c r="E90" t="s">
        <v>176</v>
      </c>
      <c r="F90" t="s">
        <v>176</v>
      </c>
      <c r="G90" t="s">
        <v>176</v>
      </c>
    </row>
    <row r="91" ht="13.5" customHeight="1">
      <c r="D91">
        <v>45.33</v>
      </c>
      <c r="E91" t="s">
        <v>176</v>
      </c>
      <c r="F91" t="s">
        <v>176</v>
      </c>
      <c r="G91" t="s">
        <v>176</v>
      </c>
    </row>
    <row r="92" ht="13.5" customHeight="1">
      <c r="D92">
        <v>0.0</v>
      </c>
      <c r="E92">
        <v>0.0</v>
      </c>
      <c r="F92">
        <v>0.0</v>
      </c>
      <c r="G92">
        <v>0.0</v>
      </c>
    </row>
    <row r="93" ht="13.5" customHeight="1">
      <c r="D93">
        <v>90.66</v>
      </c>
      <c r="E93">
        <v>90.66</v>
      </c>
      <c r="F93">
        <v>90.66</v>
      </c>
      <c r="G93">
        <v>90.66</v>
      </c>
    </row>
    <row r="94" ht="13.5" customHeight="1">
      <c r="D94">
        <v>4669.070000000001</v>
      </c>
      <c r="E94">
        <v>90.66</v>
      </c>
      <c r="F94">
        <v>90.66</v>
      </c>
      <c r="G94">
        <v>90.66</v>
      </c>
    </row>
    <row r="95" ht="13.5" customHeight="1">
      <c r="D95">
        <v>4669.07</v>
      </c>
      <c r="E95">
        <v>82.5</v>
      </c>
      <c r="F95">
        <v>76.15</v>
      </c>
      <c r="G95">
        <v>69.8</v>
      </c>
    </row>
    <row r="96" ht="13.5" customHeight="1">
      <c r="D96">
        <v>-3787.2799999999997</v>
      </c>
      <c r="E96">
        <v>719.9200000000001</v>
      </c>
      <c r="F96">
        <v>664.5500000000001</v>
      </c>
      <c r="G96">
        <v>609.1700000000001</v>
      </c>
    </row>
    <row r="97" ht="13.5" customHeight="1">
      <c r="D97">
        <v>-3787.2799999999997</v>
      </c>
      <c r="E97">
        <v>-3067.36</v>
      </c>
      <c r="F97">
        <v>-2402.81</v>
      </c>
      <c r="G97">
        <v>-1793.64</v>
      </c>
    </row>
    <row r="98" ht="13.5" customHeight="1">
      <c r="D98">
        <v>1.0</v>
      </c>
      <c r="E98">
        <v>0.91</v>
      </c>
      <c r="F98">
        <v>0.84</v>
      </c>
      <c r="G98">
        <v>0.77</v>
      </c>
    </row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4">
    <mergeCell ref="R47:R48"/>
    <mergeCell ref="S47:S48"/>
    <mergeCell ref="A68:A69"/>
    <mergeCell ref="B68:B69"/>
    <mergeCell ref="C68:C69"/>
    <mergeCell ref="D68:G68"/>
    <mergeCell ref="A70:G70"/>
    <mergeCell ref="A2:D2"/>
    <mergeCell ref="N43:N44"/>
    <mergeCell ref="P43:P44"/>
    <mergeCell ref="N45:N46"/>
    <mergeCell ref="P45:P46"/>
    <mergeCell ref="P47:P48"/>
    <mergeCell ref="Q47:Q48"/>
  </mergeCells>
  <printOptions/>
  <pageMargins bottom="0.75" footer="0.0" header="0.0" left="0.7" right="0.7" top="0.75"/>
  <pageSetup orientation="landscape"/>
  <drawing r:id="rId1"/>
</worksheet>
</file>