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Stary Folder\studia\Semestr3\studia_git\FIZ2\"/>
    </mc:Choice>
  </mc:AlternateContent>
  <xr:revisionPtr revIDLastSave="0" documentId="13_ncr:1_{533FE9C7-7D2B-4315-B8DB-285A1A0905FB}" xr6:coauthVersionLast="47" xr6:coauthVersionMax="47" xr10:uidLastSave="{00000000-0000-0000-0000-000000000000}"/>
  <bookViews>
    <workbookView xWindow="-120" yWindow="-120" windowWidth="29040" windowHeight="15840" xr2:uid="{22106E2D-535D-4D61-8847-61EECC787C3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0" i="1" l="1"/>
  <c r="X50" i="1"/>
  <c r="W50" i="1"/>
  <c r="Y48" i="1"/>
  <c r="X48" i="1"/>
  <c r="W48" i="1"/>
  <c r="T51" i="1"/>
  <c r="T50" i="1"/>
  <c r="U44" i="1"/>
  <c r="V25" i="1"/>
  <c r="U25" i="1"/>
  <c r="J46" i="1"/>
  <c r="R34" i="1"/>
  <c r="G37" i="1"/>
  <c r="H37" i="1" s="1"/>
  <c r="X13" i="1"/>
  <c r="V19" i="1"/>
  <c r="V13" i="1"/>
  <c r="AB39" i="1"/>
  <c r="X14" i="1"/>
  <c r="V14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61" i="1"/>
  <c r="V18" i="1"/>
  <c r="K59" i="1"/>
  <c r="AB37" i="1"/>
  <c r="AB33" i="1"/>
  <c r="AB32" i="1"/>
  <c r="AB31" i="1"/>
  <c r="AB29" i="1"/>
  <c r="AB34" i="1"/>
  <c r="W34" i="1"/>
  <c r="U30" i="1"/>
  <c r="W10" i="1"/>
  <c r="G59" i="1"/>
  <c r="K56" i="1"/>
  <c r="K55" i="1"/>
  <c r="K53" i="1"/>
  <c r="K52" i="1"/>
  <c r="G55" i="1"/>
  <c r="G54" i="1"/>
  <c r="K34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  <c r="J34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I34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8" i="1"/>
  <c r="H34" i="1"/>
  <c r="G34" i="1"/>
  <c r="W25" i="1" l="1"/>
  <c r="F18" i="1"/>
  <c r="P49" i="1"/>
  <c r="G40" i="1"/>
  <c r="F17" i="1"/>
  <c r="P48" i="1"/>
  <c r="F28" i="1"/>
  <c r="F12" i="1"/>
  <c r="P43" i="1"/>
  <c r="F27" i="1"/>
  <c r="F11" i="1"/>
  <c r="P42" i="1"/>
  <c r="P46" i="1" l="1"/>
  <c r="F47" i="1"/>
  <c r="F16" i="1"/>
  <c r="P36" i="1"/>
  <c r="F21" i="1"/>
  <c r="P37" i="1"/>
  <c r="P53" i="1"/>
  <c r="P50" i="1"/>
  <c r="P35" i="1"/>
  <c r="P51" i="1"/>
  <c r="F20" i="1"/>
  <c r="P40" i="1"/>
  <c r="F9" i="1"/>
  <c r="F25" i="1"/>
  <c r="P41" i="1"/>
  <c r="F10" i="1"/>
  <c r="F26" i="1"/>
  <c r="K39" i="1"/>
  <c r="F15" i="1"/>
  <c r="P47" i="1"/>
  <c r="P52" i="1"/>
  <c r="F22" i="1"/>
  <c r="F19" i="1"/>
  <c r="P38" i="1"/>
  <c r="P54" i="1"/>
  <c r="F23" i="1"/>
  <c r="P39" i="1"/>
  <c r="P34" i="1"/>
  <c r="F24" i="1"/>
  <c r="P44" i="1"/>
  <c r="F13" i="1"/>
  <c r="F8" i="1"/>
  <c r="P45" i="1"/>
  <c r="F14" i="1"/>
  <c r="K38" i="1"/>
  <c r="H40" i="1"/>
  <c r="H46" i="1" s="1"/>
  <c r="V20" i="1" l="1"/>
  <c r="V44" i="1" s="1"/>
  <c r="W44" i="1" s="1"/>
  <c r="I46" i="1"/>
</calcChain>
</file>

<file path=xl/sharedStrings.xml><?xml version="1.0" encoding="utf-8"?>
<sst xmlns="http://schemas.openxmlformats.org/spreadsheetml/2006/main" count="165" uniqueCount="85">
  <si>
    <t>B[mT]</t>
  </si>
  <si>
    <t>Uh[V]</t>
  </si>
  <si>
    <t>Up[V]</t>
  </si>
  <si>
    <t>*C</t>
  </si>
  <si>
    <t>Tp          =</t>
  </si>
  <si>
    <t>Tk          =</t>
  </si>
  <si>
    <t>Tk         =</t>
  </si>
  <si>
    <t>Ip           =</t>
  </si>
  <si>
    <t>mA</t>
  </si>
  <si>
    <t>grubosc d</t>
  </si>
  <si>
    <t>mm</t>
  </si>
  <si>
    <t>szerokosc b</t>
  </si>
  <si>
    <t>dlugosc l</t>
  </si>
  <si>
    <t>deltaIp +/-</t>
  </si>
  <si>
    <t>deltaT</t>
  </si>
  <si>
    <t>deltaB +/-</t>
  </si>
  <si>
    <t>%</t>
  </si>
  <si>
    <t>x=B y=Uh</t>
  </si>
  <si>
    <t>sigma</t>
  </si>
  <si>
    <t>xi</t>
  </si>
  <si>
    <t>yi</t>
  </si>
  <si>
    <t>x^2</t>
  </si>
  <si>
    <t>y^2</t>
  </si>
  <si>
    <t>x*y</t>
  </si>
  <si>
    <t>n</t>
  </si>
  <si>
    <t>a</t>
  </si>
  <si>
    <t>b</t>
  </si>
  <si>
    <t>X</t>
  </si>
  <si>
    <t>Y</t>
  </si>
  <si>
    <t>spr</t>
  </si>
  <si>
    <t>y</t>
  </si>
  <si>
    <t>AD2</t>
  </si>
  <si>
    <t>AD4</t>
  </si>
  <si>
    <t>B</t>
  </si>
  <si>
    <t>AD5</t>
  </si>
  <si>
    <t>uc(Uh)</t>
  </si>
  <si>
    <t>u(a)</t>
  </si>
  <si>
    <t>u(b)</t>
  </si>
  <si>
    <t>AD6</t>
  </si>
  <si>
    <t>uc,r(Uh)</t>
  </si>
  <si>
    <t>Uh</t>
  </si>
  <si>
    <t>AD7</t>
  </si>
  <si>
    <t>U(Uh)</t>
  </si>
  <si>
    <t>AD8</t>
  </si>
  <si>
    <t>I</t>
  </si>
  <si>
    <t>mT</t>
  </si>
  <si>
    <t>U</t>
  </si>
  <si>
    <t>V</t>
  </si>
  <si>
    <t>e</t>
  </si>
  <si>
    <t>d</t>
  </si>
  <si>
    <t>C</t>
  </si>
  <si>
    <t>mV</t>
  </si>
  <si>
    <t>mC</t>
  </si>
  <si>
    <t>A</t>
  </si>
  <si>
    <t>T</t>
  </si>
  <si>
    <t>m</t>
  </si>
  <si>
    <t>m^-3</t>
  </si>
  <si>
    <t>AD9</t>
  </si>
  <si>
    <t>u(I)</t>
  </si>
  <si>
    <t>u(B)</t>
  </si>
  <si>
    <t>uc,r(n)</t>
  </si>
  <si>
    <t>uc(n)</t>
  </si>
  <si>
    <t>U(n)</t>
  </si>
  <si>
    <t>AD10</t>
  </si>
  <si>
    <t>AD11</t>
  </si>
  <si>
    <t>AD12</t>
  </si>
  <si>
    <t>Upsr</t>
  </si>
  <si>
    <t>AD13</t>
  </si>
  <si>
    <t>Up</t>
  </si>
  <si>
    <t>L</t>
  </si>
  <si>
    <t>miu</t>
  </si>
  <si>
    <t>m^2/Vs</t>
  </si>
  <si>
    <t>AD14</t>
  </si>
  <si>
    <t>uc,r(miu)</t>
  </si>
  <si>
    <t>deltaUP</t>
  </si>
  <si>
    <t>u(Up)</t>
  </si>
  <si>
    <t>AD15</t>
  </si>
  <si>
    <t>uc(miu)</t>
  </si>
  <si>
    <t>AD16</t>
  </si>
  <si>
    <t>U(miu)</t>
  </si>
  <si>
    <t>u(Uh)</t>
  </si>
  <si>
    <t>deltaU</t>
  </si>
  <si>
    <t>u(U)</t>
  </si>
  <si>
    <t>delta Uh/Up</t>
  </si>
  <si>
    <t>dla B=200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</si>
</sst>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8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0" xfId="0" applyNumberFormat="1"/>
    <xf numFmtId="0" fontId="0" fillId="2" borderId="0" xfId="0" applyFill="1"/>
    <xf numFmtId="0" fontId="0" fillId="3" borderId="0" xfId="0" applyFill="1"/>
    <xf numFmtId="165" fontId="0" fillId="2" borderId="0" xfId="0" applyNumberFormat="1" applyFill="1"/>
    <xf numFmtId="166" fontId="0" fillId="0" borderId="0" xfId="0" applyNumberFormat="1"/>
    <xf numFmtId="0" fontId="0" fillId="3" borderId="10" xfId="0" applyFill="1" applyBorder="1"/>
    <xf numFmtId="0" fontId="0" fillId="3" borderId="13" xfId="0" applyFill="1" applyBorder="1"/>
    <xf numFmtId="16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Arkusz1!$T$60</c:f>
              <c:strCache>
                <c:ptCount val="1"/>
                <c:pt idx="0">
                  <c:v>Uh[V]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Arkusz1!$S$61:$S$81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Arkusz1!$T$61:$T$81</c:f>
              <c:numCache>
                <c:formatCode>General</c:formatCode>
                <c:ptCount val="21"/>
                <c:pt idx="0">
                  <c:v>0.2</c:v>
                </c:pt>
                <c:pt idx="1">
                  <c:v>2.1</c:v>
                </c:pt>
                <c:pt idx="2">
                  <c:v>4</c:v>
                </c:pt>
                <c:pt idx="3">
                  <c:v>5.9</c:v>
                </c:pt>
                <c:pt idx="4">
                  <c:v>7.8</c:v>
                </c:pt>
                <c:pt idx="5">
                  <c:v>9.6</c:v>
                </c:pt>
                <c:pt idx="6">
                  <c:v>11.5</c:v>
                </c:pt>
                <c:pt idx="7">
                  <c:v>13.4</c:v>
                </c:pt>
                <c:pt idx="8">
                  <c:v>15.1</c:v>
                </c:pt>
                <c:pt idx="9">
                  <c:v>17</c:v>
                </c:pt>
                <c:pt idx="10">
                  <c:v>18.600000000000001</c:v>
                </c:pt>
                <c:pt idx="11">
                  <c:v>20.5</c:v>
                </c:pt>
                <c:pt idx="12">
                  <c:v>22.3</c:v>
                </c:pt>
                <c:pt idx="13">
                  <c:v>24</c:v>
                </c:pt>
                <c:pt idx="14">
                  <c:v>25.8</c:v>
                </c:pt>
                <c:pt idx="15">
                  <c:v>27.6</c:v>
                </c:pt>
                <c:pt idx="16">
                  <c:v>29.3</c:v>
                </c:pt>
                <c:pt idx="17">
                  <c:v>31</c:v>
                </c:pt>
                <c:pt idx="18">
                  <c:v>32.6</c:v>
                </c:pt>
                <c:pt idx="19">
                  <c:v>34.4</c:v>
                </c:pt>
                <c:pt idx="20">
                  <c:v>35.799999999999997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0F8-9DBF-B78AB7967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300447"/>
        <c:axId val="2037901343"/>
      </c:scatterChart>
      <c:valAx>
        <c:axId val="109530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7901343"/>
        <c:crosses val="autoZero"/>
        <c:crossBetween val="midCat"/>
      </c:valAx>
      <c:valAx>
        <c:axId val="203790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530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621926</xdr:colOff>
      <xdr:row>64</xdr:row>
      <xdr:rowOff>158002</xdr:rowOff>
    </xdr:from>
    <xdr:to>
      <xdr:col>29</xdr:col>
      <xdr:colOff>218514</xdr:colOff>
      <xdr:row>79</xdr:row>
      <xdr:rowOff>43702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E21627-E69A-3EFA-63A8-071396198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AA0A-D447-4B02-AC14-94CF8529AAB0}">
  <dimension ref="C4:DD81"/>
  <sheetViews>
    <sheetView tabSelected="1" topLeftCell="A8" zoomScale="85" zoomScaleNormal="85" workbookViewId="0">
      <selection activeCell="Y51" sqref="Y51"/>
    </sheetView>
  </sheetViews>
  <sheetFormatPr defaultRowHeight="15" x14ac:dyDescent="0.25"/>
  <cols>
    <col min="6" max="6" width="9.5703125" bestFit="1" customWidth="1"/>
    <col min="7" max="7" width="12.28515625" bestFit="1" customWidth="1"/>
    <col min="11" max="11" width="12.28515625" bestFit="1" customWidth="1"/>
    <col min="20" max="20" width="11.5703125" customWidth="1"/>
    <col min="22" max="22" width="12.28515625" bestFit="1" customWidth="1"/>
    <col min="23" max="23" width="11.140625" customWidth="1"/>
    <col min="24" max="24" width="8.85546875" customWidth="1"/>
    <col min="25" max="25" width="8" customWidth="1"/>
    <col min="26" max="26" width="5" customWidth="1"/>
    <col min="27" max="29" width="10.7109375" customWidth="1"/>
    <col min="30" max="108" width="5" customWidth="1"/>
  </cols>
  <sheetData>
    <row r="4" spans="3:108" ht="15.75" thickBot="1" x14ac:dyDescent="0.3">
      <c r="T4" t="s">
        <v>9</v>
      </c>
      <c r="U4">
        <v>1</v>
      </c>
      <c r="V4" t="s">
        <v>10</v>
      </c>
      <c r="W4" t="s">
        <v>27</v>
      </c>
      <c r="X4" s="9" t="s">
        <v>0</v>
      </c>
      <c r="Y4" s="9">
        <v>0</v>
      </c>
      <c r="Z4" s="9">
        <v>10</v>
      </c>
      <c r="AA4" s="9">
        <v>20</v>
      </c>
      <c r="AB4" s="9">
        <v>30</v>
      </c>
      <c r="AC4" s="9">
        <v>40</v>
      </c>
      <c r="AD4" s="9">
        <v>50</v>
      </c>
      <c r="AE4" s="9">
        <v>60</v>
      </c>
      <c r="AF4" s="9">
        <v>70</v>
      </c>
      <c r="AG4" s="9">
        <v>80</v>
      </c>
      <c r="AH4" s="9">
        <v>90</v>
      </c>
      <c r="AI4" s="9">
        <v>100</v>
      </c>
      <c r="AJ4" s="9">
        <v>110</v>
      </c>
      <c r="AK4" s="9">
        <v>120</v>
      </c>
      <c r="AL4" s="9">
        <v>130</v>
      </c>
      <c r="AM4" s="9">
        <v>140</v>
      </c>
      <c r="AN4" s="9">
        <v>150</v>
      </c>
      <c r="AO4" s="9">
        <v>160</v>
      </c>
      <c r="AP4" s="9">
        <v>170</v>
      </c>
      <c r="AQ4" s="9">
        <v>180</v>
      </c>
      <c r="AR4" s="9">
        <v>190</v>
      </c>
      <c r="AS4" s="11">
        <v>200</v>
      </c>
      <c r="AT4" s="4">
        <v>0</v>
      </c>
      <c r="AU4" s="4">
        <v>-10</v>
      </c>
      <c r="AV4" s="4">
        <v>-20</v>
      </c>
      <c r="AW4" s="4">
        <v>-30</v>
      </c>
      <c r="AX4" s="4">
        <v>-40</v>
      </c>
      <c r="AY4" s="4">
        <v>-50</v>
      </c>
      <c r="AZ4" s="4">
        <v>-60</v>
      </c>
      <c r="BA4" s="4">
        <v>-70</v>
      </c>
      <c r="BB4" s="4">
        <v>-80</v>
      </c>
      <c r="BC4" s="4">
        <v>-90</v>
      </c>
      <c r="BD4" s="4">
        <v>-100</v>
      </c>
      <c r="BE4" s="4">
        <v>-110</v>
      </c>
      <c r="BF4" s="4">
        <v>-120</v>
      </c>
      <c r="BG4" s="4">
        <v>-130</v>
      </c>
      <c r="BH4" s="4">
        <v>-140</v>
      </c>
      <c r="BI4" s="4">
        <v>-150</v>
      </c>
      <c r="BJ4" s="4">
        <v>-160</v>
      </c>
      <c r="BK4" s="4">
        <v>-170</v>
      </c>
      <c r="BL4" s="4">
        <v>-180</v>
      </c>
      <c r="BM4" s="4">
        <v>-190</v>
      </c>
      <c r="BN4" s="12">
        <v>-200</v>
      </c>
      <c r="BO4" s="8">
        <v>0</v>
      </c>
      <c r="BP4" s="8">
        <v>10</v>
      </c>
      <c r="BQ4" s="8">
        <v>20</v>
      </c>
      <c r="BR4" s="8">
        <v>30</v>
      </c>
      <c r="BS4" s="8">
        <v>40</v>
      </c>
      <c r="BT4" s="8">
        <v>50</v>
      </c>
      <c r="BU4" s="8">
        <v>60</v>
      </c>
      <c r="BV4" s="8">
        <v>70</v>
      </c>
      <c r="BW4" s="8">
        <v>80</v>
      </c>
      <c r="BX4" s="8">
        <v>90</v>
      </c>
      <c r="BY4" s="8">
        <v>100</v>
      </c>
      <c r="BZ4" s="8">
        <v>110</v>
      </c>
      <c r="CA4" s="8">
        <v>120</v>
      </c>
      <c r="CB4" s="8">
        <v>130</v>
      </c>
      <c r="CC4" s="8">
        <v>140</v>
      </c>
      <c r="CD4" s="8">
        <v>150</v>
      </c>
      <c r="CE4" s="8">
        <v>160</v>
      </c>
      <c r="CF4" s="8">
        <v>170</v>
      </c>
      <c r="CG4" s="8">
        <v>180</v>
      </c>
      <c r="CH4" s="8">
        <v>190</v>
      </c>
      <c r="CI4" s="14">
        <v>200</v>
      </c>
      <c r="CJ4" s="4">
        <v>0</v>
      </c>
      <c r="CK4" s="4">
        <v>-10</v>
      </c>
      <c r="CL4" s="4">
        <v>-20</v>
      </c>
      <c r="CM4" s="4">
        <v>-30</v>
      </c>
      <c r="CN4" s="4">
        <v>-40</v>
      </c>
      <c r="CO4" s="4">
        <v>-50</v>
      </c>
      <c r="CP4" s="4">
        <v>-60</v>
      </c>
      <c r="CQ4" s="4">
        <v>-70</v>
      </c>
      <c r="CR4" s="4">
        <v>-80</v>
      </c>
      <c r="CS4" s="4">
        <v>-90</v>
      </c>
      <c r="CT4" s="4">
        <v>-100</v>
      </c>
      <c r="CU4" s="4">
        <v>-110</v>
      </c>
      <c r="CV4" s="4">
        <v>-120</v>
      </c>
      <c r="CW4" s="4">
        <v>-130</v>
      </c>
      <c r="CX4" s="4">
        <v>-140</v>
      </c>
      <c r="CY4" s="4">
        <v>-150</v>
      </c>
      <c r="CZ4" s="4">
        <v>-160</v>
      </c>
      <c r="DA4" s="4">
        <v>-170</v>
      </c>
      <c r="DB4" s="4">
        <v>-180</v>
      </c>
      <c r="DC4" s="4">
        <v>-190</v>
      </c>
      <c r="DD4" s="12">
        <v>-200</v>
      </c>
    </row>
    <row r="5" spans="3:108" ht="15.75" thickBot="1" x14ac:dyDescent="0.3">
      <c r="G5" s="1" t="s">
        <v>7</v>
      </c>
      <c r="H5" s="2">
        <v>30</v>
      </c>
      <c r="I5" s="2" t="s">
        <v>8</v>
      </c>
      <c r="J5" s="2"/>
      <c r="K5" s="2"/>
      <c r="L5" s="3"/>
      <c r="M5" s="2" t="s">
        <v>7</v>
      </c>
      <c r="N5" s="2">
        <v>-30</v>
      </c>
      <c r="O5" s="2" t="s">
        <v>8</v>
      </c>
      <c r="P5" s="2"/>
      <c r="Q5" s="2"/>
      <c r="R5" s="3"/>
      <c r="T5" t="s">
        <v>11</v>
      </c>
      <c r="U5">
        <v>10</v>
      </c>
      <c r="V5" t="s">
        <v>10</v>
      </c>
      <c r="W5" t="s">
        <v>28</v>
      </c>
      <c r="X5" s="4" t="s">
        <v>1</v>
      </c>
      <c r="Y5" s="4">
        <v>0.2</v>
      </c>
      <c r="Z5">
        <v>2.1</v>
      </c>
      <c r="AA5" s="4">
        <v>4</v>
      </c>
      <c r="AB5" s="4">
        <v>5.9</v>
      </c>
      <c r="AC5" s="4">
        <v>7.8</v>
      </c>
      <c r="AD5" s="4">
        <v>9.6</v>
      </c>
      <c r="AE5" s="4">
        <v>11.5</v>
      </c>
      <c r="AF5" s="4">
        <v>13.4</v>
      </c>
      <c r="AG5" s="4">
        <v>15.1</v>
      </c>
      <c r="AH5" s="4">
        <v>17</v>
      </c>
      <c r="AI5" s="4">
        <v>18.600000000000001</v>
      </c>
      <c r="AJ5" s="4">
        <v>20.5</v>
      </c>
      <c r="AK5" s="4">
        <v>22.3</v>
      </c>
      <c r="AL5" s="4">
        <v>24</v>
      </c>
      <c r="AM5" s="4">
        <v>25.8</v>
      </c>
      <c r="AN5" s="4">
        <v>27.6</v>
      </c>
      <c r="AO5" s="4">
        <v>29.3</v>
      </c>
      <c r="AP5" s="4">
        <v>31</v>
      </c>
      <c r="AQ5" s="4">
        <v>32.6</v>
      </c>
      <c r="AR5" s="4">
        <v>34.4</v>
      </c>
      <c r="AS5" s="12">
        <v>35.799999999999997</v>
      </c>
      <c r="AT5" s="4">
        <v>-0.3</v>
      </c>
      <c r="AU5" s="4">
        <v>-1.9</v>
      </c>
      <c r="AV5" s="4">
        <v>-3.8</v>
      </c>
      <c r="AW5" s="4">
        <v>-5</v>
      </c>
      <c r="AX5" s="4">
        <v>-7.4</v>
      </c>
      <c r="AY5" s="4">
        <v>-9.1999999999999993</v>
      </c>
      <c r="AZ5" s="4">
        <v>-11.1</v>
      </c>
      <c r="BA5" s="4">
        <v>-13</v>
      </c>
      <c r="BB5" s="4">
        <v>-14.8</v>
      </c>
      <c r="BC5" s="4">
        <v>-16.600000000000001</v>
      </c>
      <c r="BD5" s="4">
        <v>-18.5</v>
      </c>
      <c r="BE5" s="4">
        <v>-20.2</v>
      </c>
      <c r="BF5" s="4">
        <v>-21.9</v>
      </c>
      <c r="BG5" s="4">
        <v>-23.8</v>
      </c>
      <c r="BH5" s="4">
        <v>-25.4</v>
      </c>
      <c r="BI5" s="4">
        <v>-27.2</v>
      </c>
      <c r="BJ5" s="4">
        <v>-28.9</v>
      </c>
      <c r="BK5" s="4">
        <v>-30.8</v>
      </c>
      <c r="BL5" s="4">
        <v>-32.4</v>
      </c>
      <c r="BM5" s="4">
        <v>-34</v>
      </c>
      <c r="BN5" s="12">
        <v>-36</v>
      </c>
      <c r="BO5" s="4">
        <v>0.9</v>
      </c>
      <c r="BP5" s="4">
        <v>-1.1000000000000001</v>
      </c>
      <c r="BQ5" s="4">
        <v>-3.2</v>
      </c>
      <c r="BR5" s="4">
        <v>-5.2</v>
      </c>
      <c r="BS5" s="4">
        <v>-7.3</v>
      </c>
      <c r="BT5" s="4">
        <v>-9.4</v>
      </c>
      <c r="BU5" s="4">
        <v>-11.6</v>
      </c>
      <c r="BV5" s="4">
        <v>-13.6</v>
      </c>
      <c r="BW5" s="4">
        <v>-15.5</v>
      </c>
      <c r="BX5" s="4">
        <v>-17.399999999999999</v>
      </c>
      <c r="BY5" s="4">
        <v>-19.399999999999999</v>
      </c>
      <c r="BZ5" s="4">
        <v>-21.6</v>
      </c>
      <c r="CA5" s="4">
        <v>-23.6</v>
      </c>
      <c r="CB5" s="4">
        <v>-25.3</v>
      </c>
      <c r="CC5" s="4">
        <v>-27.4</v>
      </c>
      <c r="CD5" s="4">
        <v>-29.9</v>
      </c>
      <c r="CE5" s="4">
        <v>-31.3</v>
      </c>
      <c r="CF5" s="4">
        <v>-33.299999999999997</v>
      </c>
      <c r="CG5" s="4">
        <v>-35</v>
      </c>
      <c r="CH5" s="4">
        <v>-36.799999999999997</v>
      </c>
      <c r="CI5" s="12">
        <v>-38.700000000000003</v>
      </c>
      <c r="CJ5" s="4">
        <v>0</v>
      </c>
      <c r="CK5" s="4">
        <v>2.2000000000000002</v>
      </c>
      <c r="CL5" s="4">
        <v>4.2</v>
      </c>
      <c r="CM5" s="4">
        <v>6.3</v>
      </c>
      <c r="CN5" s="4">
        <v>8.4</v>
      </c>
      <c r="CO5" s="4">
        <v>10.6</v>
      </c>
      <c r="CP5" s="4">
        <v>12.6</v>
      </c>
      <c r="CQ5" s="4">
        <v>14.5</v>
      </c>
      <c r="CR5" s="4">
        <v>16.399999999999999</v>
      </c>
      <c r="CS5" s="4">
        <v>18.5</v>
      </c>
      <c r="CT5" s="4">
        <v>20.7</v>
      </c>
      <c r="CU5" s="4">
        <v>22.5</v>
      </c>
      <c r="CV5" s="4">
        <v>24.4</v>
      </c>
      <c r="CW5" s="4">
        <v>26.4</v>
      </c>
      <c r="CX5" s="4">
        <v>28.3</v>
      </c>
      <c r="CY5" s="4">
        <v>30.2</v>
      </c>
      <c r="CZ5" s="4">
        <v>32.299999999999997</v>
      </c>
      <c r="DA5" s="4">
        <v>34.200000000000003</v>
      </c>
      <c r="DB5" s="4">
        <v>36</v>
      </c>
      <c r="DC5" s="4">
        <v>37.700000000000003</v>
      </c>
      <c r="DD5" s="12">
        <v>39.6</v>
      </c>
    </row>
    <row r="6" spans="3:108" x14ac:dyDescent="0.25">
      <c r="G6" s="5" t="s">
        <v>4</v>
      </c>
      <c r="H6" s="6">
        <v>20</v>
      </c>
      <c r="I6" s="8" t="s">
        <v>3</v>
      </c>
      <c r="J6" s="6" t="s">
        <v>5</v>
      </c>
      <c r="K6" s="6">
        <v>21</v>
      </c>
      <c r="L6" s="7" t="s">
        <v>3</v>
      </c>
      <c r="M6" s="6" t="s">
        <v>4</v>
      </c>
      <c r="N6" s="6">
        <v>21</v>
      </c>
      <c r="O6" s="8" t="s">
        <v>3</v>
      </c>
      <c r="P6" s="6" t="s">
        <v>6</v>
      </c>
      <c r="Q6" s="6">
        <v>23</v>
      </c>
      <c r="R6" s="7" t="s">
        <v>3</v>
      </c>
      <c r="T6" t="s">
        <v>12</v>
      </c>
      <c r="U6">
        <v>20</v>
      </c>
      <c r="V6" t="s">
        <v>10</v>
      </c>
    </row>
    <row r="7" spans="3:108" x14ac:dyDescent="0.25">
      <c r="G7" s="9" t="s">
        <v>0</v>
      </c>
      <c r="H7" s="4" t="s">
        <v>1</v>
      </c>
      <c r="I7" s="4" t="s">
        <v>2</v>
      </c>
      <c r="J7" s="4" t="s">
        <v>0</v>
      </c>
      <c r="K7" s="4" t="s">
        <v>1</v>
      </c>
      <c r="L7" s="10" t="s">
        <v>2</v>
      </c>
      <c r="M7" s="8" t="s">
        <v>0</v>
      </c>
      <c r="N7" s="4" t="s">
        <v>1</v>
      </c>
      <c r="O7" s="4" t="s">
        <v>2</v>
      </c>
      <c r="P7" s="4" t="s">
        <v>0</v>
      </c>
      <c r="Q7" s="4" t="s">
        <v>1</v>
      </c>
      <c r="R7" s="10" t="s">
        <v>2</v>
      </c>
      <c r="T7" t="s">
        <v>13</v>
      </c>
      <c r="U7">
        <v>1</v>
      </c>
      <c r="V7" t="s">
        <v>8</v>
      </c>
    </row>
    <row r="8" spans="3:108" x14ac:dyDescent="0.25">
      <c r="C8">
        <f>G8*H8</f>
        <v>0</v>
      </c>
      <c r="D8">
        <f>G8*G8</f>
        <v>0</v>
      </c>
      <c r="E8">
        <f>H8*H8</f>
        <v>4.0000000000000008E-2</v>
      </c>
      <c r="F8" s="15">
        <f>G8*$G$37+$H$37</f>
        <v>0.74550000000000005</v>
      </c>
      <c r="G8" s="9">
        <v>0</v>
      </c>
      <c r="H8" s="4">
        <v>0.2</v>
      </c>
      <c r="I8" s="4">
        <v>1.3149999999999999</v>
      </c>
      <c r="J8" s="4">
        <v>0</v>
      </c>
      <c r="K8" s="4">
        <v>-0.3</v>
      </c>
      <c r="L8" s="10">
        <v>1.3129999999999999</v>
      </c>
      <c r="M8" s="8">
        <v>0</v>
      </c>
      <c r="N8" s="4">
        <v>0.9</v>
      </c>
      <c r="O8" s="4">
        <v>-1.4790000000000001</v>
      </c>
      <c r="P8" s="4">
        <v>0</v>
      </c>
      <c r="Q8" s="4">
        <v>0</v>
      </c>
      <c r="R8" s="10">
        <v>-1.4610000000000001</v>
      </c>
      <c r="T8" t="s">
        <v>14</v>
      </c>
      <c r="U8">
        <v>1</v>
      </c>
      <c r="V8" t="s">
        <v>3</v>
      </c>
    </row>
    <row r="9" spans="3:108" x14ac:dyDescent="0.25">
      <c r="C9">
        <f t="shared" ref="C9:C28" si="0">G9*H9</f>
        <v>21</v>
      </c>
      <c r="D9">
        <f t="shared" ref="D9:D28" si="1">G9*G9</f>
        <v>100</v>
      </c>
      <c r="E9">
        <f t="shared" ref="E9:E28" si="2">H9*H9</f>
        <v>4.41</v>
      </c>
      <c r="F9" s="15">
        <f t="shared" ref="F9:F28" si="3">G9*$G$37+$H$37</f>
        <v>2.5244999999999997</v>
      </c>
      <c r="G9" s="9">
        <v>10</v>
      </c>
      <c r="H9">
        <v>2.1</v>
      </c>
      <c r="I9" s="4">
        <v>1.3149999999999999</v>
      </c>
      <c r="J9" s="4">
        <v>-10</v>
      </c>
      <c r="K9" s="4">
        <v>-1.9</v>
      </c>
      <c r="L9" s="10">
        <v>1.3140000000000001</v>
      </c>
      <c r="M9" s="8">
        <v>10</v>
      </c>
      <c r="N9" s="4">
        <v>-1.1000000000000001</v>
      </c>
      <c r="O9" s="4">
        <v>-1.472</v>
      </c>
      <c r="P9" s="4">
        <v>-10</v>
      </c>
      <c r="Q9" s="4">
        <v>2.2000000000000002</v>
      </c>
      <c r="R9" s="10">
        <v>-1.4610000000000001</v>
      </c>
      <c r="T9" t="s">
        <v>15</v>
      </c>
      <c r="U9">
        <v>2</v>
      </c>
      <c r="V9" t="s">
        <v>16</v>
      </c>
      <c r="W9">
        <v>0.02</v>
      </c>
    </row>
    <row r="10" spans="3:108" x14ac:dyDescent="0.25">
      <c r="C10">
        <f t="shared" si="0"/>
        <v>80</v>
      </c>
      <c r="D10">
        <f t="shared" si="1"/>
        <v>400</v>
      </c>
      <c r="E10">
        <f t="shared" si="2"/>
        <v>16</v>
      </c>
      <c r="F10" s="15">
        <f t="shared" si="3"/>
        <v>4.3034999999999997</v>
      </c>
      <c r="G10" s="9">
        <v>20</v>
      </c>
      <c r="H10" s="4">
        <v>4</v>
      </c>
      <c r="I10" s="4">
        <v>1.3149999999999999</v>
      </c>
      <c r="J10" s="4">
        <v>-20</v>
      </c>
      <c r="K10" s="4">
        <v>-3.8</v>
      </c>
      <c r="L10" s="10">
        <v>1.3140000000000001</v>
      </c>
      <c r="M10" s="8">
        <v>20</v>
      </c>
      <c r="N10" s="4">
        <v>-3.2</v>
      </c>
      <c r="O10" s="4">
        <v>-1.468</v>
      </c>
      <c r="P10" s="4">
        <v>-20</v>
      </c>
      <c r="Q10" s="4">
        <v>4.2</v>
      </c>
      <c r="R10" s="10">
        <v>-1.462</v>
      </c>
      <c r="W10">
        <f>G28*W9</f>
        <v>4</v>
      </c>
      <c r="X10" t="s">
        <v>45</v>
      </c>
    </row>
    <row r="11" spans="3:108" x14ac:dyDescent="0.25">
      <c r="C11">
        <f t="shared" si="0"/>
        <v>177</v>
      </c>
      <c r="D11">
        <f t="shared" si="1"/>
        <v>900</v>
      </c>
      <c r="E11">
        <f t="shared" si="2"/>
        <v>34.81</v>
      </c>
      <c r="F11" s="15">
        <f t="shared" si="3"/>
        <v>6.0824999999999996</v>
      </c>
      <c r="G11" s="9">
        <v>30</v>
      </c>
      <c r="H11" s="4">
        <v>5.9</v>
      </c>
      <c r="I11" s="4">
        <v>1.3149999999999999</v>
      </c>
      <c r="J11" s="4">
        <v>-30</v>
      </c>
      <c r="K11" s="4">
        <v>-5</v>
      </c>
      <c r="L11" s="10">
        <v>1.3140000000000001</v>
      </c>
      <c r="M11" s="8">
        <v>30</v>
      </c>
      <c r="N11" s="4">
        <v>-5.2</v>
      </c>
      <c r="O11" s="4">
        <v>-1.4670000000000001</v>
      </c>
      <c r="P11" s="4">
        <v>-30</v>
      </c>
      <c r="Q11" s="4">
        <v>6.3</v>
      </c>
      <c r="R11" s="10">
        <v>-1.462</v>
      </c>
      <c r="T11" t="s">
        <v>74</v>
      </c>
      <c r="U11">
        <v>1E-3</v>
      </c>
      <c r="X11" s="19"/>
    </row>
    <row r="12" spans="3:108" x14ac:dyDescent="0.25">
      <c r="C12">
        <f t="shared" si="0"/>
        <v>312</v>
      </c>
      <c r="D12">
        <f t="shared" si="1"/>
        <v>1600</v>
      </c>
      <c r="E12">
        <f t="shared" si="2"/>
        <v>60.839999999999996</v>
      </c>
      <c r="F12" s="15">
        <f t="shared" si="3"/>
        <v>7.8614999999999995</v>
      </c>
      <c r="G12" s="9">
        <v>40</v>
      </c>
      <c r="H12" s="4">
        <v>7.8</v>
      </c>
      <c r="I12" s="4">
        <v>1.3149999999999999</v>
      </c>
      <c r="J12" s="4">
        <v>-40</v>
      </c>
      <c r="K12" s="4">
        <v>-7.4</v>
      </c>
      <c r="L12" s="10">
        <v>1.3140000000000001</v>
      </c>
      <c r="M12" s="8">
        <v>40</v>
      </c>
      <c r="N12" s="4">
        <v>-7.3</v>
      </c>
      <c r="O12" s="4">
        <v>-1.466</v>
      </c>
      <c r="P12" s="4">
        <v>-40</v>
      </c>
      <c r="Q12" s="4">
        <v>8.4</v>
      </c>
      <c r="R12" s="10">
        <v>-1.462</v>
      </c>
      <c r="V12" t="s">
        <v>84</v>
      </c>
    </row>
    <row r="13" spans="3:108" x14ac:dyDescent="0.25">
      <c r="C13">
        <f t="shared" si="0"/>
        <v>480</v>
      </c>
      <c r="D13">
        <f t="shared" si="1"/>
        <v>2500</v>
      </c>
      <c r="E13">
        <f t="shared" si="2"/>
        <v>92.16</v>
      </c>
      <c r="F13" s="15">
        <f t="shared" si="3"/>
        <v>9.6404999999999994</v>
      </c>
      <c r="G13" s="9">
        <v>50</v>
      </c>
      <c r="H13" s="4">
        <v>9.6</v>
      </c>
      <c r="I13" s="4">
        <v>1.3149999999999999</v>
      </c>
      <c r="J13" s="4">
        <v>-50</v>
      </c>
      <c r="K13" s="4">
        <v>-9.1999999999999993</v>
      </c>
      <c r="L13" s="10">
        <v>1.3149999999999999</v>
      </c>
      <c r="M13" s="8">
        <v>50</v>
      </c>
      <c r="N13" s="4">
        <v>-9.4</v>
      </c>
      <c r="O13" s="4">
        <v>-1.466</v>
      </c>
      <c r="P13" s="4">
        <v>-50</v>
      </c>
      <c r="Q13" s="4">
        <v>10.6</v>
      </c>
      <c r="R13" s="10">
        <v>-1.4630000000000001</v>
      </c>
      <c r="T13" t="s">
        <v>83</v>
      </c>
      <c r="U13">
        <v>5.0000000000000001E-3</v>
      </c>
      <c r="V13">
        <f>H28*U13</f>
        <v>0.17899999999999999</v>
      </c>
      <c r="W13" t="s">
        <v>80</v>
      </c>
      <c r="X13" s="15">
        <f>ROUND(V13/SQRT(3),1)</f>
        <v>0.1</v>
      </c>
    </row>
    <row r="14" spans="3:108" x14ac:dyDescent="0.25">
      <c r="C14">
        <f t="shared" si="0"/>
        <v>690</v>
      </c>
      <c r="D14">
        <f t="shared" si="1"/>
        <v>3600</v>
      </c>
      <c r="E14">
        <f t="shared" si="2"/>
        <v>132.25</v>
      </c>
      <c r="F14" s="15">
        <f t="shared" si="3"/>
        <v>11.419499999999999</v>
      </c>
      <c r="G14" s="9">
        <v>60</v>
      </c>
      <c r="H14" s="4">
        <v>11.5</v>
      </c>
      <c r="I14" s="4">
        <v>1.3149999999999999</v>
      </c>
      <c r="J14" s="4">
        <v>-60</v>
      </c>
      <c r="K14" s="4">
        <v>-11.1</v>
      </c>
      <c r="L14" s="10">
        <v>1.3160000000000001</v>
      </c>
      <c r="M14" s="8">
        <v>60</v>
      </c>
      <c r="N14" s="4">
        <v>-11.6</v>
      </c>
      <c r="O14" s="4">
        <v>-1.4650000000000001</v>
      </c>
      <c r="P14" s="4">
        <v>-60</v>
      </c>
      <c r="Q14" s="4">
        <v>12.6</v>
      </c>
      <c r="R14" s="10">
        <v>-1.4630000000000001</v>
      </c>
      <c r="V14">
        <f>I28*U13</f>
        <v>6.6500000000000005E-3</v>
      </c>
      <c r="W14" t="s">
        <v>75</v>
      </c>
      <c r="X14">
        <f>ROUND(V14/SQRT(3),3)</f>
        <v>4.0000000000000001E-3</v>
      </c>
    </row>
    <row r="15" spans="3:108" x14ac:dyDescent="0.25">
      <c r="C15">
        <f t="shared" si="0"/>
        <v>938</v>
      </c>
      <c r="D15">
        <f t="shared" si="1"/>
        <v>4900</v>
      </c>
      <c r="E15">
        <f t="shared" si="2"/>
        <v>179.56</v>
      </c>
      <c r="F15" s="15">
        <f t="shared" si="3"/>
        <v>13.198499999999999</v>
      </c>
      <c r="G15" s="9">
        <v>70</v>
      </c>
      <c r="H15" s="4">
        <v>13.4</v>
      </c>
      <c r="I15" s="4">
        <v>1.3169999999999999</v>
      </c>
      <c r="J15" s="4">
        <v>-70</v>
      </c>
      <c r="K15" s="4">
        <v>-13</v>
      </c>
      <c r="L15" s="10">
        <v>1.3160000000000001</v>
      </c>
      <c r="M15" s="8">
        <v>70</v>
      </c>
      <c r="N15" s="4">
        <v>-13.6</v>
      </c>
      <c r="O15" s="4">
        <v>-1.4650000000000001</v>
      </c>
      <c r="P15" s="4">
        <v>-70</v>
      </c>
      <c r="Q15" s="4">
        <v>14.5</v>
      </c>
      <c r="R15" s="10">
        <v>-1.464</v>
      </c>
    </row>
    <row r="16" spans="3:108" x14ac:dyDescent="0.25">
      <c r="C16">
        <f t="shared" si="0"/>
        <v>1208</v>
      </c>
      <c r="D16">
        <f t="shared" si="1"/>
        <v>6400</v>
      </c>
      <c r="E16">
        <f t="shared" si="2"/>
        <v>228.01</v>
      </c>
      <c r="F16" s="15">
        <f t="shared" si="3"/>
        <v>14.977499999999999</v>
      </c>
      <c r="G16" s="9">
        <v>80</v>
      </c>
      <c r="H16" s="4">
        <v>15.1</v>
      </c>
      <c r="I16" s="4">
        <v>1.3169999999999999</v>
      </c>
      <c r="J16" s="4">
        <v>-80</v>
      </c>
      <c r="K16" s="4">
        <v>-14.8</v>
      </c>
      <c r="L16" s="10">
        <v>1.3169999999999999</v>
      </c>
      <c r="M16" s="8">
        <v>80</v>
      </c>
      <c r="N16" s="4">
        <v>-15.5</v>
      </c>
      <c r="O16" s="4">
        <v>-1.466</v>
      </c>
      <c r="P16" s="4">
        <v>-80</v>
      </c>
      <c r="Q16" s="4">
        <v>16.399999999999999</v>
      </c>
      <c r="R16" s="10">
        <v>-1.4650000000000001</v>
      </c>
    </row>
    <row r="17" spans="3:29" x14ac:dyDescent="0.25">
      <c r="C17">
        <f t="shared" si="0"/>
        <v>1530</v>
      </c>
      <c r="D17">
        <f t="shared" si="1"/>
        <v>8100</v>
      </c>
      <c r="E17">
        <f t="shared" si="2"/>
        <v>289</v>
      </c>
      <c r="F17" s="15">
        <f t="shared" si="3"/>
        <v>16.756499999999999</v>
      </c>
      <c r="G17" s="9">
        <v>90</v>
      </c>
      <c r="H17" s="4">
        <v>17</v>
      </c>
      <c r="I17" s="4">
        <v>1.3180000000000001</v>
      </c>
      <c r="J17" s="4">
        <v>-90</v>
      </c>
      <c r="K17" s="4">
        <v>-16.600000000000001</v>
      </c>
      <c r="L17" s="10">
        <v>1.3180000000000001</v>
      </c>
      <c r="M17" s="8">
        <v>90</v>
      </c>
      <c r="N17" s="4">
        <v>-17.399999999999999</v>
      </c>
      <c r="O17" s="4">
        <v>-1.466</v>
      </c>
      <c r="P17" s="4">
        <v>-90</v>
      </c>
      <c r="Q17" s="4">
        <v>18.5</v>
      </c>
      <c r="R17" s="10">
        <v>-1.466</v>
      </c>
    </row>
    <row r="18" spans="3:29" x14ac:dyDescent="0.25">
      <c r="C18">
        <f t="shared" si="0"/>
        <v>1860.0000000000002</v>
      </c>
      <c r="D18">
        <f t="shared" si="1"/>
        <v>10000</v>
      </c>
      <c r="E18">
        <f t="shared" si="2"/>
        <v>345.96000000000004</v>
      </c>
      <c r="F18" s="15">
        <f t="shared" si="3"/>
        <v>18.535499999999999</v>
      </c>
      <c r="G18" s="9">
        <v>100</v>
      </c>
      <c r="H18" s="4">
        <v>18.600000000000001</v>
      </c>
      <c r="I18" s="4">
        <v>1.3180000000000001</v>
      </c>
      <c r="J18" s="4">
        <v>-100</v>
      </c>
      <c r="K18" s="4">
        <v>-18.5</v>
      </c>
      <c r="L18" s="10">
        <v>1.319</v>
      </c>
      <c r="M18" s="8">
        <v>100</v>
      </c>
      <c r="N18" s="4">
        <v>-19.399999999999999</v>
      </c>
      <c r="O18" s="4">
        <v>-1.466</v>
      </c>
      <c r="P18" s="4">
        <v>-100</v>
      </c>
      <c r="Q18" s="4">
        <v>20.7</v>
      </c>
      <c r="R18" s="10">
        <v>-1.466</v>
      </c>
      <c r="U18" t="s">
        <v>58</v>
      </c>
      <c r="V18">
        <f>ROUND(U7/SQRT(3),4)</f>
        <v>0.57740000000000002</v>
      </c>
      <c r="W18" t="s">
        <v>8</v>
      </c>
    </row>
    <row r="19" spans="3:29" x14ac:dyDescent="0.25">
      <c r="C19">
        <f t="shared" si="0"/>
        <v>2255</v>
      </c>
      <c r="D19">
        <f t="shared" si="1"/>
        <v>12100</v>
      </c>
      <c r="E19">
        <f t="shared" si="2"/>
        <v>420.25</v>
      </c>
      <c r="F19" s="15">
        <f t="shared" si="3"/>
        <v>20.314499999999999</v>
      </c>
      <c r="G19" s="9">
        <v>110</v>
      </c>
      <c r="H19" s="4">
        <v>20.5</v>
      </c>
      <c r="I19" s="4">
        <v>1.319</v>
      </c>
      <c r="J19" s="4">
        <v>-110</v>
      </c>
      <c r="K19" s="4">
        <v>-20.2</v>
      </c>
      <c r="L19" s="10">
        <v>1.32</v>
      </c>
      <c r="M19" s="8">
        <v>110</v>
      </c>
      <c r="N19" s="4">
        <v>-21.6</v>
      </c>
      <c r="O19" s="4">
        <v>-1.4690000000000001</v>
      </c>
      <c r="P19" s="4">
        <v>-110</v>
      </c>
      <c r="Q19" s="4">
        <v>22.5</v>
      </c>
      <c r="R19" s="10">
        <v>-1.468</v>
      </c>
      <c r="U19" t="s">
        <v>59</v>
      </c>
      <c r="V19">
        <f>ROUND(W10/SQRT(3),4)</f>
        <v>2.3094000000000001</v>
      </c>
      <c r="W19" t="s">
        <v>45</v>
      </c>
    </row>
    <row r="20" spans="3:29" x14ac:dyDescent="0.25">
      <c r="C20">
        <f t="shared" si="0"/>
        <v>2676</v>
      </c>
      <c r="D20">
        <f t="shared" si="1"/>
        <v>14400</v>
      </c>
      <c r="E20">
        <f t="shared" si="2"/>
        <v>497.29</v>
      </c>
      <c r="F20" s="15">
        <f t="shared" si="3"/>
        <v>22.093499999999999</v>
      </c>
      <c r="G20" s="9">
        <v>120</v>
      </c>
      <c r="H20" s="4">
        <v>22.3</v>
      </c>
      <c r="I20" s="4">
        <v>1.32</v>
      </c>
      <c r="J20" s="4">
        <v>-120</v>
      </c>
      <c r="K20" s="4">
        <v>-21.9</v>
      </c>
      <c r="L20" s="10">
        <v>1.321</v>
      </c>
      <c r="M20" s="8">
        <v>120</v>
      </c>
      <c r="N20" s="4">
        <v>-23.6</v>
      </c>
      <c r="O20" s="4">
        <v>-1.4690000000000001</v>
      </c>
      <c r="P20" s="4">
        <v>-120</v>
      </c>
      <c r="Q20" s="4">
        <v>24.4</v>
      </c>
      <c r="R20" s="10">
        <v>-1.4690000000000001</v>
      </c>
      <c r="U20" s="17" t="s">
        <v>35</v>
      </c>
      <c r="V20" s="17">
        <f>H46</f>
        <v>0.36030000000000001</v>
      </c>
      <c r="W20" t="s">
        <v>47</v>
      </c>
    </row>
    <row r="21" spans="3:29" x14ac:dyDescent="0.25">
      <c r="C21">
        <f t="shared" si="0"/>
        <v>3120</v>
      </c>
      <c r="D21">
        <f t="shared" si="1"/>
        <v>16900</v>
      </c>
      <c r="E21">
        <f t="shared" si="2"/>
        <v>576</v>
      </c>
      <c r="F21" s="15">
        <f t="shared" si="3"/>
        <v>23.872499999999999</v>
      </c>
      <c r="G21" s="9">
        <v>130</v>
      </c>
      <c r="H21" s="4">
        <v>24</v>
      </c>
      <c r="I21" s="4">
        <v>1.321</v>
      </c>
      <c r="J21" s="4">
        <v>-130</v>
      </c>
      <c r="K21" s="4">
        <v>-23.8</v>
      </c>
      <c r="L21" s="10">
        <v>1.3220000000000001</v>
      </c>
      <c r="M21" s="8">
        <v>130</v>
      </c>
      <c r="N21" s="4">
        <v>-25.3</v>
      </c>
      <c r="O21" s="4">
        <v>-1.47</v>
      </c>
      <c r="P21" s="4">
        <v>-130</v>
      </c>
      <c r="Q21" s="4">
        <v>26.4</v>
      </c>
      <c r="R21" s="10">
        <v>-1.47</v>
      </c>
    </row>
    <row r="22" spans="3:29" x14ac:dyDescent="0.25">
      <c r="C22">
        <f t="shared" si="0"/>
        <v>3612</v>
      </c>
      <c r="D22">
        <f t="shared" si="1"/>
        <v>19600</v>
      </c>
      <c r="E22">
        <f t="shared" si="2"/>
        <v>665.64</v>
      </c>
      <c r="F22" s="15">
        <f t="shared" si="3"/>
        <v>25.651499999999999</v>
      </c>
      <c r="G22" s="9">
        <v>140</v>
      </c>
      <c r="H22" s="4">
        <v>25.8</v>
      </c>
      <c r="I22" s="4">
        <v>1.323</v>
      </c>
      <c r="J22" s="4">
        <v>-140</v>
      </c>
      <c r="K22" s="4">
        <v>-25.4</v>
      </c>
      <c r="L22" s="20">
        <v>1.333</v>
      </c>
      <c r="M22" s="8">
        <v>140</v>
      </c>
      <c r="N22" s="4">
        <v>-27.4</v>
      </c>
      <c r="O22" s="4">
        <v>-1.4710000000000001</v>
      </c>
      <c r="P22" s="4">
        <v>-140</v>
      </c>
      <c r="Q22" s="4">
        <v>28.3</v>
      </c>
      <c r="R22" s="10">
        <v>-1.4710000000000001</v>
      </c>
    </row>
    <row r="23" spans="3:29" x14ac:dyDescent="0.25">
      <c r="C23">
        <f t="shared" si="0"/>
        <v>4140</v>
      </c>
      <c r="D23">
        <f t="shared" si="1"/>
        <v>22500</v>
      </c>
      <c r="E23">
        <f t="shared" si="2"/>
        <v>761.7600000000001</v>
      </c>
      <c r="F23" s="15">
        <f t="shared" si="3"/>
        <v>27.430499999999999</v>
      </c>
      <c r="G23" s="9">
        <v>150</v>
      </c>
      <c r="H23" s="4">
        <v>27.6</v>
      </c>
      <c r="I23" s="4">
        <v>1.3240000000000001</v>
      </c>
      <c r="J23" s="4">
        <v>-150</v>
      </c>
      <c r="K23" s="4">
        <v>-27.2</v>
      </c>
      <c r="L23" s="20">
        <v>1.3340000000000001</v>
      </c>
      <c r="M23" s="8">
        <v>150</v>
      </c>
      <c r="N23" s="4">
        <v>-29.9</v>
      </c>
      <c r="O23" s="4">
        <v>-1.472</v>
      </c>
      <c r="P23" s="4">
        <v>-150</v>
      </c>
      <c r="Q23" s="4">
        <v>30.2</v>
      </c>
      <c r="R23" s="10">
        <v>-1.4730000000000001</v>
      </c>
      <c r="U23" t="s">
        <v>57</v>
      </c>
      <c r="V23" t="s">
        <v>63</v>
      </c>
      <c r="W23" t="s">
        <v>64</v>
      </c>
    </row>
    <row r="24" spans="3:29" x14ac:dyDescent="0.25">
      <c r="C24">
        <f t="shared" si="0"/>
        <v>4688</v>
      </c>
      <c r="D24">
        <f t="shared" si="1"/>
        <v>25600</v>
      </c>
      <c r="E24">
        <f t="shared" si="2"/>
        <v>858.49</v>
      </c>
      <c r="F24" s="15">
        <f t="shared" si="3"/>
        <v>29.209499999999998</v>
      </c>
      <c r="G24" s="9">
        <v>160</v>
      </c>
      <c r="H24" s="4">
        <v>29.3</v>
      </c>
      <c r="I24" s="4">
        <v>1.325</v>
      </c>
      <c r="J24" s="4">
        <v>-160</v>
      </c>
      <c r="K24" s="4">
        <v>-28.9</v>
      </c>
      <c r="L24" s="20">
        <v>1.3360000000000001</v>
      </c>
      <c r="M24" s="8">
        <v>160</v>
      </c>
      <c r="N24" s="4">
        <v>-31.3</v>
      </c>
      <c r="O24" s="4">
        <v>-1.474</v>
      </c>
      <c r="P24" s="4">
        <v>-160</v>
      </c>
      <c r="Q24" s="4">
        <v>32.299999999999997</v>
      </c>
      <c r="R24" s="10">
        <v>-1.474</v>
      </c>
      <c r="U24" s="16" t="s">
        <v>60</v>
      </c>
      <c r="V24" s="16" t="s">
        <v>61</v>
      </c>
      <c r="W24" s="16" t="s">
        <v>62</v>
      </c>
    </row>
    <row r="25" spans="3:29" x14ac:dyDescent="0.25">
      <c r="C25">
        <f t="shared" si="0"/>
        <v>5270</v>
      </c>
      <c r="D25">
        <f t="shared" si="1"/>
        <v>28900</v>
      </c>
      <c r="E25">
        <f t="shared" si="2"/>
        <v>961</v>
      </c>
      <c r="F25" s="15">
        <f t="shared" si="3"/>
        <v>30.988500000000002</v>
      </c>
      <c r="G25" s="9">
        <v>170</v>
      </c>
      <c r="H25" s="4">
        <v>31</v>
      </c>
      <c r="I25" s="4">
        <v>1.3260000000000001</v>
      </c>
      <c r="J25" s="4">
        <v>-170</v>
      </c>
      <c r="K25" s="4">
        <v>-30.8</v>
      </c>
      <c r="L25" s="20">
        <v>1.337</v>
      </c>
      <c r="M25" s="8">
        <v>170</v>
      </c>
      <c r="N25" s="4">
        <v>-33.299999999999997</v>
      </c>
      <c r="O25" s="4">
        <v>-1.4750000000000001</v>
      </c>
      <c r="P25" s="4">
        <v>-170</v>
      </c>
      <c r="Q25" s="4">
        <v>34.200000000000003</v>
      </c>
      <c r="R25" s="10">
        <v>-1.476</v>
      </c>
      <c r="U25" s="16">
        <f>ROUND(SQRT((X13/H28)*(X13/H28)+(V19/G28)*(V19/G28)+(V18/H5)*(V18/H5)),4)</f>
        <v>2.2599999999999999E-2</v>
      </c>
      <c r="V25" s="16">
        <f>ROUND(U25*K59,4)</f>
        <v>2.36436298202665E+16</v>
      </c>
      <c r="W25" s="16">
        <f>2*V25</f>
        <v>4.7287259640533E+16</v>
      </c>
    </row>
    <row r="26" spans="3:29" x14ac:dyDescent="0.25">
      <c r="C26">
        <f t="shared" si="0"/>
        <v>5868</v>
      </c>
      <c r="D26">
        <f t="shared" si="1"/>
        <v>32400</v>
      </c>
      <c r="E26">
        <f t="shared" si="2"/>
        <v>1062.76</v>
      </c>
      <c r="F26" s="15">
        <f t="shared" si="3"/>
        <v>32.767499999999998</v>
      </c>
      <c r="G26" s="9">
        <v>180</v>
      </c>
      <c r="H26" s="4">
        <v>32.6</v>
      </c>
      <c r="I26" s="4">
        <v>1.3280000000000001</v>
      </c>
      <c r="J26" s="4">
        <v>-180</v>
      </c>
      <c r="K26" s="4">
        <v>-32.4</v>
      </c>
      <c r="L26" s="20">
        <v>1.339</v>
      </c>
      <c r="M26" s="8">
        <v>180</v>
      </c>
      <c r="N26" s="4">
        <v>-35</v>
      </c>
      <c r="O26" s="4">
        <v>-1.476</v>
      </c>
      <c r="P26" s="4">
        <v>-180</v>
      </c>
      <c r="Q26" s="4">
        <v>36</v>
      </c>
      <c r="R26" s="10">
        <v>-1.4770000000000001</v>
      </c>
    </row>
    <row r="27" spans="3:29" x14ac:dyDescent="0.25">
      <c r="C27">
        <f t="shared" si="0"/>
        <v>6536</v>
      </c>
      <c r="D27">
        <f t="shared" si="1"/>
        <v>36100</v>
      </c>
      <c r="E27">
        <f t="shared" si="2"/>
        <v>1183.3599999999999</v>
      </c>
      <c r="F27" s="15">
        <f t="shared" si="3"/>
        <v>34.546500000000002</v>
      </c>
      <c r="G27" s="9">
        <v>190</v>
      </c>
      <c r="H27" s="4">
        <v>34.4</v>
      </c>
      <c r="I27" s="4">
        <v>1.329</v>
      </c>
      <c r="J27" s="4">
        <v>-190</v>
      </c>
      <c r="K27" s="4">
        <v>-34</v>
      </c>
      <c r="L27" s="20">
        <v>1.34</v>
      </c>
      <c r="M27" s="8">
        <v>190</v>
      </c>
      <c r="N27" s="4">
        <v>-36.799999999999997</v>
      </c>
      <c r="O27" s="4">
        <v>-1.478</v>
      </c>
      <c r="P27" s="4">
        <v>-190</v>
      </c>
      <c r="Q27" s="4">
        <v>37.700000000000003</v>
      </c>
      <c r="R27" s="10">
        <v>-1.4790000000000001</v>
      </c>
    </row>
    <row r="28" spans="3:29" ht="15.75" thickBot="1" x14ac:dyDescent="0.3">
      <c r="C28">
        <f t="shared" si="0"/>
        <v>7159.9999999999991</v>
      </c>
      <c r="D28">
        <f t="shared" si="1"/>
        <v>40000</v>
      </c>
      <c r="E28">
        <f t="shared" si="2"/>
        <v>1281.6399999999999</v>
      </c>
      <c r="F28" s="15">
        <f t="shared" si="3"/>
        <v>36.325499999999998</v>
      </c>
      <c r="G28" s="11">
        <v>200</v>
      </c>
      <c r="H28" s="12">
        <v>35.799999999999997</v>
      </c>
      <c r="I28" s="12">
        <v>1.33</v>
      </c>
      <c r="J28" s="12">
        <v>-200</v>
      </c>
      <c r="K28" s="12">
        <v>-36</v>
      </c>
      <c r="L28" s="21">
        <v>1.3420000000000001</v>
      </c>
      <c r="M28" s="14">
        <v>200</v>
      </c>
      <c r="N28" s="12">
        <v>-38.700000000000003</v>
      </c>
      <c r="O28" s="12">
        <v>-1.48</v>
      </c>
      <c r="P28" s="12">
        <v>-200</v>
      </c>
      <c r="Q28" s="12">
        <v>39.6</v>
      </c>
      <c r="R28" s="13">
        <v>-1.4810000000000001</v>
      </c>
      <c r="U28" s="16" t="s">
        <v>65</v>
      </c>
      <c r="V28" t="s">
        <v>67</v>
      </c>
    </row>
    <row r="29" spans="3:29" x14ac:dyDescent="0.25">
      <c r="U29" s="16" t="s">
        <v>66</v>
      </c>
      <c r="V29" t="s">
        <v>44</v>
      </c>
      <c r="W29">
        <v>30</v>
      </c>
      <c r="X29" t="s">
        <v>8</v>
      </c>
      <c r="AA29" t="s">
        <v>44</v>
      </c>
      <c r="AB29">
        <f>30/1000</f>
        <v>0.03</v>
      </c>
      <c r="AC29" t="s">
        <v>53</v>
      </c>
    </row>
    <row r="30" spans="3:29" x14ac:dyDescent="0.25">
      <c r="U30" s="18">
        <f>SUM(I8:I28)/21</f>
        <v>1.3199999999999998</v>
      </c>
      <c r="V30" t="s">
        <v>68</v>
      </c>
      <c r="W30">
        <v>1.32</v>
      </c>
      <c r="X30" t="s">
        <v>47</v>
      </c>
      <c r="AA30" t="s">
        <v>68</v>
      </c>
      <c r="AB30">
        <v>1.32</v>
      </c>
      <c r="AC30" t="s">
        <v>47</v>
      </c>
    </row>
    <row r="31" spans="3:29" x14ac:dyDescent="0.25">
      <c r="F31" t="s">
        <v>31</v>
      </c>
      <c r="V31" t="s">
        <v>69</v>
      </c>
      <c r="W31">
        <v>20</v>
      </c>
      <c r="X31" t="s">
        <v>10</v>
      </c>
      <c r="AA31" t="s">
        <v>69</v>
      </c>
      <c r="AB31">
        <f>20/1000</f>
        <v>0.02</v>
      </c>
      <c r="AC31" t="s">
        <v>55</v>
      </c>
    </row>
    <row r="32" spans="3:29" x14ac:dyDescent="0.25">
      <c r="G32" t="s">
        <v>17</v>
      </c>
      <c r="V32" t="s">
        <v>26</v>
      </c>
      <c r="W32">
        <v>10</v>
      </c>
      <c r="X32" t="s">
        <v>10</v>
      </c>
      <c r="AA32" t="s">
        <v>26</v>
      </c>
      <c r="AB32">
        <f>10/1000</f>
        <v>0.01</v>
      </c>
      <c r="AC32" t="s">
        <v>55</v>
      </c>
    </row>
    <row r="33" spans="5:29" x14ac:dyDescent="0.25"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O33" t="s">
        <v>29</v>
      </c>
      <c r="P33" t="s">
        <v>30</v>
      </c>
      <c r="Q33" s="4" t="s">
        <v>1</v>
      </c>
      <c r="R33">
        <v>4</v>
      </c>
      <c r="V33" t="s">
        <v>49</v>
      </c>
      <c r="W33">
        <v>1</v>
      </c>
      <c r="X33" t="s">
        <v>10</v>
      </c>
      <c r="AA33" t="s">
        <v>49</v>
      </c>
      <c r="AB33">
        <f>1/1000</f>
        <v>1E-3</v>
      </c>
      <c r="AC33" t="s">
        <v>55</v>
      </c>
    </row>
    <row r="34" spans="5:29" x14ac:dyDescent="0.25">
      <c r="F34" t="s">
        <v>18</v>
      </c>
      <c r="G34">
        <f>SUM(G8:G28)</f>
        <v>2100</v>
      </c>
      <c r="H34">
        <f>SUM(H8:H28)</f>
        <v>388.50000000000006</v>
      </c>
      <c r="I34">
        <f>SUM(D8:D28)</f>
        <v>287000</v>
      </c>
      <c r="J34">
        <f>SUM(E8:E28)</f>
        <v>9651.23</v>
      </c>
      <c r="K34">
        <f>SUM(C8:C28)</f>
        <v>52621</v>
      </c>
      <c r="L34">
        <v>20</v>
      </c>
      <c r="O34" s="9">
        <v>0</v>
      </c>
      <c r="P34">
        <f>ROUND($G$37*O34+$H$37,1)</f>
        <v>0.7</v>
      </c>
      <c r="Q34" s="4">
        <v>0.2</v>
      </c>
      <c r="R34">
        <f>$G$28*G37+H37</f>
        <v>36.325499999999998</v>
      </c>
      <c r="V34" t="s">
        <v>48</v>
      </c>
      <c r="W34">
        <f>1.602*(10^(-19))</f>
        <v>1.602E-19</v>
      </c>
      <c r="X34" t="s">
        <v>50</v>
      </c>
      <c r="AA34" t="s">
        <v>48</v>
      </c>
      <c r="AB34">
        <f>1.602*(10^(-19))</f>
        <v>1.602E-19</v>
      </c>
      <c r="AC34" t="s">
        <v>50</v>
      </c>
    </row>
    <row r="35" spans="5:29" x14ac:dyDescent="0.25">
      <c r="O35" s="9">
        <v>10</v>
      </c>
      <c r="P35">
        <f t="shared" ref="P35:P54" si="4">ROUND($G$37*O35+$H$37,1)</f>
        <v>2.5</v>
      </c>
      <c r="Q35">
        <v>2.1</v>
      </c>
      <c r="V35" t="s">
        <v>24</v>
      </c>
      <c r="W35">
        <v>1.046178310631264E+18</v>
      </c>
      <c r="X35" t="s">
        <v>56</v>
      </c>
      <c r="AA35" t="s">
        <v>24</v>
      </c>
      <c r="AB35">
        <v>1.046178310631264E+18</v>
      </c>
      <c r="AC35" t="s">
        <v>56</v>
      </c>
    </row>
    <row r="36" spans="5:29" x14ac:dyDescent="0.25">
      <c r="G36" s="16" t="s">
        <v>25</v>
      </c>
      <c r="H36" s="16" t="s">
        <v>26</v>
      </c>
      <c r="O36" s="9">
        <v>20</v>
      </c>
      <c r="P36">
        <f t="shared" si="4"/>
        <v>4.3</v>
      </c>
      <c r="Q36" s="4">
        <v>4</v>
      </c>
      <c r="V36" t="s">
        <v>40</v>
      </c>
      <c r="W36">
        <v>35.799999999999997</v>
      </c>
      <c r="X36" t="s">
        <v>47</v>
      </c>
      <c r="AA36" t="s">
        <v>40</v>
      </c>
      <c r="AB36">
        <v>35.799999999999997</v>
      </c>
      <c r="AC36" t="s">
        <v>47</v>
      </c>
    </row>
    <row r="37" spans="5:29" x14ac:dyDescent="0.25">
      <c r="G37" s="16">
        <f>ROUND((G34*H34-L34*K34)/(G34*G34-L34*I34),4)</f>
        <v>0.1779</v>
      </c>
      <c r="H37" s="16">
        <f>ROUND((H34-G37*G34)/(L34),4)</f>
        <v>0.74550000000000005</v>
      </c>
      <c r="J37" t="s">
        <v>33</v>
      </c>
      <c r="K37" t="s">
        <v>40</v>
      </c>
      <c r="O37" s="9">
        <v>30</v>
      </c>
      <c r="P37">
        <f t="shared" si="4"/>
        <v>6.1</v>
      </c>
      <c r="Q37" s="4">
        <v>5.9</v>
      </c>
      <c r="V37" t="s">
        <v>33</v>
      </c>
      <c r="W37">
        <v>200</v>
      </c>
      <c r="X37" t="s">
        <v>45</v>
      </c>
      <c r="AA37" t="s">
        <v>33</v>
      </c>
      <c r="AB37">
        <f>200/1000</f>
        <v>0.2</v>
      </c>
      <c r="AC37" t="s">
        <v>54</v>
      </c>
    </row>
    <row r="38" spans="5:29" x14ac:dyDescent="0.25">
      <c r="G38" s="16"/>
      <c r="H38" s="16"/>
      <c r="J38">
        <v>10</v>
      </c>
      <c r="K38">
        <f>ROUND($G$37*J38+$H$37,1)</f>
        <v>2.5</v>
      </c>
      <c r="O38" s="9">
        <v>40</v>
      </c>
      <c r="P38">
        <f t="shared" si="4"/>
        <v>7.9</v>
      </c>
      <c r="Q38" s="4">
        <v>7.8</v>
      </c>
    </row>
    <row r="39" spans="5:29" x14ac:dyDescent="0.25">
      <c r="G39" s="16" t="s">
        <v>36</v>
      </c>
      <c r="H39" s="16" t="s">
        <v>37</v>
      </c>
      <c r="J39">
        <v>200</v>
      </c>
      <c r="K39">
        <f>ROUND($G$37*J39+$H$37,1)</f>
        <v>36.299999999999997</v>
      </c>
      <c r="O39" s="9">
        <v>50</v>
      </c>
      <c r="P39">
        <f t="shared" si="4"/>
        <v>9.6</v>
      </c>
      <c r="Q39" s="4">
        <v>9.6</v>
      </c>
      <c r="AA39" s="16" t="s">
        <v>70</v>
      </c>
      <c r="AB39" s="16">
        <f>ROUND((AB36*AB31)/(AB30*AB32*AB37),4)</f>
        <v>271.21210000000002</v>
      </c>
      <c r="AC39" s="16" t="s">
        <v>71</v>
      </c>
    </row>
    <row r="40" spans="5:29" x14ac:dyDescent="0.25">
      <c r="G40" s="16">
        <f>ROUND(SQRT((L34*(J34-G37*K34-H37*H34))/(18*(L34*I34-G34*G34))),4)</f>
        <v>5.0000000000000001E-4</v>
      </c>
      <c r="H40" s="16">
        <f>ROUND(G40*SQRT(I34/L34),4)</f>
        <v>5.9900000000000002E-2</v>
      </c>
      <c r="O40" s="9">
        <v>60</v>
      </c>
      <c r="P40">
        <f t="shared" si="4"/>
        <v>11.4</v>
      </c>
      <c r="Q40" s="4">
        <v>11.5</v>
      </c>
    </row>
    <row r="41" spans="5:29" x14ac:dyDescent="0.25">
      <c r="O41" s="9">
        <v>70</v>
      </c>
      <c r="P41">
        <f t="shared" si="4"/>
        <v>13.2</v>
      </c>
      <c r="Q41" s="4">
        <v>13.4</v>
      </c>
    </row>
    <row r="42" spans="5:29" x14ac:dyDescent="0.25">
      <c r="O42" s="9">
        <v>80</v>
      </c>
      <c r="P42">
        <f t="shared" si="4"/>
        <v>15</v>
      </c>
      <c r="Q42" s="4">
        <v>15.1</v>
      </c>
      <c r="U42" s="16" t="s">
        <v>72</v>
      </c>
      <c r="V42" s="16" t="s">
        <v>76</v>
      </c>
      <c r="W42" s="16" t="s">
        <v>78</v>
      </c>
    </row>
    <row r="43" spans="5:29" x14ac:dyDescent="0.25">
      <c r="O43" s="9">
        <v>90</v>
      </c>
      <c r="P43">
        <f t="shared" si="4"/>
        <v>16.8</v>
      </c>
      <c r="Q43" s="4">
        <v>17</v>
      </c>
      <c r="U43" s="16" t="s">
        <v>73</v>
      </c>
      <c r="V43" s="16" t="s">
        <v>77</v>
      </c>
      <c r="W43" s="16" t="s">
        <v>79</v>
      </c>
    </row>
    <row r="44" spans="5:29" x14ac:dyDescent="0.25">
      <c r="F44" s="16" t="s">
        <v>32</v>
      </c>
      <c r="H44" s="16" t="s">
        <v>34</v>
      </c>
      <c r="I44" s="16" t="s">
        <v>38</v>
      </c>
      <c r="J44" s="16" t="s">
        <v>41</v>
      </c>
      <c r="O44" s="9">
        <v>100</v>
      </c>
      <c r="P44">
        <f t="shared" si="4"/>
        <v>18.5</v>
      </c>
      <c r="Q44" s="4">
        <v>18.600000000000001</v>
      </c>
      <c r="U44" s="16">
        <f>ROUND(SQRT((V20/H28)*(V20/H28)+(X14/I28)*(X14/I28)+(V19/G28)*(V19/G28)),4)</f>
        <v>1.5599999999999999E-2</v>
      </c>
      <c r="V44" s="16">
        <f>ROUND(U44*AB39,4)</f>
        <v>4.2309000000000001</v>
      </c>
      <c r="W44" s="16">
        <f>2*V44</f>
        <v>8.4618000000000002</v>
      </c>
    </row>
    <row r="45" spans="5:29" x14ac:dyDescent="0.25">
      <c r="F45" s="16" t="s">
        <v>33</v>
      </c>
      <c r="H45" s="16" t="s">
        <v>35</v>
      </c>
      <c r="I45" s="16" t="s">
        <v>39</v>
      </c>
      <c r="J45" s="16" t="s">
        <v>42</v>
      </c>
      <c r="O45" s="9">
        <v>110</v>
      </c>
      <c r="P45">
        <f t="shared" si="4"/>
        <v>20.3</v>
      </c>
      <c r="Q45" s="4">
        <v>20.5</v>
      </c>
    </row>
    <row r="46" spans="5:29" x14ac:dyDescent="0.25">
      <c r="F46" s="16">
        <v>200</v>
      </c>
      <c r="H46" s="16">
        <f>ROUND(SQRT(F46*F46*G40*G40+H40+H40),4)</f>
        <v>0.36030000000000001</v>
      </c>
      <c r="I46" s="16">
        <f>ROUND(H46/F47,4)</f>
        <v>9.9000000000000008E-3</v>
      </c>
      <c r="J46" s="16">
        <f>ROUND(2*H46,4)</f>
        <v>0.72060000000000002</v>
      </c>
      <c r="O46" s="9">
        <v>120</v>
      </c>
      <c r="P46">
        <f t="shared" si="4"/>
        <v>22.1</v>
      </c>
      <c r="Q46" s="4">
        <v>22.3</v>
      </c>
    </row>
    <row r="47" spans="5:29" x14ac:dyDescent="0.25">
      <c r="E47" t="s">
        <v>40</v>
      </c>
      <c r="F47" s="16">
        <f>ROUND(F46*G37+H37,1)</f>
        <v>36.299999999999997</v>
      </c>
      <c r="O47" s="9">
        <v>130</v>
      </c>
      <c r="P47">
        <f t="shared" si="4"/>
        <v>23.9</v>
      </c>
      <c r="Q47" s="4">
        <v>24</v>
      </c>
    </row>
    <row r="48" spans="5:29" x14ac:dyDescent="0.25">
      <c r="O48" s="9">
        <v>140</v>
      </c>
      <c r="P48">
        <f t="shared" si="4"/>
        <v>25.7</v>
      </c>
      <c r="Q48" s="4">
        <v>25.8</v>
      </c>
      <c r="W48" s="22">
        <f>0.1/35.8</f>
        <v>2.7932960893854754E-3</v>
      </c>
      <c r="X48">
        <f>2.309/200</f>
        <v>1.1545000000000001E-2</v>
      </c>
      <c r="Y48">
        <f>0.5774/30</f>
        <v>1.9246666666666669E-2</v>
      </c>
    </row>
    <row r="49" spans="6:27" x14ac:dyDescent="0.25">
      <c r="O49" s="9">
        <v>150</v>
      </c>
      <c r="P49">
        <f t="shared" si="4"/>
        <v>27.4</v>
      </c>
      <c r="Q49" s="4">
        <v>27.6</v>
      </c>
    </row>
    <row r="50" spans="6:27" x14ac:dyDescent="0.25">
      <c r="O50" s="9">
        <v>160</v>
      </c>
      <c r="P50">
        <f t="shared" si="4"/>
        <v>29.2</v>
      </c>
      <c r="Q50" s="4">
        <v>29.3</v>
      </c>
      <c r="T50">
        <f>H40*H40</f>
        <v>3.5880100000000004E-3</v>
      </c>
      <c r="W50">
        <f>V20/H28</f>
        <v>1.0064245810055867E-2</v>
      </c>
      <c r="X50">
        <f>X14/I28</f>
        <v>3.0075187969924809E-3</v>
      </c>
      <c r="Y50">
        <f>V19/G28</f>
        <v>1.1547E-2</v>
      </c>
    </row>
    <row r="51" spans="6:27" x14ac:dyDescent="0.25">
      <c r="F51" t="s">
        <v>43</v>
      </c>
      <c r="O51" s="9">
        <v>170</v>
      </c>
      <c r="P51">
        <f t="shared" si="4"/>
        <v>31</v>
      </c>
      <c r="Q51" s="4">
        <v>31</v>
      </c>
      <c r="T51">
        <f>G40*G40*G28*G28</f>
        <v>9.9999999999999985E-3</v>
      </c>
    </row>
    <row r="52" spans="6:27" x14ac:dyDescent="0.25">
      <c r="F52" t="s">
        <v>44</v>
      </c>
      <c r="G52">
        <v>30</v>
      </c>
      <c r="H52" t="s">
        <v>8</v>
      </c>
      <c r="J52" t="s">
        <v>44</v>
      </c>
      <c r="K52">
        <f>30/1000</f>
        <v>0.03</v>
      </c>
      <c r="L52" t="s">
        <v>53</v>
      </c>
      <c r="O52" s="9">
        <v>180</v>
      </c>
      <c r="P52">
        <f t="shared" si="4"/>
        <v>32.799999999999997</v>
      </c>
      <c r="Q52" s="4">
        <v>32.6</v>
      </c>
    </row>
    <row r="53" spans="6:27" x14ac:dyDescent="0.25">
      <c r="F53" t="s">
        <v>33</v>
      </c>
      <c r="G53">
        <v>200</v>
      </c>
      <c r="H53" t="s">
        <v>45</v>
      </c>
      <c r="J53" t="s">
        <v>33</v>
      </c>
      <c r="K53">
        <f>200/1000</f>
        <v>0.2</v>
      </c>
      <c r="L53" t="s">
        <v>54</v>
      </c>
      <c r="O53" s="9">
        <v>190</v>
      </c>
      <c r="P53">
        <f t="shared" si="4"/>
        <v>34.5</v>
      </c>
      <c r="Q53" s="4">
        <v>34.4</v>
      </c>
    </row>
    <row r="54" spans="6:27" ht="15.75" thickBot="1" x14ac:dyDescent="0.3">
      <c r="F54" t="s">
        <v>46</v>
      </c>
      <c r="G54">
        <f>35.8*1000</f>
        <v>35800</v>
      </c>
      <c r="H54" t="s">
        <v>51</v>
      </c>
      <c r="J54" t="s">
        <v>46</v>
      </c>
      <c r="K54">
        <v>35.799999999999997</v>
      </c>
      <c r="L54" t="s">
        <v>47</v>
      </c>
      <c r="O54" s="11">
        <v>200</v>
      </c>
      <c r="P54">
        <f t="shared" si="4"/>
        <v>36.299999999999997</v>
      </c>
      <c r="Q54" s="12">
        <v>35.799999999999997</v>
      </c>
    </row>
    <row r="55" spans="6:27" x14ac:dyDescent="0.25">
      <c r="F55" t="s">
        <v>48</v>
      </c>
      <c r="G55">
        <f>(1.602*(10^(-19)))*1000</f>
        <v>1.6019999999999999E-16</v>
      </c>
      <c r="H55" t="s">
        <v>52</v>
      </c>
      <c r="J55" t="s">
        <v>48</v>
      </c>
      <c r="K55">
        <f>1.602*(10^(-19))</f>
        <v>1.602E-19</v>
      </c>
      <c r="L55" t="s">
        <v>50</v>
      </c>
    </row>
    <row r="56" spans="6:27" x14ac:dyDescent="0.25">
      <c r="F56" t="s">
        <v>49</v>
      </c>
      <c r="G56">
        <v>1</v>
      </c>
      <c r="H56" t="s">
        <v>10</v>
      </c>
      <c r="J56" t="s">
        <v>49</v>
      </c>
      <c r="K56">
        <f>1/1000</f>
        <v>1E-3</v>
      </c>
      <c r="L56" t="s">
        <v>55</v>
      </c>
    </row>
    <row r="57" spans="6:27" x14ac:dyDescent="0.25">
      <c r="U57" s="16" t="s">
        <v>35</v>
      </c>
      <c r="V57" s="16" t="s">
        <v>39</v>
      </c>
      <c r="W57" s="16" t="s">
        <v>42</v>
      </c>
      <c r="AA57" t="s">
        <v>81</v>
      </c>
    </row>
    <row r="58" spans="6:27" x14ac:dyDescent="0.25">
      <c r="U58" s="16">
        <v>0.36030000000000001</v>
      </c>
      <c r="V58" s="16">
        <v>9.9000000000000008E-3</v>
      </c>
      <c r="W58" s="16">
        <v>0.72060000000000002</v>
      </c>
      <c r="AA58">
        <v>0.05</v>
      </c>
    </row>
    <row r="59" spans="6:27" x14ac:dyDescent="0.25">
      <c r="F59" t="s">
        <v>24</v>
      </c>
      <c r="G59">
        <f>(G53*G52)/(G55*G56*G54)</f>
        <v>1046178310631264.1</v>
      </c>
      <c r="J59" s="16" t="s">
        <v>24</v>
      </c>
      <c r="K59" s="16">
        <f>ROUND((K53*K52)/(K55*K56*K54),4)</f>
        <v>1.04617831063126E+18</v>
      </c>
      <c r="L59" s="16" t="s">
        <v>56</v>
      </c>
      <c r="S59" t="s">
        <v>17</v>
      </c>
    </row>
    <row r="60" spans="6:27" x14ac:dyDescent="0.25">
      <c r="R60" t="s">
        <v>59</v>
      </c>
      <c r="S60" s="9" t="s">
        <v>0</v>
      </c>
      <c r="T60" s="4" t="s">
        <v>1</v>
      </c>
      <c r="U60" t="s">
        <v>82</v>
      </c>
    </row>
    <row r="61" spans="6:27" x14ac:dyDescent="0.25">
      <c r="R61">
        <f>S61*0.02</f>
        <v>0</v>
      </c>
      <c r="S61" s="9">
        <v>0</v>
      </c>
      <c r="T61" s="4">
        <v>0.2</v>
      </c>
      <c r="U61" s="15">
        <f>T61*$AA$58</f>
        <v>1.0000000000000002E-2</v>
      </c>
    </row>
    <row r="62" spans="6:27" x14ac:dyDescent="0.25">
      <c r="R62">
        <f t="shared" ref="R62:R81" si="5">S62*0.02</f>
        <v>0.2</v>
      </c>
      <c r="S62" s="9">
        <v>10</v>
      </c>
      <c r="T62">
        <v>2.1</v>
      </c>
      <c r="U62" s="15">
        <f t="shared" ref="U62:U81" si="6">T62*$AA$58</f>
        <v>0.10500000000000001</v>
      </c>
    </row>
    <row r="63" spans="6:27" x14ac:dyDescent="0.25">
      <c r="R63">
        <f t="shared" si="5"/>
        <v>0.4</v>
      </c>
      <c r="S63" s="9">
        <v>20</v>
      </c>
      <c r="T63" s="4">
        <v>4</v>
      </c>
      <c r="U63" s="15">
        <f t="shared" si="6"/>
        <v>0.2</v>
      </c>
    </row>
    <row r="64" spans="6:27" x14ac:dyDescent="0.25">
      <c r="R64">
        <f t="shared" si="5"/>
        <v>0.6</v>
      </c>
      <c r="S64" s="9">
        <v>30</v>
      </c>
      <c r="T64" s="4">
        <v>5.9</v>
      </c>
      <c r="U64" s="15">
        <f t="shared" si="6"/>
        <v>0.29500000000000004</v>
      </c>
    </row>
    <row r="65" spans="18:21" x14ac:dyDescent="0.25">
      <c r="R65">
        <f t="shared" si="5"/>
        <v>0.8</v>
      </c>
      <c r="S65" s="9">
        <v>40</v>
      </c>
      <c r="T65" s="4">
        <v>7.8</v>
      </c>
      <c r="U65" s="15">
        <f t="shared" si="6"/>
        <v>0.39</v>
      </c>
    </row>
    <row r="66" spans="18:21" x14ac:dyDescent="0.25">
      <c r="R66">
        <f t="shared" si="5"/>
        <v>1</v>
      </c>
      <c r="S66" s="9">
        <v>50</v>
      </c>
      <c r="T66" s="4">
        <v>9.6</v>
      </c>
      <c r="U66" s="15">
        <f t="shared" si="6"/>
        <v>0.48</v>
      </c>
    </row>
    <row r="67" spans="18:21" x14ac:dyDescent="0.25">
      <c r="R67">
        <f t="shared" si="5"/>
        <v>1.2</v>
      </c>
      <c r="S67" s="9">
        <v>60</v>
      </c>
      <c r="T67" s="4">
        <v>11.5</v>
      </c>
      <c r="U67" s="15">
        <f t="shared" si="6"/>
        <v>0.57500000000000007</v>
      </c>
    </row>
    <row r="68" spans="18:21" x14ac:dyDescent="0.25">
      <c r="R68">
        <f t="shared" si="5"/>
        <v>1.4000000000000001</v>
      </c>
      <c r="S68" s="9">
        <v>70</v>
      </c>
      <c r="T68" s="4">
        <v>13.4</v>
      </c>
      <c r="U68" s="15">
        <f t="shared" si="6"/>
        <v>0.67</v>
      </c>
    </row>
    <row r="69" spans="18:21" x14ac:dyDescent="0.25">
      <c r="R69">
        <f t="shared" si="5"/>
        <v>1.6</v>
      </c>
      <c r="S69" s="9">
        <v>80</v>
      </c>
      <c r="T69" s="4">
        <v>15.1</v>
      </c>
      <c r="U69" s="15">
        <f t="shared" si="6"/>
        <v>0.755</v>
      </c>
    </row>
    <row r="70" spans="18:21" x14ac:dyDescent="0.25">
      <c r="R70">
        <f t="shared" si="5"/>
        <v>1.8</v>
      </c>
      <c r="S70" s="9">
        <v>90</v>
      </c>
      <c r="T70" s="4">
        <v>17</v>
      </c>
      <c r="U70" s="15">
        <f t="shared" si="6"/>
        <v>0.85000000000000009</v>
      </c>
    </row>
    <row r="71" spans="18:21" x14ac:dyDescent="0.25">
      <c r="R71">
        <f t="shared" si="5"/>
        <v>2</v>
      </c>
      <c r="S71" s="9">
        <v>100</v>
      </c>
      <c r="T71" s="4">
        <v>18.600000000000001</v>
      </c>
      <c r="U71" s="15">
        <f t="shared" si="6"/>
        <v>0.93000000000000016</v>
      </c>
    </row>
    <row r="72" spans="18:21" x14ac:dyDescent="0.25">
      <c r="R72">
        <f t="shared" si="5"/>
        <v>2.2000000000000002</v>
      </c>
      <c r="S72" s="9">
        <v>110</v>
      </c>
      <c r="T72" s="4">
        <v>20.5</v>
      </c>
      <c r="U72" s="15">
        <f t="shared" si="6"/>
        <v>1.0250000000000001</v>
      </c>
    </row>
    <row r="73" spans="18:21" x14ac:dyDescent="0.25">
      <c r="R73">
        <f t="shared" si="5"/>
        <v>2.4</v>
      </c>
      <c r="S73" s="9">
        <v>120</v>
      </c>
      <c r="T73" s="4">
        <v>22.3</v>
      </c>
      <c r="U73" s="15">
        <f t="shared" si="6"/>
        <v>1.115</v>
      </c>
    </row>
    <row r="74" spans="18:21" x14ac:dyDescent="0.25">
      <c r="R74">
        <f t="shared" si="5"/>
        <v>2.6</v>
      </c>
      <c r="S74" s="9">
        <v>130</v>
      </c>
      <c r="T74" s="4">
        <v>24</v>
      </c>
      <c r="U74" s="15">
        <f t="shared" si="6"/>
        <v>1.2000000000000002</v>
      </c>
    </row>
    <row r="75" spans="18:21" x14ac:dyDescent="0.25">
      <c r="R75">
        <f t="shared" si="5"/>
        <v>2.8000000000000003</v>
      </c>
      <c r="S75" s="9">
        <v>140</v>
      </c>
      <c r="T75" s="4">
        <v>25.8</v>
      </c>
      <c r="U75" s="15">
        <f t="shared" si="6"/>
        <v>1.29</v>
      </c>
    </row>
    <row r="76" spans="18:21" x14ac:dyDescent="0.25">
      <c r="R76">
        <f t="shared" si="5"/>
        <v>3</v>
      </c>
      <c r="S76" s="9">
        <v>150</v>
      </c>
      <c r="T76" s="4">
        <v>27.6</v>
      </c>
      <c r="U76" s="15">
        <f t="shared" si="6"/>
        <v>1.3800000000000001</v>
      </c>
    </row>
    <row r="77" spans="18:21" x14ac:dyDescent="0.25">
      <c r="R77">
        <f t="shared" si="5"/>
        <v>3.2</v>
      </c>
      <c r="S77" s="9">
        <v>160</v>
      </c>
      <c r="T77" s="4">
        <v>29.3</v>
      </c>
      <c r="U77" s="15">
        <f t="shared" si="6"/>
        <v>1.4650000000000001</v>
      </c>
    </row>
    <row r="78" spans="18:21" x14ac:dyDescent="0.25">
      <c r="R78">
        <f t="shared" si="5"/>
        <v>3.4</v>
      </c>
      <c r="S78" s="9">
        <v>170</v>
      </c>
      <c r="T78" s="4">
        <v>31</v>
      </c>
      <c r="U78" s="15">
        <f t="shared" si="6"/>
        <v>1.55</v>
      </c>
    </row>
    <row r="79" spans="18:21" x14ac:dyDescent="0.25">
      <c r="R79">
        <f t="shared" si="5"/>
        <v>3.6</v>
      </c>
      <c r="S79" s="9">
        <v>180</v>
      </c>
      <c r="T79" s="4">
        <v>32.6</v>
      </c>
      <c r="U79" s="15">
        <f t="shared" si="6"/>
        <v>1.6300000000000001</v>
      </c>
    </row>
    <row r="80" spans="18:21" x14ac:dyDescent="0.25">
      <c r="R80">
        <f t="shared" si="5"/>
        <v>3.8000000000000003</v>
      </c>
      <c r="S80" s="9">
        <v>190</v>
      </c>
      <c r="T80" s="4">
        <v>34.4</v>
      </c>
      <c r="U80" s="15">
        <f t="shared" si="6"/>
        <v>1.72</v>
      </c>
    </row>
    <row r="81" spans="18:21" ht="15.75" thickBot="1" x14ac:dyDescent="0.3">
      <c r="R81">
        <f t="shared" si="5"/>
        <v>4</v>
      </c>
      <c r="S81" s="11">
        <v>200</v>
      </c>
      <c r="T81" s="12">
        <v>35.799999999999997</v>
      </c>
      <c r="U81" s="15">
        <f t="shared" si="6"/>
        <v>1.79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Kamil</dc:creator>
  <cp:lastModifiedBy>Borkowski Kamil</cp:lastModifiedBy>
  <dcterms:created xsi:type="dcterms:W3CDTF">2023-12-26T20:42:53Z</dcterms:created>
  <dcterms:modified xsi:type="dcterms:W3CDTF">2024-01-17T19:01:41Z</dcterms:modified>
</cp:coreProperties>
</file>