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xr:revisionPtr revIDLastSave="0" documentId="13_ncr:1_{33471BFF-8714-44EF-8769-C90BAE151E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DYNEK" sheetId="1" r:id="rId1"/>
    <sheet name="OFERTA" sheetId="2" r:id="rId2"/>
    <sheet name="BAZA PC" sheetId="3" r:id="rId3"/>
    <sheet name="WYKRES" sheetId="6" r:id="rId4"/>
    <sheet name="ELEMENTY DODATKOWE" sheetId="5" r:id="rId5"/>
  </sheets>
  <externalReferences>
    <externalReference r:id="rId6"/>
  </externalReferences>
  <definedNames>
    <definedName name="MODEL">OFFSET(OFERTA!$AI$8,MATCH(OFERTA!$G$6&amp;OFERTA!$G$9,OFERTA!$AG$9:$AG$187&amp;OFERTA!$AH$9:$AH$187,0),0,COUNTIFS(OFERTA!$AG$9:$AG$187,OFERTA!$G$6,OFERTA!$AH$9:$AH$187,OFERTA!$G$9),1)</definedName>
    <definedName name="PRODUCENT">OFFSET(OFERTA!$AK$8,1,0,COUNTA(OFERTA!$AK$9:$AK$40),1)</definedName>
    <definedName name="TYP">OFFSET(OFERTA!$AN$8,MATCH(OFERTA!$G$6,OFERTA!$AM$9:$AM$57,0),0,COUNTIF(OFERTA!$AM$9:$AM$57,OFERTA!$G$6),1)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6" l="1"/>
  <c r="B10" i="6"/>
  <c r="AU10" i="6" s="1"/>
  <c r="C9" i="6"/>
  <c r="D9" i="6" s="1"/>
  <c r="E9" i="6" s="1"/>
  <c r="F9" i="6" s="1"/>
  <c r="G9" i="6" s="1"/>
  <c r="H9" i="6" s="1"/>
  <c r="I9" i="6" s="1"/>
  <c r="J9" i="6" s="1"/>
  <c r="K9" i="6" s="1"/>
  <c r="L9" i="6" s="1"/>
  <c r="M9" i="6" s="1"/>
  <c r="N9" i="6" s="1"/>
  <c r="O9" i="6" s="1"/>
  <c r="P9" i="6" s="1"/>
  <c r="Q9" i="6" s="1"/>
  <c r="R9" i="6" s="1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AD9" i="6" s="1"/>
  <c r="AE9" i="6" s="1"/>
  <c r="AF9" i="6" s="1"/>
  <c r="AG9" i="6" s="1"/>
  <c r="AH9" i="6" s="1"/>
  <c r="AI9" i="6" s="1"/>
  <c r="AJ9" i="6" s="1"/>
  <c r="AK9" i="6" s="1"/>
  <c r="AL9" i="6" s="1"/>
  <c r="AM9" i="6" s="1"/>
  <c r="AN9" i="6" s="1"/>
  <c r="AO9" i="6" s="1"/>
  <c r="AP9" i="6" s="1"/>
  <c r="AQ9" i="6" s="1"/>
  <c r="B3" i="6"/>
  <c r="F13" i="6" s="1"/>
  <c r="B2" i="6"/>
  <c r="AY22" i="6"/>
  <c r="AY2" i="6" s="1"/>
  <c r="AX22" i="6"/>
  <c r="AX2" i="6" s="1"/>
  <c r="AW22" i="6"/>
  <c r="AW2" i="6" s="1"/>
  <c r="AV22" i="6"/>
  <c r="AU22" i="6"/>
  <c r="AU2" i="6" s="1"/>
  <c r="AT22" i="6"/>
  <c r="AT2" i="6" s="1"/>
  <c r="AS22" i="6"/>
  <c r="AS2" i="6" s="1"/>
  <c r="AR22" i="6"/>
  <c r="AQ22" i="6"/>
  <c r="AP22" i="6"/>
  <c r="AP2" i="6" s="1"/>
  <c r="AO22" i="6"/>
  <c r="AO2" i="6" s="1"/>
  <c r="AN22" i="6"/>
  <c r="AM22" i="6"/>
  <c r="AM2" i="6" s="1"/>
  <c r="AL22" i="6"/>
  <c r="AL2" i="6" s="1"/>
  <c r="AK22" i="6"/>
  <c r="AK2" i="6" s="1"/>
  <c r="AJ22" i="6"/>
  <c r="AI22" i="6"/>
  <c r="AH22" i="6"/>
  <c r="AH2" i="6" s="1"/>
  <c r="AG22" i="6"/>
  <c r="AG2" i="6" s="1"/>
  <c r="AF22" i="6"/>
  <c r="AE22" i="6"/>
  <c r="AE2" i="6" s="1"/>
  <c r="AD22" i="6"/>
  <c r="AC22" i="6"/>
  <c r="AC2" i="6" s="1"/>
  <c r="AB22" i="6"/>
  <c r="AA22" i="6"/>
  <c r="AA2" i="6" s="1"/>
  <c r="Z22" i="6"/>
  <c r="Z2" i="6" s="1"/>
  <c r="Y22" i="6"/>
  <c r="Y2" i="6" s="1"/>
  <c r="X22" i="6"/>
  <c r="W22" i="6"/>
  <c r="W2" i="6" s="1"/>
  <c r="V22" i="6"/>
  <c r="V2" i="6" s="1"/>
  <c r="U22" i="6"/>
  <c r="U2" i="6" s="1"/>
  <c r="T22" i="6"/>
  <c r="S22" i="6"/>
  <c r="S2" i="6" s="1"/>
  <c r="R22" i="6"/>
  <c r="R2" i="6" s="1"/>
  <c r="Q22" i="6"/>
  <c r="Q2" i="6" s="1"/>
  <c r="P22" i="6"/>
  <c r="O22" i="6"/>
  <c r="O2" i="6" s="1"/>
  <c r="N22" i="6"/>
  <c r="N2" i="6" s="1"/>
  <c r="M22" i="6"/>
  <c r="M2" i="6" s="1"/>
  <c r="L22" i="6"/>
  <c r="K22" i="6"/>
  <c r="K2" i="6" s="1"/>
  <c r="J22" i="6"/>
  <c r="J2" i="6" s="1"/>
  <c r="I22" i="6"/>
  <c r="H22" i="6"/>
  <c r="G22" i="6"/>
  <c r="G2" i="6" s="1"/>
  <c r="F22" i="6"/>
  <c r="F2" i="6" s="1"/>
  <c r="E22" i="6"/>
  <c r="E2" i="6" s="1"/>
  <c r="D22" i="6"/>
  <c r="C22" i="6"/>
  <c r="C2" i="6" s="1"/>
  <c r="AV10" i="6"/>
  <c r="AQ10" i="6"/>
  <c r="B4" i="6"/>
  <c r="F14" i="6" s="1"/>
  <c r="AQ2" i="6"/>
  <c r="AI2" i="6"/>
  <c r="AD2" i="6"/>
  <c r="I2" i="6"/>
  <c r="G27" i="2"/>
  <c r="G25" i="2"/>
  <c r="G23" i="2"/>
  <c r="G21" i="2"/>
  <c r="G19" i="2"/>
  <c r="G17" i="2"/>
  <c r="G15" i="2"/>
  <c r="AO3" i="2" a="1"/>
  <c r="AO3" i="2" s="1"/>
  <c r="AL3" i="2" a="1"/>
  <c r="AL3" i="2" s="1"/>
  <c r="AK3" i="2" a="1"/>
  <c r="AK3" i="2" s="1"/>
  <c r="G16" i="5"/>
  <c r="G15" i="5"/>
  <c r="G14" i="5"/>
  <c r="G13" i="5"/>
  <c r="G12" i="5"/>
  <c r="G11" i="5"/>
  <c r="G10" i="5"/>
  <c r="G9" i="5"/>
  <c r="V8" i="5"/>
  <c r="G8" i="5"/>
  <c r="V7" i="5"/>
  <c r="G7" i="5"/>
  <c r="V6" i="5"/>
  <c r="G6" i="5"/>
  <c r="V5" i="5"/>
  <c r="G5" i="5"/>
  <c r="V4" i="5"/>
  <c r="G4" i="5"/>
  <c r="V3" i="5"/>
  <c r="G3" i="5"/>
  <c r="G99" i="3"/>
  <c r="G98" i="3"/>
  <c r="G97" i="3"/>
  <c r="G96" i="3"/>
  <c r="G95" i="3"/>
  <c r="G94" i="3"/>
  <c r="G93" i="3"/>
  <c r="G92" i="3"/>
  <c r="G91" i="3"/>
  <c r="G90" i="3"/>
  <c r="G89" i="3"/>
  <c r="G88" i="3"/>
  <c r="F88" i="3"/>
  <c r="F87" i="3"/>
  <c r="G87" i="3" s="1"/>
  <c r="G86" i="3"/>
  <c r="F86" i="3"/>
  <c r="F85" i="3"/>
  <c r="G85" i="3" s="1"/>
  <c r="G84" i="3"/>
  <c r="F84" i="3"/>
  <c r="F83" i="3"/>
  <c r="G83" i="3" s="1"/>
  <c r="G82" i="3"/>
  <c r="F82" i="3"/>
  <c r="F81" i="3"/>
  <c r="G81" i="3" s="1"/>
  <c r="G80" i="3"/>
  <c r="F80" i="3"/>
  <c r="F79" i="3"/>
  <c r="G79" i="3" s="1"/>
  <c r="G78" i="3"/>
  <c r="F78" i="3"/>
  <c r="F77" i="3"/>
  <c r="G77" i="3" s="1"/>
  <c r="G76" i="3"/>
  <c r="F76" i="3"/>
  <c r="F75" i="3"/>
  <c r="G75" i="3" s="1"/>
  <c r="G74" i="3"/>
  <c r="F74" i="3"/>
  <c r="F73" i="3"/>
  <c r="G73" i="3" s="1"/>
  <c r="G72" i="3"/>
  <c r="F72" i="3"/>
  <c r="F71" i="3"/>
  <c r="G71" i="3" s="1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Z33" i="3"/>
  <c r="Q33" i="3"/>
  <c r="H33" i="3"/>
  <c r="Z32" i="3"/>
  <c r="Q32" i="3"/>
  <c r="H32" i="3"/>
  <c r="Z31" i="3"/>
  <c r="W31" i="3"/>
  <c r="Q31" i="3"/>
  <c r="N31" i="3"/>
  <c r="H31" i="3"/>
  <c r="Z30" i="3"/>
  <c r="W30" i="3"/>
  <c r="Q30" i="3"/>
  <c r="N30" i="3"/>
  <c r="H30" i="3"/>
  <c r="Z29" i="3"/>
  <c r="W29" i="3"/>
  <c r="Q29" i="3"/>
  <c r="N29" i="3"/>
  <c r="H29" i="3"/>
  <c r="H28" i="3"/>
  <c r="H27" i="3"/>
  <c r="H26" i="3"/>
  <c r="H25" i="3"/>
  <c r="H24" i="3"/>
  <c r="Z23" i="3"/>
  <c r="Q23" i="3"/>
  <c r="H23" i="3"/>
  <c r="Z22" i="3"/>
  <c r="Q22" i="3"/>
  <c r="H22" i="3"/>
  <c r="Z21" i="3"/>
  <c r="Q21" i="3"/>
  <c r="H21" i="3"/>
  <c r="Z20" i="3"/>
  <c r="Q20" i="3"/>
  <c r="H20" i="3"/>
  <c r="Z19" i="3"/>
  <c r="W19" i="3"/>
  <c r="Q19" i="3"/>
  <c r="N19" i="3"/>
  <c r="H19" i="3"/>
  <c r="Z18" i="3"/>
  <c r="W18" i="3"/>
  <c r="Q18" i="3"/>
  <c r="N18" i="3"/>
  <c r="H18" i="3"/>
  <c r="Z17" i="3"/>
  <c r="W17" i="3"/>
  <c r="Q17" i="3"/>
  <c r="N17" i="3"/>
  <c r="H17" i="3"/>
  <c r="Z16" i="3"/>
  <c r="W16" i="3"/>
  <c r="Q16" i="3"/>
  <c r="N16" i="3"/>
  <c r="H16" i="3"/>
  <c r="H15" i="3"/>
  <c r="H14" i="3"/>
  <c r="H13" i="3"/>
  <c r="H12" i="3"/>
  <c r="H11" i="3"/>
  <c r="Z10" i="3"/>
  <c r="Q10" i="3"/>
  <c r="H10" i="3"/>
  <c r="Z9" i="3"/>
  <c r="Q9" i="3"/>
  <c r="H9" i="3"/>
  <c r="Z8" i="3"/>
  <c r="Q8" i="3"/>
  <c r="H8" i="3"/>
  <c r="Z7" i="3"/>
  <c r="Q7" i="3"/>
  <c r="H7" i="3"/>
  <c r="Z6" i="3"/>
  <c r="W6" i="3"/>
  <c r="Q6" i="3"/>
  <c r="N6" i="3"/>
  <c r="H6" i="3"/>
  <c r="Z5" i="3"/>
  <c r="W5" i="3"/>
  <c r="Q5" i="3"/>
  <c r="N5" i="3"/>
  <c r="H5" i="3"/>
  <c r="Z4" i="3"/>
  <c r="W4" i="3"/>
  <c r="Q4" i="3"/>
  <c r="H4" i="3"/>
  <c r="Z3" i="3"/>
  <c r="W3" i="3"/>
  <c r="Q3" i="3"/>
  <c r="H3" i="3"/>
  <c r="I72" i="1"/>
  <c r="U63" i="1"/>
  <c r="T63" i="1"/>
  <c r="M63" i="1"/>
  <c r="T61" i="1"/>
  <c r="A61" i="1"/>
  <c r="AI58" i="1"/>
  <c r="AH58" i="1"/>
  <c r="V57" i="1"/>
  <c r="AH53" i="1"/>
  <c r="V59" i="1" s="1"/>
  <c r="AG52" i="1"/>
  <c r="AJ55" i="1" s="1"/>
  <c r="AJ53" i="1" s="1"/>
  <c r="AH51" i="1"/>
  <c r="AJ51" i="1" s="1"/>
  <c r="AF51" i="1"/>
  <c r="V51" i="1"/>
  <c r="AF49" i="1"/>
  <c r="V55" i="1" s="1"/>
  <c r="AF48" i="1"/>
  <c r="AF47" i="1"/>
  <c r="V47" i="1" s="1"/>
  <c r="P43" i="1"/>
  <c r="P41" i="1"/>
  <c r="S35" i="1"/>
  <c r="Y11" i="1"/>
  <c r="Y10" i="1"/>
  <c r="Y6" i="1"/>
  <c r="Y5" i="1"/>
  <c r="Y7" i="1"/>
  <c r="AY10" i="6" l="1"/>
  <c r="X10" i="6"/>
  <c r="B6" i="6"/>
  <c r="F6" i="6" s="1"/>
  <c r="C3" i="6"/>
  <c r="S3" i="6"/>
  <c r="S7" i="6" s="1"/>
  <c r="AB3" i="6"/>
  <c r="Y3" i="6" s="1"/>
  <c r="AJ3" i="6"/>
  <c r="AO13" i="6"/>
  <c r="AG13" i="6"/>
  <c r="W13" i="6"/>
  <c r="N13" i="6"/>
  <c r="M13" i="6" s="1"/>
  <c r="C13" i="6"/>
  <c r="C74" i="6" s="1"/>
  <c r="B5" i="6"/>
  <c r="B16" i="6" s="1" a="1"/>
  <c r="B16" i="6" s="1"/>
  <c r="C4" i="6"/>
  <c r="S4" i="6"/>
  <c r="AB4" i="6"/>
  <c r="AJ4" i="6"/>
  <c r="AO14" i="6"/>
  <c r="AG14" i="6"/>
  <c r="W14" i="6"/>
  <c r="N14" i="6"/>
  <c r="C14" i="6"/>
  <c r="F3" i="6"/>
  <c r="N3" i="6"/>
  <c r="W3" i="6"/>
  <c r="T3" i="6" s="1"/>
  <c r="AG3" i="6"/>
  <c r="AO3" i="6"/>
  <c r="AJ13" i="6"/>
  <c r="AB13" i="6"/>
  <c r="S13" i="6"/>
  <c r="S15" i="6" s="1"/>
  <c r="F4" i="6"/>
  <c r="N4" i="6"/>
  <c r="W4" i="6"/>
  <c r="AG4" i="6"/>
  <c r="AO4" i="6"/>
  <c r="AJ14" i="6"/>
  <c r="AB14" i="6"/>
  <c r="S14" i="6"/>
  <c r="AF10" i="6"/>
  <c r="AF79" i="6" s="1"/>
  <c r="AR10" i="6"/>
  <c r="AW10" i="6"/>
  <c r="AW79" i="6" s="1"/>
  <c r="H10" i="6"/>
  <c r="H11" i="6" s="1"/>
  <c r="AN10" i="6"/>
  <c r="AN11" i="6" s="1"/>
  <c r="AS10" i="6"/>
  <c r="P10" i="6"/>
  <c r="P11" i="6" s="1"/>
  <c r="AO10" i="6"/>
  <c r="AO11" i="6" s="1"/>
  <c r="X11" i="6"/>
  <c r="D11" i="6"/>
  <c r="AW6" i="6"/>
  <c r="AS6" i="6"/>
  <c r="AG6" i="6"/>
  <c r="AC6" i="6"/>
  <c r="Q6" i="6"/>
  <c r="M6" i="6"/>
  <c r="C6" i="6"/>
  <c r="AV6" i="6"/>
  <c r="AJ6" i="6"/>
  <c r="AF6" i="6"/>
  <c r="T6" i="6"/>
  <c r="P6" i="6"/>
  <c r="D6" i="6"/>
  <c r="AY6" i="6"/>
  <c r="AM6" i="6"/>
  <c r="AI6" i="6"/>
  <c r="W6" i="6"/>
  <c r="S6" i="6"/>
  <c r="G6" i="6"/>
  <c r="AX6" i="6"/>
  <c r="AL6" i="6"/>
  <c r="AH6" i="6"/>
  <c r="V6" i="6"/>
  <c r="R6" i="6"/>
  <c r="AR9" i="6"/>
  <c r="AS9" i="6" s="1"/>
  <c r="AT9" i="6" s="1"/>
  <c r="AU9" i="6" s="1"/>
  <c r="AQ11" i="6"/>
  <c r="I10" i="6"/>
  <c r="I11" i="6" s="1"/>
  <c r="Q10" i="6"/>
  <c r="Q11" i="6" s="1"/>
  <c r="Y10" i="6"/>
  <c r="Y11" i="6" s="1"/>
  <c r="AG10" i="6"/>
  <c r="AG11" i="6" s="1"/>
  <c r="D79" i="6"/>
  <c r="D2" i="6"/>
  <c r="H2" i="6"/>
  <c r="L2" i="6"/>
  <c r="P2" i="6"/>
  <c r="T2" i="6"/>
  <c r="X79" i="6"/>
  <c r="X2" i="6"/>
  <c r="AB2" i="6"/>
  <c r="AF2" i="6"/>
  <c r="AJ2" i="6"/>
  <c r="AN2" i="6"/>
  <c r="AR2" i="6"/>
  <c r="AV79" i="6"/>
  <c r="AV2" i="6"/>
  <c r="AM10" i="6"/>
  <c r="AM11" i="6" s="1"/>
  <c r="AI10" i="6"/>
  <c r="AI11" i="6" s="1"/>
  <c r="AE10" i="6"/>
  <c r="AE11" i="6" s="1"/>
  <c r="AA10" i="6"/>
  <c r="AA11" i="6" s="1"/>
  <c r="W10" i="6"/>
  <c r="W11" i="6" s="1"/>
  <c r="W56" i="6" s="1"/>
  <c r="S10" i="6"/>
  <c r="S11" i="6" s="1"/>
  <c r="O10" i="6"/>
  <c r="O11" i="6" s="1"/>
  <c r="K10" i="6"/>
  <c r="K11" i="6" s="1"/>
  <c r="G10" i="6"/>
  <c r="G11" i="6" s="1"/>
  <c r="C10" i="6"/>
  <c r="C11" i="6" s="1"/>
  <c r="L10" i="6"/>
  <c r="L11" i="6" s="1"/>
  <c r="T10" i="6"/>
  <c r="T11" i="6" s="1"/>
  <c r="AB10" i="6"/>
  <c r="AB11" i="6" s="1"/>
  <c r="AJ10" i="6"/>
  <c r="AJ11" i="6" s="1"/>
  <c r="E10" i="6"/>
  <c r="E11" i="6" s="1"/>
  <c r="M10" i="6"/>
  <c r="M11" i="6" s="1"/>
  <c r="U10" i="6"/>
  <c r="U11" i="6" s="1"/>
  <c r="AC10" i="6"/>
  <c r="AC11" i="6" s="1"/>
  <c r="AK10" i="6"/>
  <c r="AK11" i="6" s="1"/>
  <c r="W15" i="6"/>
  <c r="F10" i="6"/>
  <c r="F11" i="6" s="1"/>
  <c r="J10" i="6"/>
  <c r="J11" i="6" s="1"/>
  <c r="N10" i="6"/>
  <c r="N11" i="6" s="1"/>
  <c r="R10" i="6"/>
  <c r="R11" i="6" s="1"/>
  <c r="V10" i="6"/>
  <c r="V11" i="6" s="1"/>
  <c r="Z10" i="6"/>
  <c r="Z11" i="6" s="1"/>
  <c r="AD10" i="6"/>
  <c r="AD11" i="6" s="1"/>
  <c r="AH10" i="6"/>
  <c r="AH11" i="6" s="1"/>
  <c r="AL10" i="6"/>
  <c r="AL11" i="6" s="1"/>
  <c r="AP10" i="6"/>
  <c r="AP11" i="6" s="1"/>
  <c r="AT10" i="6"/>
  <c r="AX10" i="6"/>
  <c r="AQ79" i="6"/>
  <c r="AU79" i="6"/>
  <c r="AY79" i="6"/>
  <c r="AS79" i="6"/>
  <c r="V53" i="1"/>
  <c r="A37" i="1" s="1"/>
  <c r="AI55" i="1"/>
  <c r="AI53" i="1" s="1"/>
  <c r="AX53" i="1"/>
  <c r="AX54" i="1"/>
  <c r="AX50" i="1"/>
  <c r="V3" i="6" l="1"/>
  <c r="O3" i="6"/>
  <c r="W75" i="6"/>
  <c r="S75" i="6"/>
  <c r="AI3" i="6"/>
  <c r="L13" i="6"/>
  <c r="K13" i="6"/>
  <c r="AK13" i="6"/>
  <c r="W66" i="6"/>
  <c r="U3" i="6"/>
  <c r="U61" i="6" s="1"/>
  <c r="W43" i="6"/>
  <c r="W68" i="6"/>
  <c r="AO73" i="6"/>
  <c r="W69" i="6"/>
  <c r="W73" i="6"/>
  <c r="J6" i="6"/>
  <c r="Z6" i="6"/>
  <c r="AP6" i="6"/>
  <c r="K6" i="6"/>
  <c r="AA6" i="6"/>
  <c r="AQ6" i="6"/>
  <c r="H6" i="6"/>
  <c r="X6" i="6"/>
  <c r="AN6" i="6"/>
  <c r="E6" i="6"/>
  <c r="U6" i="6"/>
  <c r="AK6" i="6"/>
  <c r="S69" i="6"/>
  <c r="AI79" i="6"/>
  <c r="N68" i="6"/>
  <c r="AP13" i="6"/>
  <c r="AQ13" i="6" s="1"/>
  <c r="D13" i="6"/>
  <c r="C17" i="6"/>
  <c r="D17" i="6" s="1"/>
  <c r="E17" i="6" s="1"/>
  <c r="F17" i="6" s="1"/>
  <c r="G17" i="6" s="1"/>
  <c r="H17" i="6" s="1"/>
  <c r="I17" i="6" s="1"/>
  <c r="J17" i="6" s="1"/>
  <c r="K17" i="6" s="1"/>
  <c r="L17" i="6" s="1"/>
  <c r="M17" i="6" s="1"/>
  <c r="N17" i="6" s="1"/>
  <c r="O17" i="6" s="1"/>
  <c r="P17" i="6" s="1"/>
  <c r="Q17" i="6" s="1"/>
  <c r="R17" i="6" s="1"/>
  <c r="S17" i="6" s="1"/>
  <c r="T17" i="6" s="1"/>
  <c r="U17" i="6" s="1"/>
  <c r="V17" i="6" s="1"/>
  <c r="W17" i="6" s="1"/>
  <c r="X17" i="6" s="1"/>
  <c r="Y17" i="6" s="1"/>
  <c r="Z17" i="6" s="1"/>
  <c r="AA17" i="6" s="1"/>
  <c r="AB17" i="6" s="1"/>
  <c r="AC17" i="6" s="1"/>
  <c r="AD17" i="6" s="1"/>
  <c r="AE17" i="6" s="1"/>
  <c r="AF17" i="6" s="1"/>
  <c r="AG17" i="6" s="1"/>
  <c r="AH17" i="6" s="1"/>
  <c r="AI17" i="6" s="1"/>
  <c r="AJ17" i="6" s="1"/>
  <c r="AK17" i="6" s="1"/>
  <c r="AL17" i="6" s="1"/>
  <c r="AM17" i="6" s="1"/>
  <c r="AN17" i="6" s="1"/>
  <c r="AO17" i="6" s="1"/>
  <c r="AP17" i="6" s="1"/>
  <c r="AQ17" i="6" s="1"/>
  <c r="AR17" i="6" s="1"/>
  <c r="AS17" i="6" s="1"/>
  <c r="AT17" i="6" s="1"/>
  <c r="AU17" i="6" s="1"/>
  <c r="AV17" i="6" s="1"/>
  <c r="AW17" i="6" s="1"/>
  <c r="AX17" i="6" s="1"/>
  <c r="AY17" i="6" s="1"/>
  <c r="C67" i="6"/>
  <c r="W71" i="6"/>
  <c r="Y79" i="6"/>
  <c r="E13" i="6"/>
  <c r="N6" i="6"/>
  <c r="AD6" i="6"/>
  <c r="AT6" i="6"/>
  <c r="O6" i="6"/>
  <c r="AE6" i="6"/>
  <c r="AU6" i="6"/>
  <c r="L6" i="6"/>
  <c r="AB6" i="6"/>
  <c r="AR6" i="6"/>
  <c r="I6" i="6"/>
  <c r="Y6" i="6"/>
  <c r="AO6" i="6"/>
  <c r="AT11" i="6"/>
  <c r="AF11" i="6"/>
  <c r="AR11" i="6"/>
  <c r="S73" i="6"/>
  <c r="W76" i="6"/>
  <c r="Z3" i="6"/>
  <c r="S51" i="6"/>
  <c r="AJ7" i="6"/>
  <c r="R13" i="6"/>
  <c r="AS11" i="6"/>
  <c r="T13" i="6"/>
  <c r="W46" i="6"/>
  <c r="W65" i="6"/>
  <c r="W72" i="6"/>
  <c r="W70" i="6"/>
  <c r="O13" i="6"/>
  <c r="AA3" i="6"/>
  <c r="S61" i="6"/>
  <c r="Q79" i="6"/>
  <c r="I13" i="6"/>
  <c r="X3" i="6"/>
  <c r="AR79" i="6"/>
  <c r="S66" i="6"/>
  <c r="J13" i="6"/>
  <c r="N72" i="6"/>
  <c r="W38" i="6"/>
  <c r="W48" i="6"/>
  <c r="S52" i="6"/>
  <c r="N15" i="6"/>
  <c r="N79" i="6"/>
  <c r="U13" i="6"/>
  <c r="W39" i="6"/>
  <c r="W67" i="6"/>
  <c r="W74" i="6"/>
  <c r="G13" i="6"/>
  <c r="W60" i="6"/>
  <c r="H13" i="6"/>
  <c r="AJ57" i="6"/>
  <c r="C61" i="6"/>
  <c r="S60" i="6"/>
  <c r="Q13" i="6"/>
  <c r="S79" i="6"/>
  <c r="S56" i="6"/>
  <c r="C53" i="6"/>
  <c r="S53" i="6"/>
  <c r="S58" i="6"/>
  <c r="C79" i="6"/>
  <c r="AP79" i="6"/>
  <c r="S55" i="6"/>
  <c r="I79" i="6"/>
  <c r="AN79" i="6"/>
  <c r="W79" i="6"/>
  <c r="W37" i="6"/>
  <c r="W45" i="6"/>
  <c r="P79" i="6"/>
  <c r="AK79" i="6"/>
  <c r="AM79" i="6"/>
  <c r="G79" i="6"/>
  <c r="W57" i="6"/>
  <c r="W44" i="6"/>
  <c r="W42" i="6"/>
  <c r="W41" i="6"/>
  <c r="W47" i="6"/>
  <c r="AJ54" i="6"/>
  <c r="H79" i="6"/>
  <c r="AO79" i="6"/>
  <c r="W61" i="6"/>
  <c r="AD79" i="6"/>
  <c r="O79" i="6"/>
  <c r="J79" i="6"/>
  <c r="U79" i="6"/>
  <c r="S39" i="6"/>
  <c r="E79" i="6"/>
  <c r="AE79" i="6"/>
  <c r="W59" i="6"/>
  <c r="AJ60" i="6"/>
  <c r="Z79" i="6"/>
  <c r="F75" i="6"/>
  <c r="C55" i="6"/>
  <c r="C51" i="6"/>
  <c r="N73" i="6"/>
  <c r="AO38" i="6"/>
  <c r="AO72" i="6"/>
  <c r="C43" i="6"/>
  <c r="C72" i="6"/>
  <c r="AM13" i="6"/>
  <c r="C56" i="6"/>
  <c r="N42" i="6"/>
  <c r="N76" i="6"/>
  <c r="AO47" i="6"/>
  <c r="P13" i="6"/>
  <c r="S48" i="6"/>
  <c r="C47" i="6"/>
  <c r="V13" i="6"/>
  <c r="AN13" i="6"/>
  <c r="C59" i="6"/>
  <c r="C58" i="6"/>
  <c r="N47" i="6"/>
  <c r="AO66" i="6"/>
  <c r="C46" i="6"/>
  <c r="F39" i="6"/>
  <c r="F43" i="6"/>
  <c r="F41" i="6"/>
  <c r="AB57" i="6"/>
  <c r="AL79" i="6"/>
  <c r="AA79" i="6"/>
  <c r="K79" i="6"/>
  <c r="AX5" i="6"/>
  <c r="AT5" i="6"/>
  <c r="AP5" i="6"/>
  <c r="AL5" i="6"/>
  <c r="AH5" i="6"/>
  <c r="AD5" i="6"/>
  <c r="Z5" i="6"/>
  <c r="V5" i="6"/>
  <c r="R5" i="6"/>
  <c r="N5" i="6"/>
  <c r="J5" i="6"/>
  <c r="F5" i="6"/>
  <c r="F8" i="6" s="1"/>
  <c r="AW5" i="6"/>
  <c r="AS5" i="6"/>
  <c r="AO5" i="6"/>
  <c r="AK5" i="6"/>
  <c r="AG5" i="6"/>
  <c r="AG8" i="6" s="1"/>
  <c r="AC5" i="6"/>
  <c r="Y5" i="6"/>
  <c r="U5" i="6"/>
  <c r="Q5" i="6"/>
  <c r="M5" i="6"/>
  <c r="I5" i="6"/>
  <c r="E5" i="6"/>
  <c r="AU5" i="6"/>
  <c r="AM5" i="6"/>
  <c r="AE5" i="6"/>
  <c r="W5" i="6"/>
  <c r="W8" i="6" s="1"/>
  <c r="O5" i="6"/>
  <c r="G5" i="6"/>
  <c r="C16" i="6"/>
  <c r="AR5" i="6"/>
  <c r="AJ5" i="6"/>
  <c r="AJ8" i="6" s="1"/>
  <c r="AB5" i="6"/>
  <c r="AB8" i="6" s="1"/>
  <c r="T5" i="6"/>
  <c r="L5" i="6"/>
  <c r="D5" i="6"/>
  <c r="AN5" i="6"/>
  <c r="X5" i="6"/>
  <c r="P5" i="6"/>
  <c r="AY5" i="6"/>
  <c r="AQ5" i="6"/>
  <c r="AI5" i="6"/>
  <c r="AA5" i="6"/>
  <c r="S5" i="6"/>
  <c r="S8" i="6" s="1"/>
  <c r="K5" i="6"/>
  <c r="C5" i="6"/>
  <c r="C8" i="6" s="1"/>
  <c r="AV5" i="6"/>
  <c r="AF5" i="6"/>
  <c r="H5" i="6"/>
  <c r="AO62" i="6"/>
  <c r="AO60" i="6"/>
  <c r="AO61" i="6"/>
  <c r="AO59" i="6"/>
  <c r="AO57" i="6"/>
  <c r="AO55" i="6"/>
  <c r="AO53" i="6"/>
  <c r="AO51" i="6"/>
  <c r="AO52" i="6"/>
  <c r="AO58" i="6"/>
  <c r="AO54" i="6"/>
  <c r="AP3" i="6"/>
  <c r="AL3" i="6"/>
  <c r="AK3" i="6"/>
  <c r="AO56" i="6"/>
  <c r="AO7" i="6"/>
  <c r="AN3" i="6"/>
  <c r="AM3" i="6"/>
  <c r="R3" i="6"/>
  <c r="C38" i="6"/>
  <c r="AI4" i="6"/>
  <c r="AH4" i="6"/>
  <c r="AG79" i="6"/>
  <c r="AL13" i="6"/>
  <c r="N37" i="6"/>
  <c r="N44" i="6"/>
  <c r="N66" i="6"/>
  <c r="N70" i="6"/>
  <c r="N75" i="6"/>
  <c r="F45" i="6"/>
  <c r="F40" i="6"/>
  <c r="F47" i="6"/>
  <c r="F68" i="6"/>
  <c r="F73" i="6"/>
  <c r="F76" i="6"/>
  <c r="P3" i="6"/>
  <c r="AO37" i="6"/>
  <c r="AO40" i="6"/>
  <c r="AO46" i="6"/>
  <c r="AO65" i="6"/>
  <c r="AO67" i="6"/>
  <c r="AO74" i="6"/>
  <c r="AB51" i="6"/>
  <c r="AB59" i="6"/>
  <c r="AB56" i="6"/>
  <c r="S42" i="6"/>
  <c r="S40" i="6"/>
  <c r="S41" i="6"/>
  <c r="S65" i="6"/>
  <c r="S71" i="6"/>
  <c r="S68" i="6"/>
  <c r="C15" i="6"/>
  <c r="C37" i="6"/>
  <c r="C45" i="6"/>
  <c r="C69" i="6"/>
  <c r="C76" i="6"/>
  <c r="C73" i="6"/>
  <c r="W7" i="6"/>
  <c r="W53" i="6"/>
  <c r="W58" i="6"/>
  <c r="AJ51" i="6"/>
  <c r="AJ59" i="6"/>
  <c r="AJ56" i="6"/>
  <c r="AB75" i="6"/>
  <c r="AB73" i="6"/>
  <c r="AB76" i="6"/>
  <c r="AB74" i="6"/>
  <c r="AB72" i="6"/>
  <c r="AB70" i="6"/>
  <c r="AB71" i="6"/>
  <c r="AB69" i="6"/>
  <c r="AB67" i="6"/>
  <c r="AB66" i="6"/>
  <c r="AB68" i="6"/>
  <c r="AB65" i="6"/>
  <c r="AB48" i="6"/>
  <c r="AB45" i="6"/>
  <c r="AB43" i="6"/>
  <c r="AB41" i="6"/>
  <c r="AB39" i="6"/>
  <c r="AB37" i="6"/>
  <c r="AB47" i="6"/>
  <c r="Y13" i="6"/>
  <c r="AB46" i="6"/>
  <c r="AB42" i="6"/>
  <c r="AB38" i="6"/>
  <c r="X13" i="6"/>
  <c r="AB44" i="6"/>
  <c r="AB15" i="6"/>
  <c r="Z13" i="6"/>
  <c r="AB40" i="6"/>
  <c r="AA13" i="6"/>
  <c r="AB62" i="6"/>
  <c r="AX79" i="6"/>
  <c r="AH79" i="6"/>
  <c r="N60" i="6"/>
  <c r="N59" i="6"/>
  <c r="N57" i="6"/>
  <c r="N55" i="6"/>
  <c r="N53" i="6"/>
  <c r="N51" i="6"/>
  <c r="N61" i="6"/>
  <c r="N58" i="6"/>
  <c r="N56" i="6"/>
  <c r="N54" i="6"/>
  <c r="N52" i="6"/>
  <c r="N62" i="6"/>
  <c r="N8" i="6"/>
  <c r="J3" i="6"/>
  <c r="N7" i="6"/>
  <c r="M3" i="6"/>
  <c r="I3" i="6"/>
  <c r="K3" i="6"/>
  <c r="L3" i="6"/>
  <c r="H3" i="6"/>
  <c r="G3" i="6"/>
  <c r="V79" i="6"/>
  <c r="F79" i="6"/>
  <c r="AG62" i="6"/>
  <c r="AG60" i="6"/>
  <c r="AG61" i="6"/>
  <c r="AG59" i="6"/>
  <c r="AG57" i="6"/>
  <c r="AG55" i="6"/>
  <c r="AG53" i="6"/>
  <c r="AG51" i="6"/>
  <c r="AG56" i="6"/>
  <c r="AG54" i="6"/>
  <c r="AG58" i="6"/>
  <c r="AD3" i="6"/>
  <c r="AG52" i="6"/>
  <c r="AC3" i="6"/>
  <c r="AG7" i="6"/>
  <c r="AF3" i="6"/>
  <c r="AE3" i="6"/>
  <c r="N43" i="6"/>
  <c r="C57" i="6"/>
  <c r="C52" i="6"/>
  <c r="C60" i="6"/>
  <c r="P4" i="6"/>
  <c r="O4" i="6"/>
  <c r="Q4" i="6"/>
  <c r="R4" i="6"/>
  <c r="P14" i="6"/>
  <c r="O14" i="6"/>
  <c r="S38" i="6"/>
  <c r="Q14" i="6"/>
  <c r="R14" i="6"/>
  <c r="X14" i="6"/>
  <c r="AA14" i="6"/>
  <c r="Z14" i="6"/>
  <c r="Y14" i="6"/>
  <c r="AC79" i="6"/>
  <c r="M79" i="6"/>
  <c r="N41" i="6"/>
  <c r="N38" i="6"/>
  <c r="N46" i="6"/>
  <c r="N67" i="6"/>
  <c r="N69" i="6"/>
  <c r="F15" i="6"/>
  <c r="F48" i="6"/>
  <c r="F42" i="6"/>
  <c r="F66" i="6"/>
  <c r="F70" i="6"/>
  <c r="L4" i="6"/>
  <c r="H4" i="6"/>
  <c r="K4" i="6"/>
  <c r="G4" i="6"/>
  <c r="I4" i="6"/>
  <c r="J4" i="6"/>
  <c r="M4" i="6"/>
  <c r="AO41" i="6"/>
  <c r="AO42" i="6"/>
  <c r="AO48" i="6"/>
  <c r="AO70" i="6"/>
  <c r="AO69" i="6"/>
  <c r="AO76" i="6"/>
  <c r="AB53" i="6"/>
  <c r="AB60" i="6"/>
  <c r="AB58" i="6"/>
  <c r="AJ79" i="6"/>
  <c r="AB79" i="6"/>
  <c r="T79" i="6"/>
  <c r="L79" i="6"/>
  <c r="S46" i="6"/>
  <c r="S44" i="6"/>
  <c r="S43" i="6"/>
  <c r="S67" i="6"/>
  <c r="S74" i="6"/>
  <c r="S70" i="6"/>
  <c r="C40" i="6"/>
  <c r="C39" i="6"/>
  <c r="C48" i="6"/>
  <c r="C66" i="6"/>
  <c r="C68" i="6"/>
  <c r="C75" i="6"/>
  <c r="W55" i="6"/>
  <c r="W52" i="6"/>
  <c r="AJ53" i="6"/>
  <c r="AJ61" i="6"/>
  <c r="AJ58" i="6"/>
  <c r="AV9" i="6"/>
  <c r="AU11" i="6"/>
  <c r="S59" i="6"/>
  <c r="AG76" i="6"/>
  <c r="AG74" i="6"/>
  <c r="AG72" i="6"/>
  <c r="AG73" i="6"/>
  <c r="AG71" i="6"/>
  <c r="AG69" i="6"/>
  <c r="AG67" i="6"/>
  <c r="AG75" i="6"/>
  <c r="AG66" i="6"/>
  <c r="AG65" i="6"/>
  <c r="AG70" i="6"/>
  <c r="AG48" i="6"/>
  <c r="AG68" i="6"/>
  <c r="AG47" i="6"/>
  <c r="AG46" i="6"/>
  <c r="AG44" i="6"/>
  <c r="AG42" i="6"/>
  <c r="AG40" i="6"/>
  <c r="AG38" i="6"/>
  <c r="AG45" i="6"/>
  <c r="AG41" i="6"/>
  <c r="AG37" i="6"/>
  <c r="AC13" i="6"/>
  <c r="AG43" i="6"/>
  <c r="AF13" i="6"/>
  <c r="AE13" i="6"/>
  <c r="AG39" i="6"/>
  <c r="AD13" i="6"/>
  <c r="AG15" i="6"/>
  <c r="D14" i="6"/>
  <c r="E14" i="6"/>
  <c r="AF4" i="6"/>
  <c r="AE4" i="6"/>
  <c r="AD4" i="6"/>
  <c r="AC4" i="6"/>
  <c r="X4" i="6"/>
  <c r="AA4" i="6"/>
  <c r="Y4" i="6"/>
  <c r="Y62" i="6" s="1"/>
  <c r="Z4" i="6"/>
  <c r="F38" i="6"/>
  <c r="F46" i="6"/>
  <c r="F65" i="6"/>
  <c r="F71" i="6"/>
  <c r="F74" i="6"/>
  <c r="AB54" i="6"/>
  <c r="AT79" i="6"/>
  <c r="F59" i="6"/>
  <c r="F57" i="6"/>
  <c r="F55" i="6"/>
  <c r="F53" i="6"/>
  <c r="F51" i="6"/>
  <c r="F62" i="6"/>
  <c r="F61" i="6"/>
  <c r="F60" i="6"/>
  <c r="F58" i="6"/>
  <c r="F56" i="6"/>
  <c r="F54" i="6"/>
  <c r="F52" i="6"/>
  <c r="F7" i="6"/>
  <c r="E3" i="6"/>
  <c r="D3" i="6"/>
  <c r="R79" i="6"/>
  <c r="AJ75" i="6"/>
  <c r="AJ73" i="6"/>
  <c r="AJ76" i="6"/>
  <c r="AJ74" i="6"/>
  <c r="AJ72" i="6"/>
  <c r="AJ70" i="6"/>
  <c r="AJ69" i="6"/>
  <c r="AJ67" i="6"/>
  <c r="AJ71" i="6"/>
  <c r="AJ68" i="6"/>
  <c r="AJ66" i="6"/>
  <c r="AJ65" i="6"/>
  <c r="AJ48" i="6"/>
  <c r="AJ45" i="6"/>
  <c r="AJ43" i="6"/>
  <c r="AJ41" i="6"/>
  <c r="AJ39" i="6"/>
  <c r="AJ37" i="6"/>
  <c r="AJ47" i="6"/>
  <c r="AJ46" i="6"/>
  <c r="AJ42" i="6"/>
  <c r="AJ38" i="6"/>
  <c r="AJ40" i="6"/>
  <c r="AJ15" i="6"/>
  <c r="AH13" i="6"/>
  <c r="AI13" i="6"/>
  <c r="AJ44" i="6"/>
  <c r="L14" i="6"/>
  <c r="H14" i="6"/>
  <c r="K14" i="6"/>
  <c r="G14" i="6"/>
  <c r="M14" i="6"/>
  <c r="J14" i="6"/>
  <c r="I14" i="6"/>
  <c r="AB7" i="6"/>
  <c r="AN4" i="6"/>
  <c r="AM4" i="6"/>
  <c r="AP4" i="6"/>
  <c r="AQ4" i="6" s="1"/>
  <c r="AR4" i="6" s="1"/>
  <c r="AS4" i="6" s="1"/>
  <c r="AT4" i="6" s="1"/>
  <c r="AU4" i="6" s="1"/>
  <c r="AV4" i="6" s="1"/>
  <c r="AW4" i="6" s="1"/>
  <c r="AX4" i="6" s="1"/>
  <c r="AY4" i="6" s="1"/>
  <c r="AL4" i="6"/>
  <c r="AK4" i="6"/>
  <c r="Q3" i="6"/>
  <c r="S57" i="6"/>
  <c r="S54" i="6"/>
  <c r="S62" i="6"/>
  <c r="C7" i="6"/>
  <c r="C54" i="6"/>
  <c r="C62" i="6"/>
  <c r="T4" i="6"/>
  <c r="V4" i="6"/>
  <c r="U4" i="6"/>
  <c r="T14" i="6"/>
  <c r="V14" i="6"/>
  <c r="U14" i="6"/>
  <c r="W40" i="6"/>
  <c r="AI14" i="6"/>
  <c r="AH14" i="6"/>
  <c r="N45" i="6"/>
  <c r="N40" i="6"/>
  <c r="N48" i="6"/>
  <c r="N65" i="6"/>
  <c r="N71" i="6"/>
  <c r="N74" i="6"/>
  <c r="F37" i="6"/>
  <c r="F44" i="6"/>
  <c r="F67" i="6"/>
  <c r="F69" i="6"/>
  <c r="F72" i="6"/>
  <c r="D4" i="6"/>
  <c r="E4" i="6"/>
  <c r="AO43" i="6"/>
  <c r="AO45" i="6"/>
  <c r="AO44" i="6"/>
  <c r="AO68" i="6"/>
  <c r="AO71" i="6"/>
  <c r="AO75" i="6"/>
  <c r="AF14" i="6"/>
  <c r="AE14" i="6"/>
  <c r="AD14" i="6"/>
  <c r="AC14" i="6"/>
  <c r="Y53" i="6"/>
  <c r="Y51" i="6"/>
  <c r="AB55" i="6"/>
  <c r="AB52" i="6"/>
  <c r="AB61" i="6"/>
  <c r="AR13" i="6"/>
  <c r="S37" i="6"/>
  <c r="S45" i="6"/>
  <c r="S47" i="6"/>
  <c r="S76" i="6"/>
  <c r="S72" i="6"/>
  <c r="C42" i="6"/>
  <c r="C44" i="6"/>
  <c r="C41" i="6"/>
  <c r="C65" i="6"/>
  <c r="C71" i="6"/>
  <c r="C70" i="6"/>
  <c r="W51" i="6"/>
  <c r="W54" i="6"/>
  <c r="W62" i="6"/>
  <c r="AN14" i="6"/>
  <c r="AM14" i="6"/>
  <c r="AL14" i="6"/>
  <c r="AK14" i="6"/>
  <c r="AP14" i="6"/>
  <c r="AO39" i="6"/>
  <c r="AH3" i="6"/>
  <c r="AJ55" i="6"/>
  <c r="AJ52" i="6"/>
  <c r="AJ62" i="6"/>
  <c r="AO15" i="6"/>
  <c r="N39" i="6"/>
  <c r="L15" i="6" l="1"/>
  <c r="U56" i="6"/>
  <c r="AI58" i="6"/>
  <c r="V59" i="6"/>
  <c r="E15" i="6"/>
  <c r="O58" i="6"/>
  <c r="Z62" i="6"/>
  <c r="D15" i="6"/>
  <c r="U62" i="6"/>
  <c r="Y56" i="6"/>
  <c r="Y59" i="6"/>
  <c r="I76" i="6"/>
  <c r="AA62" i="6"/>
  <c r="O70" i="6"/>
  <c r="Y54" i="6"/>
  <c r="Y61" i="6"/>
  <c r="H73" i="6"/>
  <c r="X56" i="6"/>
  <c r="AO8" i="6"/>
  <c r="U59" i="6"/>
  <c r="U58" i="6"/>
  <c r="U53" i="6"/>
  <c r="M74" i="6"/>
  <c r="Z56" i="6"/>
  <c r="U51" i="6"/>
  <c r="U76" i="6"/>
  <c r="Q44" i="6"/>
  <c r="Z8" i="6"/>
  <c r="AI52" i="6"/>
  <c r="I42" i="6"/>
  <c r="I67" i="6"/>
  <c r="K74" i="6"/>
  <c r="P76" i="6"/>
  <c r="O15" i="6"/>
  <c r="T68" i="6"/>
  <c r="B79" i="6"/>
  <c r="AK48" i="6"/>
  <c r="X58" i="6"/>
  <c r="Z55" i="6"/>
  <c r="X61" i="6"/>
  <c r="Z61" i="6"/>
  <c r="P74" i="6"/>
  <c r="G75" i="6"/>
  <c r="D65" i="6"/>
  <c r="K43" i="6"/>
  <c r="L75" i="6"/>
  <c r="O47" i="6"/>
  <c r="O62" i="6"/>
  <c r="I46" i="6"/>
  <c r="P45" i="6"/>
  <c r="I74" i="6"/>
  <c r="I39" i="6"/>
  <c r="I70" i="6"/>
  <c r="G43" i="6"/>
  <c r="I72" i="6"/>
  <c r="I43" i="6"/>
  <c r="M37" i="6"/>
  <c r="L44" i="6"/>
  <c r="L65" i="6"/>
  <c r="Q48" i="6"/>
  <c r="U7" i="6"/>
  <c r="U52" i="6"/>
  <c r="U55" i="6"/>
  <c r="U60" i="6"/>
  <c r="P66" i="6"/>
  <c r="O72" i="6"/>
  <c r="O8" i="6"/>
  <c r="U8" i="6"/>
  <c r="U54" i="6"/>
  <c r="U57" i="6"/>
  <c r="P42" i="6"/>
  <c r="P71" i="6"/>
  <c r="O37" i="6"/>
  <c r="O74" i="6"/>
  <c r="O7" i="6"/>
  <c r="P37" i="6"/>
  <c r="O45" i="6"/>
  <c r="O52" i="6"/>
  <c r="Q39" i="6"/>
  <c r="Q45" i="6"/>
  <c r="Q73" i="6"/>
  <c r="Q66" i="6"/>
  <c r="Q76" i="6"/>
  <c r="T38" i="6"/>
  <c r="T76" i="6"/>
  <c r="T37" i="6"/>
  <c r="T73" i="6"/>
  <c r="AA8" i="6"/>
  <c r="T45" i="6"/>
  <c r="T70" i="6"/>
  <c r="X53" i="6"/>
  <c r="AA51" i="6"/>
  <c r="Z60" i="6"/>
  <c r="Y58" i="6"/>
  <c r="Y55" i="6"/>
  <c r="Y60" i="6"/>
  <c r="Z52" i="6"/>
  <c r="Z51" i="6"/>
  <c r="Z59" i="6"/>
  <c r="AA54" i="6"/>
  <c r="Z58" i="6"/>
  <c r="Z57" i="6"/>
  <c r="Y7" i="6"/>
  <c r="Y52" i="6"/>
  <c r="Y57" i="6"/>
  <c r="Z7" i="6"/>
  <c r="Z54" i="6"/>
  <c r="Z53" i="6"/>
  <c r="AA61" i="6"/>
  <c r="Y8" i="6"/>
  <c r="AI60" i="6"/>
  <c r="AI57" i="6"/>
  <c r="AK41" i="6"/>
  <c r="AK68" i="6"/>
  <c r="AK74" i="6"/>
  <c r="AK39" i="6"/>
  <c r="AK67" i="6"/>
  <c r="AM73" i="6"/>
  <c r="AM75" i="6"/>
  <c r="AK42" i="6"/>
  <c r="AK76" i="6"/>
  <c r="L69" i="6"/>
  <c r="L46" i="6"/>
  <c r="L74" i="6"/>
  <c r="L41" i="6"/>
  <c r="E41" i="6"/>
  <c r="I41" i="6"/>
  <c r="I47" i="6"/>
  <c r="I71" i="6"/>
  <c r="K42" i="6"/>
  <c r="K69" i="6"/>
  <c r="K75" i="6"/>
  <c r="K67" i="6"/>
  <c r="I38" i="6"/>
  <c r="I68" i="6"/>
  <c r="K44" i="6"/>
  <c r="G65" i="6"/>
  <c r="E48" i="6"/>
  <c r="E76" i="6"/>
  <c r="E70" i="6"/>
  <c r="E74" i="6"/>
  <c r="E39" i="6"/>
  <c r="E69" i="6"/>
  <c r="E42" i="6"/>
  <c r="D69" i="6"/>
  <c r="L47" i="6"/>
  <c r="L43" i="6"/>
  <c r="L68" i="6"/>
  <c r="L71" i="6"/>
  <c r="L76" i="6"/>
  <c r="D46" i="6"/>
  <c r="D74" i="6"/>
  <c r="G44" i="6"/>
  <c r="G69" i="6"/>
  <c r="L38" i="6"/>
  <c r="L37" i="6"/>
  <c r="L45" i="6"/>
  <c r="L66" i="6"/>
  <c r="L70" i="6"/>
  <c r="L73" i="6"/>
  <c r="D41" i="6"/>
  <c r="G46" i="6"/>
  <c r="G70" i="6"/>
  <c r="AN75" i="6"/>
  <c r="L40" i="6"/>
  <c r="L42" i="6"/>
  <c r="L39" i="6"/>
  <c r="L48" i="6"/>
  <c r="L67" i="6"/>
  <c r="L72" i="6"/>
  <c r="D75" i="6"/>
  <c r="AH76" i="6"/>
  <c r="AH74" i="6"/>
  <c r="AH72" i="6"/>
  <c r="AH75" i="6"/>
  <c r="AH73" i="6"/>
  <c r="AH71" i="6"/>
  <c r="AH69" i="6"/>
  <c r="AH70" i="6"/>
  <c r="AH68" i="6"/>
  <c r="AH67" i="6"/>
  <c r="AH65" i="6"/>
  <c r="AH47" i="6"/>
  <c r="AH66" i="6"/>
  <c r="AH46" i="6"/>
  <c r="AH44" i="6"/>
  <c r="AH42" i="6"/>
  <c r="AH40" i="6"/>
  <c r="AH38" i="6"/>
  <c r="AH48" i="6"/>
  <c r="AH43" i="6"/>
  <c r="AH39" i="6"/>
  <c r="AH15" i="6"/>
  <c r="AH41" i="6"/>
  <c r="AH45" i="6"/>
  <c r="AH37" i="6"/>
  <c r="C18" i="6"/>
  <c r="D16" i="6"/>
  <c r="AN46" i="6"/>
  <c r="AN40" i="6"/>
  <c r="AN41" i="6"/>
  <c r="AN66" i="6"/>
  <c r="AN69" i="6"/>
  <c r="AN74" i="6"/>
  <c r="Q43" i="6"/>
  <c r="Q38" i="6"/>
  <c r="Q46" i="6"/>
  <c r="Q70" i="6"/>
  <c r="Q67" i="6"/>
  <c r="Q72" i="6"/>
  <c r="AS13" i="6"/>
  <c r="E37" i="6"/>
  <c r="E43" i="6"/>
  <c r="E44" i="6"/>
  <c r="E66" i="6"/>
  <c r="E73" i="6"/>
  <c r="E71" i="6"/>
  <c r="V76" i="6"/>
  <c r="V73" i="6"/>
  <c r="V68" i="6"/>
  <c r="V47" i="6"/>
  <c r="V40" i="6"/>
  <c r="V37" i="6"/>
  <c r="V43" i="6"/>
  <c r="V70" i="6"/>
  <c r="V48" i="6"/>
  <c r="V74" i="6"/>
  <c r="V71" i="6"/>
  <c r="V66" i="6"/>
  <c r="V46" i="6"/>
  <c r="V38" i="6"/>
  <c r="V15" i="6"/>
  <c r="V42" i="6"/>
  <c r="V72" i="6"/>
  <c r="V69" i="6"/>
  <c r="V65" i="6"/>
  <c r="V44" i="6"/>
  <c r="V45" i="6"/>
  <c r="V39" i="6"/>
  <c r="V75" i="6"/>
  <c r="V67" i="6"/>
  <c r="V41" i="6"/>
  <c r="T62" i="6"/>
  <c r="T52" i="6"/>
  <c r="T53" i="6"/>
  <c r="T60" i="6"/>
  <c r="T8" i="6"/>
  <c r="T58" i="6"/>
  <c r="T59" i="6"/>
  <c r="T51" i="6"/>
  <c r="T55" i="6"/>
  <c r="T7" i="6"/>
  <c r="T56" i="6"/>
  <c r="T57" i="6"/>
  <c r="T61" i="6"/>
  <c r="T54" i="6"/>
  <c r="X7" i="6"/>
  <c r="X55" i="6"/>
  <c r="X52" i="6"/>
  <c r="X60" i="6"/>
  <c r="I15" i="6"/>
  <c r="I45" i="6"/>
  <c r="I44" i="6"/>
  <c r="I48" i="6"/>
  <c r="I73" i="6"/>
  <c r="I75" i="6"/>
  <c r="AD76" i="6"/>
  <c r="AD74" i="6"/>
  <c r="AD72" i="6"/>
  <c r="AD75" i="6"/>
  <c r="AD73" i="6"/>
  <c r="AD71" i="6"/>
  <c r="AD69" i="6"/>
  <c r="AD70" i="6"/>
  <c r="AD68" i="6"/>
  <c r="AD65" i="6"/>
  <c r="AD67" i="6"/>
  <c r="AD66" i="6"/>
  <c r="AD47" i="6"/>
  <c r="AD48" i="6"/>
  <c r="AD46" i="6"/>
  <c r="AD44" i="6"/>
  <c r="AD42" i="6"/>
  <c r="AD40" i="6"/>
  <c r="AD38" i="6"/>
  <c r="AD45" i="6"/>
  <c r="AD41" i="6"/>
  <c r="AD37" i="6"/>
  <c r="AD15" i="6"/>
  <c r="AD43" i="6"/>
  <c r="AD39" i="6"/>
  <c r="K46" i="6"/>
  <c r="K37" i="6"/>
  <c r="K45" i="6"/>
  <c r="K47" i="6"/>
  <c r="K68" i="6"/>
  <c r="K76" i="6"/>
  <c r="H46" i="6"/>
  <c r="H40" i="6"/>
  <c r="H41" i="6"/>
  <c r="H65" i="6"/>
  <c r="H69" i="6"/>
  <c r="H74" i="6"/>
  <c r="AA7" i="6"/>
  <c r="AA59" i="6"/>
  <c r="AA56" i="6"/>
  <c r="T15" i="6"/>
  <c r="T42" i="6"/>
  <c r="T39" i="6"/>
  <c r="T48" i="6"/>
  <c r="T67" i="6"/>
  <c r="T72" i="6"/>
  <c r="T75" i="6"/>
  <c r="AD61" i="6"/>
  <c r="AD60" i="6"/>
  <c r="AD59" i="6"/>
  <c r="AD57" i="6"/>
  <c r="AD55" i="6"/>
  <c r="AD53" i="6"/>
  <c r="AD51" i="6"/>
  <c r="AD58" i="6"/>
  <c r="AD56" i="6"/>
  <c r="AD54" i="6"/>
  <c r="AD52" i="6"/>
  <c r="AD8" i="6"/>
  <c r="AD7" i="6"/>
  <c r="AD62" i="6"/>
  <c r="L62" i="6"/>
  <c r="L58" i="6"/>
  <c r="L56" i="6"/>
  <c r="L54" i="6"/>
  <c r="L52" i="6"/>
  <c r="L60" i="6"/>
  <c r="L59" i="6"/>
  <c r="L57" i="6"/>
  <c r="L55" i="6"/>
  <c r="L53" i="6"/>
  <c r="L51" i="6"/>
  <c r="L61" i="6"/>
  <c r="L7" i="6"/>
  <c r="L8" i="6"/>
  <c r="V54" i="6"/>
  <c r="V61" i="6"/>
  <c r="V55" i="6"/>
  <c r="P46" i="6"/>
  <c r="P39" i="6"/>
  <c r="P47" i="6"/>
  <c r="P68" i="6"/>
  <c r="P72" i="6"/>
  <c r="P73" i="6"/>
  <c r="AK37" i="6"/>
  <c r="AK43" i="6"/>
  <c r="AK44" i="6"/>
  <c r="AK73" i="6"/>
  <c r="AK70" i="6"/>
  <c r="AK69" i="6"/>
  <c r="O38" i="6"/>
  <c r="O39" i="6"/>
  <c r="O48" i="6"/>
  <c r="O71" i="6"/>
  <c r="O66" i="6"/>
  <c r="O73" i="6"/>
  <c r="U15" i="6"/>
  <c r="U38" i="6"/>
  <c r="U46" i="6"/>
  <c r="U65" i="6"/>
  <c r="U75" i="6"/>
  <c r="U72" i="6"/>
  <c r="X75" i="6"/>
  <c r="X73" i="6"/>
  <c r="X76" i="6"/>
  <c r="X74" i="6"/>
  <c r="X70" i="6"/>
  <c r="X72" i="6"/>
  <c r="X71" i="6"/>
  <c r="X69" i="6"/>
  <c r="X67" i="6"/>
  <c r="X68" i="6"/>
  <c r="X65" i="6"/>
  <c r="X66" i="6"/>
  <c r="X48" i="6"/>
  <c r="X45" i="6"/>
  <c r="X43" i="6"/>
  <c r="X41" i="6"/>
  <c r="X39" i="6"/>
  <c r="X37" i="6"/>
  <c r="X47" i="6"/>
  <c r="X44" i="6"/>
  <c r="X40" i="6"/>
  <c r="X46" i="6"/>
  <c r="X38" i="6"/>
  <c r="X42" i="6"/>
  <c r="X15" i="6"/>
  <c r="Y76" i="6"/>
  <c r="Y74" i="6"/>
  <c r="Y72" i="6"/>
  <c r="Y75" i="6"/>
  <c r="Y71" i="6"/>
  <c r="Y69" i="6"/>
  <c r="Y67" i="6"/>
  <c r="Y73" i="6"/>
  <c r="Y70" i="6"/>
  <c r="Y65" i="6"/>
  <c r="Y66" i="6"/>
  <c r="Y48" i="6"/>
  <c r="Y68" i="6"/>
  <c r="Y47" i="6"/>
  <c r="Y46" i="6"/>
  <c r="Y44" i="6"/>
  <c r="Y42" i="6"/>
  <c r="Y40" i="6"/>
  <c r="Y38" i="6"/>
  <c r="Y45" i="6"/>
  <c r="Y41" i="6"/>
  <c r="Y37" i="6"/>
  <c r="Y43" i="6"/>
  <c r="Y39" i="6"/>
  <c r="Y15" i="6"/>
  <c r="D40" i="6"/>
  <c r="D47" i="6"/>
  <c r="D43" i="6"/>
  <c r="D68" i="6"/>
  <c r="D71" i="6"/>
  <c r="D76" i="6"/>
  <c r="M41" i="6"/>
  <c r="M39" i="6"/>
  <c r="M42" i="6"/>
  <c r="M66" i="6"/>
  <c r="M67" i="6"/>
  <c r="M75" i="6"/>
  <c r="G15" i="6"/>
  <c r="G37" i="6"/>
  <c r="G45" i="6"/>
  <c r="G72" i="6"/>
  <c r="G71" i="6"/>
  <c r="G76" i="6"/>
  <c r="AM44" i="6"/>
  <c r="AM46" i="6"/>
  <c r="AM43" i="6"/>
  <c r="AM65" i="6"/>
  <c r="AM74" i="6"/>
  <c r="AM76" i="6"/>
  <c r="AM61" i="6"/>
  <c r="AM62" i="6"/>
  <c r="AM60" i="6"/>
  <c r="AM58" i="6"/>
  <c r="AM56" i="6"/>
  <c r="AM54" i="6"/>
  <c r="AM52" i="6"/>
  <c r="AM53" i="6"/>
  <c r="AM59" i="6"/>
  <c r="AM51" i="6"/>
  <c r="AM7" i="6"/>
  <c r="AM55" i="6"/>
  <c r="AM57" i="6"/>
  <c r="AM8" i="6"/>
  <c r="AK62" i="6"/>
  <c r="AK60" i="6"/>
  <c r="AK61" i="6"/>
  <c r="AK59" i="6"/>
  <c r="AK57" i="6"/>
  <c r="AK55" i="6"/>
  <c r="AK53" i="6"/>
  <c r="AK51" i="6"/>
  <c r="AK54" i="6"/>
  <c r="AK52" i="6"/>
  <c r="AK56" i="6"/>
  <c r="AK8" i="6"/>
  <c r="AK58" i="6"/>
  <c r="AK7" i="6"/>
  <c r="AI51" i="6"/>
  <c r="AI7" i="6"/>
  <c r="AI54" i="6"/>
  <c r="AI62" i="6"/>
  <c r="O53" i="6"/>
  <c r="O59" i="6"/>
  <c r="O54" i="6"/>
  <c r="O61" i="6"/>
  <c r="AN15" i="6"/>
  <c r="AN44" i="6"/>
  <c r="AN43" i="6"/>
  <c r="AN65" i="6"/>
  <c r="AN72" i="6"/>
  <c r="AN76" i="6"/>
  <c r="J72" i="6"/>
  <c r="J69" i="6"/>
  <c r="J65" i="6"/>
  <c r="J44" i="6"/>
  <c r="J48" i="6"/>
  <c r="J38" i="6"/>
  <c r="J75" i="6"/>
  <c r="J70" i="6"/>
  <c r="J66" i="6"/>
  <c r="J42" i="6"/>
  <c r="J43" i="6"/>
  <c r="J37" i="6"/>
  <c r="J41" i="6"/>
  <c r="J74" i="6"/>
  <c r="J71" i="6"/>
  <c r="J67" i="6"/>
  <c r="J46" i="6"/>
  <c r="J15" i="6"/>
  <c r="J76" i="6"/>
  <c r="J73" i="6"/>
  <c r="J68" i="6"/>
  <c r="J47" i="6"/>
  <c r="J40" i="6"/>
  <c r="J39" i="6"/>
  <c r="J45" i="6"/>
  <c r="AF75" i="6"/>
  <c r="AF73" i="6"/>
  <c r="AF76" i="6"/>
  <c r="AF74" i="6"/>
  <c r="AF70" i="6"/>
  <c r="AF72" i="6"/>
  <c r="AF71" i="6"/>
  <c r="AF69" i="6"/>
  <c r="AF67" i="6"/>
  <c r="AF68" i="6"/>
  <c r="AF66" i="6"/>
  <c r="AF65" i="6"/>
  <c r="AF48" i="6"/>
  <c r="AF47" i="6"/>
  <c r="AF45" i="6"/>
  <c r="AF43" i="6"/>
  <c r="AF41" i="6"/>
  <c r="AF39" i="6"/>
  <c r="AF37" i="6"/>
  <c r="AF44" i="6"/>
  <c r="AF40" i="6"/>
  <c r="AF42" i="6"/>
  <c r="AF38" i="6"/>
  <c r="AF46" i="6"/>
  <c r="AF15" i="6"/>
  <c r="H38" i="6"/>
  <c r="H48" i="6"/>
  <c r="H70" i="6"/>
  <c r="AF62" i="6"/>
  <c r="AF58" i="6"/>
  <c r="AF56" i="6"/>
  <c r="AF54" i="6"/>
  <c r="AF52" i="6"/>
  <c r="AF60" i="6"/>
  <c r="AF59" i="6"/>
  <c r="AF57" i="6"/>
  <c r="AF55" i="6"/>
  <c r="AF53" i="6"/>
  <c r="AF51" i="6"/>
  <c r="AF61" i="6"/>
  <c r="AF8" i="6"/>
  <c r="AF7" i="6"/>
  <c r="M62" i="6"/>
  <c r="M60" i="6"/>
  <c r="M61" i="6"/>
  <c r="M59" i="6"/>
  <c r="M57" i="6"/>
  <c r="M55" i="6"/>
  <c r="M53" i="6"/>
  <c r="M51" i="6"/>
  <c r="M58" i="6"/>
  <c r="M56" i="6"/>
  <c r="M52" i="6"/>
  <c r="M8" i="6"/>
  <c r="M54" i="6"/>
  <c r="M7" i="6"/>
  <c r="V60" i="6"/>
  <c r="U37" i="6"/>
  <c r="U43" i="6"/>
  <c r="U73" i="6"/>
  <c r="U70" i="6"/>
  <c r="U71" i="6"/>
  <c r="P62" i="6"/>
  <c r="P58" i="6"/>
  <c r="P56" i="6"/>
  <c r="P54" i="6"/>
  <c r="P52" i="6"/>
  <c r="P61" i="6"/>
  <c r="P60" i="6"/>
  <c r="P59" i="6"/>
  <c r="P57" i="6"/>
  <c r="P55" i="6"/>
  <c r="P53" i="6"/>
  <c r="P51" i="6"/>
  <c r="P8" i="6"/>
  <c r="P7" i="6"/>
  <c r="M70" i="6"/>
  <c r="M47" i="6"/>
  <c r="M73" i="6"/>
  <c r="M76" i="6"/>
  <c r="AM40" i="6"/>
  <c r="AQ14" i="6"/>
  <c r="AP72" i="6"/>
  <c r="AP71" i="6"/>
  <c r="AP65" i="6"/>
  <c r="AP42" i="6"/>
  <c r="AP46" i="6"/>
  <c r="AP74" i="6"/>
  <c r="AP67" i="6"/>
  <c r="AP48" i="6"/>
  <c r="AP75" i="6"/>
  <c r="AP70" i="6"/>
  <c r="AP66" i="6"/>
  <c r="AP40" i="6"/>
  <c r="AP43" i="6"/>
  <c r="AP69" i="6"/>
  <c r="AP44" i="6"/>
  <c r="AP15" i="6"/>
  <c r="AP76" i="6"/>
  <c r="AP73" i="6"/>
  <c r="AP68" i="6"/>
  <c r="AP47" i="6"/>
  <c r="AP38" i="6"/>
  <c r="AP39" i="6"/>
  <c r="AP41" i="6"/>
  <c r="AP37" i="6"/>
  <c r="AP45" i="6"/>
  <c r="Q65" i="6"/>
  <c r="E46" i="6"/>
  <c r="E65" i="6"/>
  <c r="E75" i="6"/>
  <c r="E72" i="6"/>
  <c r="D62" i="6"/>
  <c r="D60" i="6"/>
  <c r="D58" i="6"/>
  <c r="D56" i="6"/>
  <c r="D54" i="6"/>
  <c r="D52" i="6"/>
  <c r="D59" i="6"/>
  <c r="D57" i="6"/>
  <c r="D55" i="6"/>
  <c r="D53" i="6"/>
  <c r="D51" i="6"/>
  <c r="D61" i="6"/>
  <c r="D7" i="6"/>
  <c r="D8" i="6"/>
  <c r="X8" i="6"/>
  <c r="X57" i="6"/>
  <c r="X54" i="6"/>
  <c r="X62" i="6"/>
  <c r="AC76" i="6"/>
  <c r="AC74" i="6"/>
  <c r="AC72" i="6"/>
  <c r="AC75" i="6"/>
  <c r="AC73" i="6"/>
  <c r="AC71" i="6"/>
  <c r="AC69" i="6"/>
  <c r="AC67" i="6"/>
  <c r="AC68" i="6"/>
  <c r="AC65" i="6"/>
  <c r="AC48" i="6"/>
  <c r="AC70" i="6"/>
  <c r="AC47" i="6"/>
  <c r="AC66" i="6"/>
  <c r="AC46" i="6"/>
  <c r="AC44" i="6"/>
  <c r="AC42" i="6"/>
  <c r="AC40" i="6"/>
  <c r="AC38" i="6"/>
  <c r="AC43" i="6"/>
  <c r="AC39" i="6"/>
  <c r="AC45" i="6"/>
  <c r="AC15" i="6"/>
  <c r="AC41" i="6"/>
  <c r="AC37" i="6"/>
  <c r="K15" i="6"/>
  <c r="K39" i="6"/>
  <c r="K65" i="6"/>
  <c r="K71" i="6"/>
  <c r="K70" i="6"/>
  <c r="K73" i="6"/>
  <c r="H15" i="6"/>
  <c r="H44" i="6"/>
  <c r="H43" i="6"/>
  <c r="H66" i="6"/>
  <c r="H71" i="6"/>
  <c r="H76" i="6"/>
  <c r="AA53" i="6"/>
  <c r="AA60" i="6"/>
  <c r="AA58" i="6"/>
  <c r="T44" i="6"/>
  <c r="T46" i="6"/>
  <c r="T41" i="6"/>
  <c r="T65" i="6"/>
  <c r="T69" i="6"/>
  <c r="T74" i="6"/>
  <c r="AC62" i="6"/>
  <c r="AC60" i="6"/>
  <c r="AC61" i="6"/>
  <c r="AC59" i="6"/>
  <c r="AC57" i="6"/>
  <c r="AC55" i="6"/>
  <c r="AC53" i="6"/>
  <c r="AC51" i="6"/>
  <c r="AC58" i="6"/>
  <c r="AC56" i="6"/>
  <c r="AC52" i="6"/>
  <c r="AC54" i="6"/>
  <c r="AC8" i="6"/>
  <c r="AC7" i="6"/>
  <c r="K61" i="6"/>
  <c r="K62" i="6"/>
  <c r="K58" i="6"/>
  <c r="K56" i="6"/>
  <c r="K54" i="6"/>
  <c r="K52" i="6"/>
  <c r="K60" i="6"/>
  <c r="K59" i="6"/>
  <c r="K51" i="6"/>
  <c r="K57" i="6"/>
  <c r="K7" i="6"/>
  <c r="K53" i="6"/>
  <c r="K55" i="6"/>
  <c r="K8" i="6"/>
  <c r="J62" i="6"/>
  <c r="J61" i="6"/>
  <c r="J59" i="6"/>
  <c r="J57" i="6"/>
  <c r="J55" i="6"/>
  <c r="J53" i="6"/>
  <c r="J51" i="6"/>
  <c r="J58" i="6"/>
  <c r="J56" i="6"/>
  <c r="J54" i="6"/>
  <c r="J52" i="6"/>
  <c r="J60" i="6"/>
  <c r="J8" i="6"/>
  <c r="J7" i="6"/>
  <c r="V7" i="6"/>
  <c r="V56" i="6"/>
  <c r="V62" i="6"/>
  <c r="V57" i="6"/>
  <c r="P15" i="6"/>
  <c r="P40" i="6"/>
  <c r="P41" i="6"/>
  <c r="P48" i="6"/>
  <c r="P67" i="6"/>
  <c r="P70" i="6"/>
  <c r="P75" i="6"/>
  <c r="AK15" i="6"/>
  <c r="AK38" i="6"/>
  <c r="AK46" i="6"/>
  <c r="AK65" i="6"/>
  <c r="AK71" i="6"/>
  <c r="AK72" i="6"/>
  <c r="O40" i="6"/>
  <c r="O42" i="6"/>
  <c r="O41" i="6"/>
  <c r="O65" i="6"/>
  <c r="O76" i="6"/>
  <c r="O68" i="6"/>
  <c r="O75" i="6"/>
  <c r="U45" i="6"/>
  <c r="U40" i="6"/>
  <c r="U47" i="6"/>
  <c r="U66" i="6"/>
  <c r="U67" i="6"/>
  <c r="U74" i="6"/>
  <c r="Z76" i="6"/>
  <c r="Z74" i="6"/>
  <c r="Z72" i="6"/>
  <c r="Z75" i="6"/>
  <c r="Z73" i="6"/>
  <c r="Z71" i="6"/>
  <c r="Z69" i="6"/>
  <c r="Z70" i="6"/>
  <c r="Z68" i="6"/>
  <c r="Z67" i="6"/>
  <c r="Z65" i="6"/>
  <c r="Z66" i="6"/>
  <c r="Z47" i="6"/>
  <c r="Z46" i="6"/>
  <c r="Z44" i="6"/>
  <c r="Z42" i="6"/>
  <c r="Z40" i="6"/>
  <c r="Z38" i="6"/>
  <c r="Z48" i="6"/>
  <c r="Z43" i="6"/>
  <c r="Z39" i="6"/>
  <c r="Z15" i="6"/>
  <c r="Z37" i="6"/>
  <c r="Z45" i="6"/>
  <c r="Z41" i="6"/>
  <c r="D38" i="6"/>
  <c r="D37" i="6"/>
  <c r="D45" i="6"/>
  <c r="D66" i="6"/>
  <c r="D70" i="6"/>
  <c r="D73" i="6"/>
  <c r="M15" i="6"/>
  <c r="M43" i="6"/>
  <c r="M44" i="6"/>
  <c r="M48" i="6"/>
  <c r="M69" i="6"/>
  <c r="M72" i="6"/>
  <c r="AL76" i="6"/>
  <c r="AL74" i="6"/>
  <c r="AL72" i="6"/>
  <c r="AL75" i="6"/>
  <c r="AL73" i="6"/>
  <c r="AL69" i="6"/>
  <c r="AL71" i="6"/>
  <c r="AL70" i="6"/>
  <c r="AL68" i="6"/>
  <c r="AL66" i="6"/>
  <c r="AL65" i="6"/>
  <c r="AL67" i="6"/>
  <c r="AL47" i="6"/>
  <c r="AL46" i="6"/>
  <c r="AL44" i="6"/>
  <c r="AL42" i="6"/>
  <c r="AL40" i="6"/>
  <c r="AL38" i="6"/>
  <c r="AL48" i="6"/>
  <c r="AL45" i="6"/>
  <c r="AL41" i="6"/>
  <c r="AL37" i="6"/>
  <c r="AL15" i="6"/>
  <c r="AL39" i="6"/>
  <c r="AL43" i="6"/>
  <c r="R61" i="6"/>
  <c r="R59" i="6"/>
  <c r="R57" i="6"/>
  <c r="R55" i="6"/>
  <c r="R53" i="6"/>
  <c r="R51" i="6"/>
  <c r="R60" i="6"/>
  <c r="R62" i="6"/>
  <c r="R58" i="6"/>
  <c r="R56" i="6"/>
  <c r="R54" i="6"/>
  <c r="R52" i="6"/>
  <c r="R8" i="6"/>
  <c r="R7" i="6"/>
  <c r="G38" i="6"/>
  <c r="G39" i="6"/>
  <c r="G48" i="6"/>
  <c r="G66" i="6"/>
  <c r="G74" i="6"/>
  <c r="G73" i="6"/>
  <c r="AM15" i="6"/>
  <c r="AM37" i="6"/>
  <c r="AM45" i="6"/>
  <c r="AM72" i="6"/>
  <c r="AM66" i="6"/>
  <c r="AM71" i="6"/>
  <c r="AN62" i="6"/>
  <c r="AN60" i="6"/>
  <c r="AN58" i="6"/>
  <c r="AN56" i="6"/>
  <c r="AN54" i="6"/>
  <c r="AN52" i="6"/>
  <c r="AN61" i="6"/>
  <c r="AN59" i="6"/>
  <c r="AN57" i="6"/>
  <c r="AN55" i="6"/>
  <c r="AN53" i="6"/>
  <c r="AN51" i="6"/>
  <c r="AN8" i="6"/>
  <c r="AN7" i="6"/>
  <c r="AI8" i="6"/>
  <c r="AI53" i="6"/>
  <c r="AI56" i="6"/>
  <c r="AI61" i="6"/>
  <c r="O51" i="6"/>
  <c r="O55" i="6"/>
  <c r="O56" i="6"/>
  <c r="AN38" i="6"/>
  <c r="AN37" i="6"/>
  <c r="AN45" i="6"/>
  <c r="AN68" i="6"/>
  <c r="AN70" i="6"/>
  <c r="AN73" i="6"/>
  <c r="AH61" i="6"/>
  <c r="AH59" i="6"/>
  <c r="AH57" i="6"/>
  <c r="AH55" i="6"/>
  <c r="AH53" i="6"/>
  <c r="AH51" i="6"/>
  <c r="AH60" i="6"/>
  <c r="AH62" i="6"/>
  <c r="AH58" i="6"/>
  <c r="AH56" i="6"/>
  <c r="AH54" i="6"/>
  <c r="AH52" i="6"/>
  <c r="AH8" i="6"/>
  <c r="AH7" i="6"/>
  <c r="Q62" i="6"/>
  <c r="Q60" i="6"/>
  <c r="Q61" i="6"/>
  <c r="Q59" i="6"/>
  <c r="Q57" i="6"/>
  <c r="Q55" i="6"/>
  <c r="Q53" i="6"/>
  <c r="Q51" i="6"/>
  <c r="Q56" i="6"/>
  <c r="Q54" i="6"/>
  <c r="Q58" i="6"/>
  <c r="Q8" i="6"/>
  <c r="Q52" i="6"/>
  <c r="Q7" i="6"/>
  <c r="H42" i="6"/>
  <c r="H39" i="6"/>
  <c r="H67" i="6"/>
  <c r="H75" i="6"/>
  <c r="H62" i="6"/>
  <c r="H60" i="6"/>
  <c r="H58" i="6"/>
  <c r="H56" i="6"/>
  <c r="H54" i="6"/>
  <c r="H52" i="6"/>
  <c r="H61" i="6"/>
  <c r="H59" i="6"/>
  <c r="H57" i="6"/>
  <c r="H55" i="6"/>
  <c r="H53" i="6"/>
  <c r="H51" i="6"/>
  <c r="H8" i="6"/>
  <c r="H7" i="6"/>
  <c r="V52" i="6"/>
  <c r="V53" i="6"/>
  <c r="U44" i="6"/>
  <c r="AA75" i="6"/>
  <c r="AA73" i="6"/>
  <c r="AA76" i="6"/>
  <c r="AA74" i="6"/>
  <c r="AA72" i="6"/>
  <c r="AA70" i="6"/>
  <c r="AA68" i="6"/>
  <c r="AA66" i="6"/>
  <c r="AA69" i="6"/>
  <c r="AA67" i="6"/>
  <c r="AA47" i="6"/>
  <c r="AA48" i="6"/>
  <c r="AA45" i="6"/>
  <c r="AA43" i="6"/>
  <c r="AA41" i="6"/>
  <c r="AA39" i="6"/>
  <c r="AA37" i="6"/>
  <c r="AA44" i="6"/>
  <c r="AA40" i="6"/>
  <c r="AA15" i="6"/>
  <c r="AA65" i="6"/>
  <c r="AA46" i="6"/>
  <c r="AA42" i="6"/>
  <c r="AA71" i="6"/>
  <c r="AA38" i="6"/>
  <c r="M40" i="6"/>
  <c r="M68" i="6"/>
  <c r="AM42" i="6"/>
  <c r="AM41" i="6"/>
  <c r="AM47" i="6"/>
  <c r="AM69" i="6"/>
  <c r="AM70" i="6"/>
  <c r="AP61" i="6"/>
  <c r="AP62" i="6"/>
  <c r="AP59" i="6"/>
  <c r="AP57" i="6"/>
  <c r="AP55" i="6"/>
  <c r="AP53" i="6"/>
  <c r="AP51" i="6"/>
  <c r="AP58" i="6"/>
  <c r="AP56" i="6"/>
  <c r="AP54" i="6"/>
  <c r="AP52" i="6"/>
  <c r="AP8" i="6"/>
  <c r="AP7" i="6"/>
  <c r="AQ3" i="6"/>
  <c r="AP60" i="6"/>
  <c r="Q37" i="6"/>
  <c r="Q40" i="6"/>
  <c r="Q68" i="6"/>
  <c r="Q69" i="6"/>
  <c r="Q74" i="6"/>
  <c r="E38" i="6"/>
  <c r="Q15" i="6"/>
  <c r="Q41" i="6"/>
  <c r="Q42" i="6"/>
  <c r="Q47" i="6"/>
  <c r="Q75" i="6"/>
  <c r="Q71" i="6"/>
  <c r="E45" i="6"/>
  <c r="E40" i="6"/>
  <c r="E47" i="6"/>
  <c r="E68" i="6"/>
  <c r="E67" i="6"/>
  <c r="AI75" i="6"/>
  <c r="AI73" i="6"/>
  <c r="AI71" i="6"/>
  <c r="AI72" i="6"/>
  <c r="AI70" i="6"/>
  <c r="AI68" i="6"/>
  <c r="AI66" i="6"/>
  <c r="AI76" i="6"/>
  <c r="AI69" i="6"/>
  <c r="AI47" i="6"/>
  <c r="AI65" i="6"/>
  <c r="AI48" i="6"/>
  <c r="AI74" i="6"/>
  <c r="AI45" i="6"/>
  <c r="AI43" i="6"/>
  <c r="AI41" i="6"/>
  <c r="AI39" i="6"/>
  <c r="AI37" i="6"/>
  <c r="AI44" i="6"/>
  <c r="AI40" i="6"/>
  <c r="AI15" i="6"/>
  <c r="AI46" i="6"/>
  <c r="AI42" i="6"/>
  <c r="AI67" i="6"/>
  <c r="AI38" i="6"/>
  <c r="E62" i="6"/>
  <c r="E61" i="6"/>
  <c r="E59" i="6"/>
  <c r="E57" i="6"/>
  <c r="E55" i="6"/>
  <c r="E53" i="6"/>
  <c r="E51" i="6"/>
  <c r="E54" i="6"/>
  <c r="E60" i="6"/>
  <c r="E52" i="6"/>
  <c r="E56" i="6"/>
  <c r="E8" i="6"/>
  <c r="E58" i="6"/>
  <c r="E7" i="6"/>
  <c r="X51" i="6"/>
  <c r="X59" i="6"/>
  <c r="I37" i="6"/>
  <c r="I40" i="6"/>
  <c r="I66" i="6"/>
  <c r="I65" i="6"/>
  <c r="I69" i="6"/>
  <c r="AE75" i="6"/>
  <c r="AE73" i="6"/>
  <c r="AE74" i="6"/>
  <c r="AE70" i="6"/>
  <c r="AE68" i="6"/>
  <c r="AE66" i="6"/>
  <c r="AE76" i="6"/>
  <c r="AE67" i="6"/>
  <c r="AE71" i="6"/>
  <c r="AE47" i="6"/>
  <c r="AE72" i="6"/>
  <c r="AE69" i="6"/>
  <c r="AE65" i="6"/>
  <c r="AE48" i="6"/>
  <c r="AE45" i="6"/>
  <c r="AE43" i="6"/>
  <c r="AE41" i="6"/>
  <c r="AE39" i="6"/>
  <c r="AE37" i="6"/>
  <c r="AE46" i="6"/>
  <c r="AE42" i="6"/>
  <c r="AE38" i="6"/>
  <c r="AE15" i="6"/>
  <c r="AE44" i="6"/>
  <c r="AE40" i="6"/>
  <c r="AW9" i="6"/>
  <c r="AV11" i="6"/>
  <c r="K38" i="6"/>
  <c r="K40" i="6"/>
  <c r="K41" i="6"/>
  <c r="K48" i="6"/>
  <c r="K66" i="6"/>
  <c r="K72" i="6"/>
  <c r="H47" i="6"/>
  <c r="H37" i="6"/>
  <c r="H45" i="6"/>
  <c r="H68" i="6"/>
  <c r="H72" i="6"/>
  <c r="R76" i="6"/>
  <c r="R73" i="6"/>
  <c r="R68" i="6"/>
  <c r="R47" i="6"/>
  <c r="R40" i="6"/>
  <c r="R39" i="6"/>
  <c r="R41" i="6"/>
  <c r="R75" i="6"/>
  <c r="R66" i="6"/>
  <c r="R42" i="6"/>
  <c r="R74" i="6"/>
  <c r="R71" i="6"/>
  <c r="R67" i="6"/>
  <c r="R46" i="6"/>
  <c r="R38" i="6"/>
  <c r="R15" i="6"/>
  <c r="R45" i="6"/>
  <c r="R37" i="6"/>
  <c r="R70" i="6"/>
  <c r="R43" i="6"/>
  <c r="R72" i="6"/>
  <c r="R69" i="6"/>
  <c r="R65" i="6"/>
  <c r="R44" i="6"/>
  <c r="R48" i="6"/>
  <c r="AA55" i="6"/>
  <c r="AA57" i="6"/>
  <c r="AA52" i="6"/>
  <c r="T40" i="6"/>
  <c r="T47" i="6"/>
  <c r="T43" i="6"/>
  <c r="T66" i="6"/>
  <c r="T71" i="6"/>
  <c r="AE61" i="6"/>
  <c r="AE62" i="6"/>
  <c r="AE58" i="6"/>
  <c r="AE56" i="6"/>
  <c r="AE54" i="6"/>
  <c r="AE52" i="6"/>
  <c r="AE60" i="6"/>
  <c r="AE57" i="6"/>
  <c r="AE55" i="6"/>
  <c r="AE51" i="6"/>
  <c r="AE7" i="6"/>
  <c r="AE59" i="6"/>
  <c r="AE53" i="6"/>
  <c r="AE8" i="6"/>
  <c r="G61" i="6"/>
  <c r="G62" i="6"/>
  <c r="G60" i="6"/>
  <c r="G58" i="6"/>
  <c r="G56" i="6"/>
  <c r="G54" i="6"/>
  <c r="G52" i="6"/>
  <c r="G53" i="6"/>
  <c r="G59" i="6"/>
  <c r="G51" i="6"/>
  <c r="G7" i="6"/>
  <c r="G55" i="6"/>
  <c r="G57" i="6"/>
  <c r="G8" i="6"/>
  <c r="I62" i="6"/>
  <c r="I60" i="6"/>
  <c r="I61" i="6"/>
  <c r="I59" i="6"/>
  <c r="I57" i="6"/>
  <c r="I55" i="6"/>
  <c r="I53" i="6"/>
  <c r="I51" i="6"/>
  <c r="I52" i="6"/>
  <c r="I58" i="6"/>
  <c r="I54" i="6"/>
  <c r="I8" i="6"/>
  <c r="I7" i="6"/>
  <c r="I56" i="6"/>
  <c r="V8" i="6"/>
  <c r="V58" i="6"/>
  <c r="V51" i="6"/>
  <c r="P38" i="6"/>
  <c r="P44" i="6"/>
  <c r="P43" i="6"/>
  <c r="P65" i="6"/>
  <c r="P69" i="6"/>
  <c r="AK45" i="6"/>
  <c r="AK40" i="6"/>
  <c r="AK47" i="6"/>
  <c r="AK66" i="6"/>
  <c r="AK75" i="6"/>
  <c r="O44" i="6"/>
  <c r="O46" i="6"/>
  <c r="O43" i="6"/>
  <c r="O69" i="6"/>
  <c r="O67" i="6"/>
  <c r="U41" i="6"/>
  <c r="U39" i="6"/>
  <c r="U42" i="6"/>
  <c r="U48" i="6"/>
  <c r="U68" i="6"/>
  <c r="U69" i="6"/>
  <c r="D44" i="6"/>
  <c r="D42" i="6"/>
  <c r="D39" i="6"/>
  <c r="D48" i="6"/>
  <c r="D67" i="6"/>
  <c r="D72" i="6"/>
  <c r="M45" i="6"/>
  <c r="M38" i="6"/>
  <c r="M46" i="6"/>
  <c r="M65" i="6"/>
  <c r="M71" i="6"/>
  <c r="G40" i="6"/>
  <c r="G42" i="6"/>
  <c r="G41" i="6"/>
  <c r="G47" i="6"/>
  <c r="G67" i="6"/>
  <c r="G68" i="6"/>
  <c r="AM38" i="6"/>
  <c r="AM39" i="6"/>
  <c r="AM48" i="6"/>
  <c r="AM67" i="6"/>
  <c r="AM68" i="6"/>
  <c r="AL61" i="6"/>
  <c r="AL59" i="6"/>
  <c r="AL57" i="6"/>
  <c r="AL55" i="6"/>
  <c r="AL53" i="6"/>
  <c r="AL51" i="6"/>
  <c r="AL62" i="6"/>
  <c r="AL60" i="6"/>
  <c r="AL58" i="6"/>
  <c r="AL56" i="6"/>
  <c r="AL54" i="6"/>
  <c r="AL52" i="6"/>
  <c r="AL8" i="6"/>
  <c r="AL7" i="6"/>
  <c r="AI59" i="6"/>
  <c r="AI55" i="6"/>
  <c r="O60" i="6"/>
  <c r="O57" i="6"/>
  <c r="AN42" i="6"/>
  <c r="AN47" i="6"/>
  <c r="AN39" i="6"/>
  <c r="AN48" i="6"/>
  <c r="AN67" i="6"/>
  <c r="AN71" i="6"/>
  <c r="AR14" i="6" l="1"/>
  <c r="AQ71" i="6"/>
  <c r="AQ70" i="6"/>
  <c r="AQ47" i="6"/>
  <c r="AQ45" i="6"/>
  <c r="AQ37" i="6"/>
  <c r="AQ42" i="6"/>
  <c r="AQ68" i="6"/>
  <c r="AQ43" i="6"/>
  <c r="AQ44" i="6"/>
  <c r="AQ72" i="6"/>
  <c r="AQ39" i="6"/>
  <c r="AQ38" i="6"/>
  <c r="AQ76" i="6"/>
  <c r="AQ67" i="6"/>
  <c r="AQ65" i="6"/>
  <c r="AQ69" i="6"/>
  <c r="AQ75" i="6"/>
  <c r="AQ74" i="6"/>
  <c r="AQ66" i="6"/>
  <c r="AQ48" i="6"/>
  <c r="AQ41" i="6"/>
  <c r="AQ40" i="6"/>
  <c r="AQ73" i="6"/>
  <c r="AQ46" i="6"/>
  <c r="AQ15" i="6"/>
  <c r="D18" i="6"/>
  <c r="E16" i="6"/>
  <c r="AT13" i="6"/>
  <c r="AX9" i="6"/>
  <c r="AW11" i="6"/>
  <c r="AQ61" i="6"/>
  <c r="AQ62" i="6"/>
  <c r="AQ58" i="6"/>
  <c r="AQ56" i="6"/>
  <c r="AQ54" i="6"/>
  <c r="AQ52" i="6"/>
  <c r="AQ60" i="6"/>
  <c r="AQ59" i="6"/>
  <c r="AQ51" i="6"/>
  <c r="AQ57" i="6"/>
  <c r="AQ7" i="6"/>
  <c r="AQ53" i="6"/>
  <c r="AQ55" i="6"/>
  <c r="AQ8" i="6"/>
  <c r="AR3" i="6"/>
  <c r="AR62" i="6" l="1"/>
  <c r="AR61" i="6"/>
  <c r="AR58" i="6"/>
  <c r="AR56" i="6"/>
  <c r="AR54" i="6"/>
  <c r="AR52" i="6"/>
  <c r="AR60" i="6"/>
  <c r="AR59" i="6"/>
  <c r="AR57" i="6"/>
  <c r="AR55" i="6"/>
  <c r="AR53" i="6"/>
  <c r="AR51" i="6"/>
  <c r="AS3" i="6"/>
  <c r="AR7" i="6"/>
  <c r="AR8" i="6"/>
  <c r="AY9" i="6"/>
  <c r="AY11" i="6" s="1"/>
  <c r="AX11" i="6"/>
  <c r="F16" i="6"/>
  <c r="E18" i="6"/>
  <c r="AU13" i="6"/>
  <c r="AS14" i="6"/>
  <c r="AR76" i="6"/>
  <c r="AR69" i="6"/>
  <c r="AR65" i="6"/>
  <c r="AR43" i="6"/>
  <c r="AR47" i="6"/>
  <c r="AR15" i="6"/>
  <c r="AR75" i="6"/>
  <c r="AR74" i="6"/>
  <c r="AR67" i="6"/>
  <c r="AR48" i="6"/>
  <c r="AR41" i="6"/>
  <c r="AR44" i="6"/>
  <c r="AR73" i="6"/>
  <c r="AR72" i="6"/>
  <c r="AR66" i="6"/>
  <c r="AR46" i="6"/>
  <c r="AR39" i="6"/>
  <c r="AR42" i="6"/>
  <c r="AR40" i="6"/>
  <c r="AR71" i="6"/>
  <c r="AR70" i="6"/>
  <c r="AR68" i="6"/>
  <c r="AR45" i="6"/>
  <c r="AR37" i="6"/>
  <c r="AR38" i="6"/>
  <c r="AV13" i="6" l="1"/>
  <c r="AT14" i="6"/>
  <c r="AS76" i="6"/>
  <c r="AS73" i="6"/>
  <c r="AS68" i="6"/>
  <c r="AS46" i="6"/>
  <c r="AS42" i="6"/>
  <c r="AS39" i="6"/>
  <c r="AS75" i="6"/>
  <c r="AS48" i="6"/>
  <c r="AS41" i="6"/>
  <c r="AS74" i="6"/>
  <c r="AS71" i="6"/>
  <c r="AS65" i="6"/>
  <c r="AS70" i="6"/>
  <c r="AS40" i="6"/>
  <c r="AS45" i="6"/>
  <c r="AS37" i="6"/>
  <c r="AS67" i="6"/>
  <c r="AS43" i="6"/>
  <c r="AS72" i="6"/>
  <c r="AS69" i="6"/>
  <c r="AS66" i="6"/>
  <c r="AS47" i="6"/>
  <c r="AS38" i="6"/>
  <c r="AS15" i="6"/>
  <c r="AS44" i="6"/>
  <c r="AS62" i="6"/>
  <c r="AS60" i="6"/>
  <c r="AS61" i="6"/>
  <c r="AS59" i="6"/>
  <c r="AS57" i="6"/>
  <c r="AS55" i="6"/>
  <c r="AS53" i="6"/>
  <c r="AS51" i="6"/>
  <c r="AS58" i="6"/>
  <c r="AS56" i="6"/>
  <c r="AS52" i="6"/>
  <c r="AT3" i="6"/>
  <c r="AS8" i="6"/>
  <c r="AS54" i="6"/>
  <c r="AS7" i="6"/>
  <c r="F18" i="6"/>
  <c r="G16" i="6"/>
  <c r="G18" i="6" l="1"/>
  <c r="H16" i="6"/>
  <c r="AW13" i="6"/>
  <c r="AU14" i="6"/>
  <c r="AT74" i="6"/>
  <c r="AT71" i="6"/>
  <c r="AT66" i="6"/>
  <c r="AT48" i="6"/>
  <c r="AT38" i="6"/>
  <c r="AT37" i="6"/>
  <c r="AT39" i="6"/>
  <c r="AT68" i="6"/>
  <c r="AT41" i="6"/>
  <c r="AT72" i="6"/>
  <c r="AT69" i="6"/>
  <c r="AT65" i="6"/>
  <c r="AT44" i="6"/>
  <c r="AT46" i="6"/>
  <c r="AT15" i="6"/>
  <c r="AT76" i="6"/>
  <c r="AT73" i="6"/>
  <c r="AT40" i="6"/>
  <c r="AT75" i="6"/>
  <c r="AT70" i="6"/>
  <c r="AT67" i="6"/>
  <c r="AT42" i="6"/>
  <c r="AT45" i="6"/>
  <c r="AT43" i="6"/>
  <c r="AT47" i="6"/>
  <c r="AT61" i="6"/>
  <c r="AT60" i="6"/>
  <c r="AT59" i="6"/>
  <c r="AT57" i="6"/>
  <c r="AT55" i="6"/>
  <c r="AT53" i="6"/>
  <c r="AT51" i="6"/>
  <c r="AT58" i="6"/>
  <c r="AT56" i="6"/>
  <c r="AT54" i="6"/>
  <c r="AT52" i="6"/>
  <c r="AT62" i="6"/>
  <c r="AT8" i="6"/>
  <c r="AT7" i="6"/>
  <c r="AU3" i="6"/>
  <c r="AX13" i="6" l="1"/>
  <c r="H18" i="6"/>
  <c r="I16" i="6"/>
  <c r="AU61" i="6"/>
  <c r="AU62" i="6"/>
  <c r="AU58" i="6"/>
  <c r="AU56" i="6"/>
  <c r="AU54" i="6"/>
  <c r="AU52" i="6"/>
  <c r="AU57" i="6"/>
  <c r="AU60" i="6"/>
  <c r="AU55" i="6"/>
  <c r="AU59" i="6"/>
  <c r="AU7" i="6"/>
  <c r="AU51" i="6"/>
  <c r="AU53" i="6"/>
  <c r="AV3" i="6"/>
  <c r="AU8" i="6"/>
  <c r="AV14" i="6"/>
  <c r="AU71" i="6"/>
  <c r="AU66" i="6"/>
  <c r="AU69" i="6"/>
  <c r="AU46" i="6"/>
  <c r="AU39" i="6"/>
  <c r="AU15" i="6"/>
  <c r="AU75" i="6"/>
  <c r="AU72" i="6"/>
  <c r="AU43" i="6"/>
  <c r="AU73" i="6"/>
  <c r="AU48" i="6"/>
  <c r="AU38" i="6"/>
  <c r="AU74" i="6"/>
  <c r="AU76" i="6"/>
  <c r="AU47" i="6"/>
  <c r="AU45" i="6"/>
  <c r="AU37" i="6"/>
  <c r="AU44" i="6"/>
  <c r="AU70" i="6"/>
  <c r="AU65" i="6"/>
  <c r="AU42" i="6"/>
  <c r="AU68" i="6"/>
  <c r="AU67" i="6"/>
  <c r="AU41" i="6"/>
  <c r="AU40" i="6"/>
  <c r="AV62" i="6" l="1"/>
  <c r="AV58" i="6"/>
  <c r="AV56" i="6"/>
  <c r="AV54" i="6"/>
  <c r="AV52" i="6"/>
  <c r="AV60" i="6"/>
  <c r="AV59" i="6"/>
  <c r="AV57" i="6"/>
  <c r="AV55" i="6"/>
  <c r="AV53" i="6"/>
  <c r="AV51" i="6"/>
  <c r="AV61" i="6"/>
  <c r="AW3" i="6"/>
  <c r="AV8" i="6"/>
  <c r="AV7" i="6"/>
  <c r="AW14" i="6"/>
  <c r="AV71" i="6"/>
  <c r="AV72" i="6"/>
  <c r="AV66" i="6"/>
  <c r="AV45" i="6"/>
  <c r="AV37" i="6"/>
  <c r="AV40" i="6"/>
  <c r="AV76" i="6"/>
  <c r="AV69" i="6"/>
  <c r="AV65" i="6"/>
  <c r="AV43" i="6"/>
  <c r="AV15" i="6"/>
  <c r="AV74" i="6"/>
  <c r="AV67" i="6"/>
  <c r="AV41" i="6"/>
  <c r="AV42" i="6"/>
  <c r="AV73" i="6"/>
  <c r="AV70" i="6"/>
  <c r="AV68" i="6"/>
  <c r="AV47" i="6"/>
  <c r="AV39" i="6"/>
  <c r="AV44" i="6"/>
  <c r="AV38" i="6"/>
  <c r="AV75" i="6"/>
  <c r="AV48" i="6"/>
  <c r="AV46" i="6"/>
  <c r="J16" i="6"/>
  <c r="I18" i="6"/>
  <c r="AY13" i="6"/>
  <c r="AX14" i="6" l="1"/>
  <c r="AW76" i="6"/>
  <c r="AW69" i="6"/>
  <c r="AW70" i="6"/>
  <c r="AW71" i="6"/>
  <c r="AW42" i="6"/>
  <c r="AW41" i="6"/>
  <c r="AW72" i="6"/>
  <c r="AW43" i="6"/>
  <c r="AW65" i="6"/>
  <c r="AW75" i="6"/>
  <c r="AW45" i="6"/>
  <c r="AW74" i="6"/>
  <c r="AW67" i="6"/>
  <c r="AW48" i="6"/>
  <c r="AW47" i="6"/>
  <c r="AW40" i="6"/>
  <c r="AW37" i="6"/>
  <c r="AW15" i="6"/>
  <c r="AW66" i="6"/>
  <c r="AW46" i="6"/>
  <c r="AW68" i="6"/>
  <c r="AW38" i="6"/>
  <c r="AW73" i="6"/>
  <c r="AW44" i="6"/>
  <c r="AW39" i="6"/>
  <c r="J18" i="6"/>
  <c r="K16" i="6"/>
  <c r="AW62" i="6"/>
  <c r="AW60" i="6"/>
  <c r="AW61" i="6"/>
  <c r="AW59" i="6"/>
  <c r="AW57" i="6"/>
  <c r="AW55" i="6"/>
  <c r="AW53" i="6"/>
  <c r="AW51" i="6"/>
  <c r="AW56" i="6"/>
  <c r="AW54" i="6"/>
  <c r="AX3" i="6"/>
  <c r="AW58" i="6"/>
  <c r="AW8" i="6"/>
  <c r="AW7" i="6"/>
  <c r="AW52" i="6"/>
  <c r="AX61" i="6" l="1"/>
  <c r="AX59" i="6"/>
  <c r="AX57" i="6"/>
  <c r="AX55" i="6"/>
  <c r="AX53" i="6"/>
  <c r="AX51" i="6"/>
  <c r="AX60" i="6"/>
  <c r="AX62" i="6"/>
  <c r="AX58" i="6"/>
  <c r="AX56" i="6"/>
  <c r="AX54" i="6"/>
  <c r="AX52" i="6"/>
  <c r="AX8" i="6"/>
  <c r="AX7" i="6"/>
  <c r="AY3" i="6"/>
  <c r="K18" i="6"/>
  <c r="L16" i="6"/>
  <c r="AY14" i="6"/>
  <c r="AX74" i="6"/>
  <c r="AX69" i="6"/>
  <c r="AX66" i="6"/>
  <c r="AX44" i="6"/>
  <c r="AX46" i="6"/>
  <c r="AX15" i="6"/>
  <c r="AX45" i="6"/>
  <c r="AX72" i="6"/>
  <c r="AX67" i="6"/>
  <c r="AX42" i="6"/>
  <c r="AX48" i="6"/>
  <c r="AX41" i="6"/>
  <c r="AX75" i="6"/>
  <c r="AX40" i="6"/>
  <c r="AX71" i="6"/>
  <c r="AX65" i="6"/>
  <c r="AX43" i="6"/>
  <c r="AX76" i="6"/>
  <c r="AX68" i="6"/>
  <c r="AX38" i="6"/>
  <c r="AX70" i="6"/>
  <c r="AX37" i="6"/>
  <c r="AX73" i="6"/>
  <c r="AX47" i="6"/>
  <c r="AX39" i="6"/>
  <c r="AY61" i="6" l="1"/>
  <c r="B61" i="6" s="1"/>
  <c r="AY62" i="6"/>
  <c r="B62" i="6" s="1"/>
  <c r="AY60" i="6"/>
  <c r="B60" i="6" s="1"/>
  <c r="AY58" i="6"/>
  <c r="B58" i="6" s="1"/>
  <c r="AY56" i="6"/>
  <c r="B56" i="6" s="1"/>
  <c r="AY54" i="6"/>
  <c r="B54" i="6" s="1"/>
  <c r="AY52" i="6"/>
  <c r="B52" i="6" s="1"/>
  <c r="AY55" i="6"/>
  <c r="B55" i="6" s="1"/>
  <c r="AY53" i="6"/>
  <c r="B53" i="6" s="1"/>
  <c r="AY57" i="6"/>
  <c r="B57" i="6" s="1"/>
  <c r="AY7" i="6"/>
  <c r="AY51" i="6"/>
  <c r="B51" i="6" s="1"/>
  <c r="AY59" i="6"/>
  <c r="B59" i="6" s="1"/>
  <c r="AY8" i="6"/>
  <c r="AY71" i="6"/>
  <c r="B71" i="6" s="1"/>
  <c r="AY66" i="6"/>
  <c r="B66" i="6" s="1"/>
  <c r="AY47" i="6"/>
  <c r="B47" i="6" s="1"/>
  <c r="AY46" i="6"/>
  <c r="B46" i="6" s="1"/>
  <c r="AY39" i="6"/>
  <c r="B39" i="6" s="1"/>
  <c r="AY15" i="6"/>
  <c r="AY68" i="6"/>
  <c r="B68" i="6" s="1"/>
  <c r="AY41" i="6"/>
  <c r="B41" i="6" s="1"/>
  <c r="AY40" i="6"/>
  <c r="B40" i="6" s="1"/>
  <c r="AY72" i="6"/>
  <c r="B72" i="6" s="1"/>
  <c r="AY76" i="6"/>
  <c r="B76" i="6" s="1"/>
  <c r="AY67" i="6"/>
  <c r="B67" i="6" s="1"/>
  <c r="AY45" i="6"/>
  <c r="B45" i="6" s="1"/>
  <c r="AY37" i="6"/>
  <c r="B37" i="6" s="1"/>
  <c r="AY42" i="6"/>
  <c r="B42" i="6" s="1"/>
  <c r="AY69" i="6"/>
  <c r="B69" i="6" s="1"/>
  <c r="AY75" i="6"/>
  <c r="B75" i="6" s="1"/>
  <c r="AY70" i="6"/>
  <c r="B70" i="6" s="1"/>
  <c r="AY74" i="6"/>
  <c r="B74" i="6" s="1"/>
  <c r="AY65" i="6"/>
  <c r="B65" i="6" s="1"/>
  <c r="AY43" i="6"/>
  <c r="B43" i="6" s="1"/>
  <c r="AY44" i="6"/>
  <c r="B44" i="6" s="1"/>
  <c r="AY38" i="6"/>
  <c r="B38" i="6" s="1"/>
  <c r="AY73" i="6"/>
  <c r="B73" i="6" s="1"/>
  <c r="AY48" i="6"/>
  <c r="B48" i="6" s="1"/>
  <c r="L18" i="6"/>
  <c r="M16" i="6"/>
  <c r="B63" i="6" l="1"/>
  <c r="S36" i="2" s="1"/>
  <c r="U36" i="2" s="1"/>
  <c r="B49" i="6"/>
  <c r="B77" i="6"/>
  <c r="S37" i="2" s="1"/>
  <c r="U37" i="2" s="1"/>
  <c r="N16" i="6"/>
  <c r="M18" i="6"/>
  <c r="B82" i="6" l="1"/>
  <c r="Y36" i="2" s="1"/>
  <c r="S35" i="2"/>
  <c r="O16" i="6"/>
  <c r="N18" i="6"/>
  <c r="U35" i="2" l="1"/>
  <c r="S38" i="2"/>
  <c r="U38" i="2" s="1"/>
  <c r="O18" i="6"/>
  <c r="P16" i="6"/>
  <c r="P18" i="6" l="1"/>
  <c r="Q16" i="6"/>
  <c r="R16" i="6" l="1"/>
  <c r="Q18" i="6"/>
  <c r="R18" i="6" l="1"/>
  <c r="S16" i="6"/>
  <c r="S18" i="6" l="1"/>
  <c r="T16" i="6"/>
  <c r="T18" i="6" l="1"/>
  <c r="U16" i="6"/>
  <c r="V16" i="6" l="1"/>
  <c r="U18" i="6"/>
  <c r="W16" i="6" l="1"/>
  <c r="V18" i="6"/>
  <c r="W18" i="6" l="1"/>
  <c r="X16" i="6"/>
  <c r="X18" i="6" l="1"/>
  <c r="Y16" i="6"/>
  <c r="Z16" i="6" l="1"/>
  <c r="Y18" i="6"/>
  <c r="Z18" i="6" l="1"/>
  <c r="AA16" i="6"/>
  <c r="AA18" i="6" l="1"/>
  <c r="AB16" i="6"/>
  <c r="AB18" i="6" l="1"/>
  <c r="AC16" i="6"/>
  <c r="AD16" i="6" l="1"/>
  <c r="AC18" i="6"/>
  <c r="AD18" i="6" l="1"/>
  <c r="AE16" i="6"/>
  <c r="AE18" i="6" l="1"/>
  <c r="AF16" i="6"/>
  <c r="AF18" i="6" l="1"/>
  <c r="AG16" i="6"/>
  <c r="AH16" i="6" l="1"/>
  <c r="AG18" i="6"/>
  <c r="AH18" i="6" l="1"/>
  <c r="AI16" i="6"/>
  <c r="AI18" i="6" l="1"/>
  <c r="AJ16" i="6"/>
  <c r="AJ18" i="6" l="1"/>
  <c r="AK16" i="6"/>
  <c r="AL16" i="6" l="1"/>
  <c r="AK18" i="6"/>
  <c r="AM16" i="6" l="1"/>
  <c r="AL18" i="6"/>
  <c r="AM18" i="6" l="1"/>
  <c r="AN16" i="6"/>
  <c r="AN18" i="6" l="1"/>
  <c r="AO16" i="6"/>
  <c r="AP16" i="6" l="1"/>
  <c r="AO18" i="6"/>
  <c r="AP18" i="6" l="1"/>
  <c r="AQ16" i="6"/>
  <c r="AQ18" i="6" l="1"/>
  <c r="AR16" i="6"/>
  <c r="AR18" i="6" l="1"/>
  <c r="AS16" i="6"/>
  <c r="AT16" i="6" l="1"/>
  <c r="AS18" i="6"/>
  <c r="AT18" i="6" l="1"/>
  <c r="AU16" i="6"/>
  <c r="AU18" i="6" l="1"/>
  <c r="AV16" i="6"/>
  <c r="AV18" i="6" l="1"/>
  <c r="AW16" i="6"/>
  <c r="AX16" i="6" l="1"/>
  <c r="AW18" i="6"/>
  <c r="AX18" i="6" l="1"/>
  <c r="AY16" i="6"/>
  <c r="AY1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<sst xmlns="http://schemas.openxmlformats.org/spreadsheetml/2006/main" count="1378" uniqueCount="548">
  <si>
    <t>inwestor</t>
  </si>
  <si>
    <t>vat</t>
  </si>
  <si>
    <t>osoba prywatna</t>
  </si>
  <si>
    <t>firma</t>
  </si>
  <si>
    <t>Inwestor:</t>
  </si>
  <si>
    <t>Projektant:</t>
  </si>
  <si>
    <t>Jan Kowalski</t>
  </si>
  <si>
    <t>Rudziczka, Szkolna 23</t>
  </si>
  <si>
    <t>jacurbanek@poczta.onet.pl</t>
  </si>
  <si>
    <t>Ampere Sp. z o.o.</t>
  </si>
  <si>
    <t>OBLICZENIE ZAPOTRZEBOWANIA BUDYNKU</t>
  </si>
  <si>
    <t>Lokalizacja</t>
  </si>
  <si>
    <t>Katowice</t>
  </si>
  <si>
    <t>st C</t>
  </si>
  <si>
    <t>lambda</t>
  </si>
  <si>
    <t>straty</t>
  </si>
  <si>
    <t>U podłogi podpiwniczonej</t>
  </si>
  <si>
    <t>Rodzaj budynku</t>
  </si>
  <si>
    <t>piętrowy</t>
  </si>
  <si>
    <t>budynek</t>
  </si>
  <si>
    <t>temperatury</t>
  </si>
  <si>
    <t>Izolacja</t>
  </si>
  <si>
    <t>stolarka</t>
  </si>
  <si>
    <t>U</t>
  </si>
  <si>
    <t>wentylacja</t>
  </si>
  <si>
    <t>CWU</t>
  </si>
  <si>
    <t>B'</t>
  </si>
  <si>
    <t>bez izolacji</t>
  </si>
  <si>
    <t>parterowy</t>
  </si>
  <si>
    <t>TAK</t>
  </si>
  <si>
    <t>cegła ceramiczna</t>
  </si>
  <si>
    <t>Styropian</t>
  </si>
  <si>
    <t>dwuszybowa</t>
  </si>
  <si>
    <t>grawitacyjna</t>
  </si>
  <si>
    <t>Prysznic</t>
  </si>
  <si>
    <t>C.O.</t>
  </si>
  <si>
    <t>Zewnętrzne Wymiary budynku</t>
  </si>
  <si>
    <t>X</t>
  </si>
  <si>
    <t>m</t>
  </si>
  <si>
    <t>m2</t>
  </si>
  <si>
    <t>parterowy z poddaszem użytkowym</t>
  </si>
  <si>
    <t>NIE</t>
  </si>
  <si>
    <t>pustak betonowy</t>
  </si>
  <si>
    <t>styropian grafitowy</t>
  </si>
  <si>
    <t>trójszybowa</t>
  </si>
  <si>
    <t>mechaniczna</t>
  </si>
  <si>
    <t>Prysznic+Wanna</t>
  </si>
  <si>
    <t>parterowy z poddaszem nieużytkowym</t>
  </si>
  <si>
    <t>pustak ceramiczny</t>
  </si>
  <si>
    <t>XPS</t>
  </si>
  <si>
    <t>mechaniczna z odzyskiem ciepła</t>
  </si>
  <si>
    <t>Wanna</t>
  </si>
  <si>
    <t>Powierzchnia ogrzewana</t>
  </si>
  <si>
    <t>drewniany</t>
  </si>
  <si>
    <t>Wełna mineralna</t>
  </si>
  <si>
    <t>piętrowy z poddaszem użytkowym</t>
  </si>
  <si>
    <t>szkieletowy</t>
  </si>
  <si>
    <t>piana pur</t>
  </si>
  <si>
    <t>wysokość pomieszczeń</t>
  </si>
  <si>
    <t>beton</t>
  </si>
  <si>
    <t>beton komórkowy</t>
  </si>
  <si>
    <t>Grzanie</t>
  </si>
  <si>
    <t>Temperatura w pomieszczeniu</t>
  </si>
  <si>
    <t>temp. Zał. PC</t>
  </si>
  <si>
    <t>st</t>
  </si>
  <si>
    <t>Porotherm</t>
  </si>
  <si>
    <t>Ytong</t>
  </si>
  <si>
    <t>Chłodzenie</t>
  </si>
  <si>
    <t>Silikat</t>
  </si>
  <si>
    <t>żużlobeton</t>
  </si>
  <si>
    <t>Czy dom jest podpiwniczony</t>
  </si>
  <si>
    <t>Kolumna1</t>
  </si>
  <si>
    <t>Kolumna2</t>
  </si>
  <si>
    <t>Kolumna3</t>
  </si>
  <si>
    <t>Kolumna4</t>
  </si>
  <si>
    <t>Kolumna5</t>
  </si>
  <si>
    <t>gaz ziemny</t>
  </si>
  <si>
    <t>m3</t>
  </si>
  <si>
    <t>kWh/m3</t>
  </si>
  <si>
    <t>ściany</t>
  </si>
  <si>
    <t>grubość</t>
  </si>
  <si>
    <t>cm</t>
  </si>
  <si>
    <t>u ściany</t>
  </si>
  <si>
    <t>LPG</t>
  </si>
  <si>
    <t>l</t>
  </si>
  <si>
    <t>kWh/l</t>
  </si>
  <si>
    <t>u dach</t>
  </si>
  <si>
    <t>olej opałowy</t>
  </si>
  <si>
    <t>ocieplenie ścian</t>
  </si>
  <si>
    <t>W</t>
  </si>
  <si>
    <t>U okna</t>
  </si>
  <si>
    <t>pellet</t>
  </si>
  <si>
    <t>kg</t>
  </si>
  <si>
    <t>kWh/kg</t>
  </si>
  <si>
    <t>U drzwi</t>
  </si>
  <si>
    <t>ekogroszek</t>
  </si>
  <si>
    <t>Ocieplenie dachu</t>
  </si>
  <si>
    <t>U podłogi</t>
  </si>
  <si>
    <t>u'</t>
  </si>
  <si>
    <t>węgiel kamienny</t>
  </si>
  <si>
    <t>Ocieplenie podłogi</t>
  </si>
  <si>
    <t>Rodzaj storalki okiennej</t>
  </si>
  <si>
    <t>ilość                  (1,5 x1,5m)</t>
  </si>
  <si>
    <t>szt</t>
  </si>
  <si>
    <t>Ilość dzwi wejsciowych</t>
  </si>
  <si>
    <t>Wentylacja</t>
  </si>
  <si>
    <t>,</t>
  </si>
  <si>
    <t>Rodzaj obecnego opału</t>
  </si>
  <si>
    <t>Sprawność źródła ciepła</t>
  </si>
  <si>
    <t>Ilość zużywanego opału</t>
  </si>
  <si>
    <t>Wartość energetyczna opału</t>
  </si>
  <si>
    <t>Według obliczeń</t>
  </si>
  <si>
    <t>Według zużycia opału</t>
  </si>
  <si>
    <t>C.W.U.</t>
  </si>
  <si>
    <t>ilość osób</t>
  </si>
  <si>
    <t>os</t>
  </si>
  <si>
    <t>Zużycie wody/dzień</t>
  </si>
  <si>
    <t>Zapotrzebowanie na Wodę</t>
  </si>
  <si>
    <t>Wybór zapotrzebowania energetycznego bodynku</t>
  </si>
  <si>
    <t>POMPA CIEPŁA</t>
  </si>
  <si>
    <t>PRODUCENT</t>
  </si>
  <si>
    <t>Daikin</t>
  </si>
  <si>
    <t>ZAPOTRZEBOWANIE ENERGETYCZNE</t>
  </si>
  <si>
    <t>kW</t>
  </si>
  <si>
    <t>TYP</t>
  </si>
  <si>
    <t>MODEL</t>
  </si>
  <si>
    <t xml:space="preserve"> </t>
  </si>
  <si>
    <t>SPLIT</t>
  </si>
  <si>
    <t>Panasonic</t>
  </si>
  <si>
    <t>LG</t>
  </si>
  <si>
    <t>ALL IN ONE</t>
  </si>
  <si>
    <t>MONOBLOK</t>
  </si>
  <si>
    <t>Altherma 3 R 4kW split 1f</t>
  </si>
  <si>
    <t>Jednostka wewnętrzna</t>
  </si>
  <si>
    <t>Jednostka zewnętrzna</t>
  </si>
  <si>
    <t>Moc znamionowa</t>
  </si>
  <si>
    <t>Moc grzałki</t>
  </si>
  <si>
    <t>Zasilanie</t>
  </si>
  <si>
    <t>~fazowe</t>
  </si>
  <si>
    <t>SCOP</t>
  </si>
  <si>
    <t>Gwarancja</t>
  </si>
  <si>
    <t>lat</t>
  </si>
  <si>
    <t>ELEMENTY DODATKOWE</t>
  </si>
  <si>
    <t>Szacowane zużycie enerii PC</t>
  </si>
  <si>
    <t>kWh</t>
  </si>
  <si>
    <t>zł</t>
  </si>
  <si>
    <t>Koszt energii 1kWh</t>
  </si>
  <si>
    <t>ZASOBNIK CWU</t>
  </si>
  <si>
    <t>Szacowane zużycie enegrii grzałka</t>
  </si>
  <si>
    <t>Szacowane zużycie enrgii CWU</t>
  </si>
  <si>
    <t>RAZEM</t>
  </si>
  <si>
    <t>ZBIORNIK BUFOROWY</t>
  </si>
  <si>
    <t>LICZBA OBIEGÓW GRZEWCZYCH</t>
  </si>
  <si>
    <t>CYRKULACJA CWU</t>
  </si>
  <si>
    <t>DANE OGÓLNE</t>
  </si>
  <si>
    <t>WYDAJNOŚĆ GRZEWCZA</t>
  </si>
  <si>
    <t>ZUŻYCIE ENERGII</t>
  </si>
  <si>
    <t>Jednostka zew.</t>
  </si>
  <si>
    <t>Jednostka wew</t>
  </si>
  <si>
    <t>CENA KATALOGOWA</t>
  </si>
  <si>
    <t>RABAT</t>
  </si>
  <si>
    <t>CENA ZAKUPU</t>
  </si>
  <si>
    <t>MOC</t>
  </si>
  <si>
    <t>GRZAŁKA</t>
  </si>
  <si>
    <t>ZASILANIE</t>
  </si>
  <si>
    <t>GWARANCJA</t>
  </si>
  <si>
    <t>-20</t>
  </si>
  <si>
    <t>-15</t>
  </si>
  <si>
    <t>-7</t>
  </si>
  <si>
    <t>-2</t>
  </si>
  <si>
    <t>2</t>
  </si>
  <si>
    <t>7</t>
  </si>
  <si>
    <t>12</t>
  </si>
  <si>
    <t>15</t>
  </si>
  <si>
    <t>20</t>
  </si>
  <si>
    <t>E -20</t>
  </si>
  <si>
    <t>E-15</t>
  </si>
  <si>
    <t>E-7</t>
  </si>
  <si>
    <t>E-2</t>
  </si>
  <si>
    <t>E2</t>
  </si>
  <si>
    <t>E7</t>
  </si>
  <si>
    <t>E12</t>
  </si>
  <si>
    <t>E15</t>
  </si>
  <si>
    <t>E20</t>
  </si>
  <si>
    <t>High Performance 3kW Split 1f</t>
  </si>
  <si>
    <t>WH-UDZ03KE5</t>
  </si>
  <si>
    <t>WH-SDC0309K3E5</t>
  </si>
  <si>
    <t>High Performance 5kW Split 1f</t>
  </si>
  <si>
    <t>WH-UDZ05KE5</t>
  </si>
  <si>
    <t>High Performance 7kW Split 1f</t>
  </si>
  <si>
    <t>WH-UDZ07KE5</t>
  </si>
  <si>
    <t>High Performance 9kW Split 1f</t>
  </si>
  <si>
    <t>WH-UDZ09KE5</t>
  </si>
  <si>
    <t>High Performance 12kW Split 1f</t>
  </si>
  <si>
    <t>WH-UD12HE5</t>
  </si>
  <si>
    <t>WH-SDC12H6E5</t>
  </si>
  <si>
    <t>High Performance 12kW Split 3f</t>
  </si>
  <si>
    <t>WH-UD12HE8</t>
  </si>
  <si>
    <t>WH-SDC12H9E8</t>
  </si>
  <si>
    <t>High Performance 16kW Split 1f</t>
  </si>
  <si>
    <t>WH-UD16HE5</t>
  </si>
  <si>
    <t>WH-SDC16H6E5</t>
  </si>
  <si>
    <t>High Performance 16kW Split 3f</t>
  </si>
  <si>
    <t>WH-UD16HE8</t>
  </si>
  <si>
    <t>WH-SDC16H9E8</t>
  </si>
  <si>
    <t>T-CAP 9kW Split 1f</t>
  </si>
  <si>
    <t>WH-UXZ09KE5</t>
  </si>
  <si>
    <t>WH-SXC09K3E5</t>
  </si>
  <si>
    <t>T-CAP 9kW Split 3f</t>
  </si>
  <si>
    <t>WH-UXZ09KE8</t>
  </si>
  <si>
    <t>WH-SXC09K3E8</t>
  </si>
  <si>
    <t>T-CAP 12kW Split 1f</t>
  </si>
  <si>
    <t>WH-UXZ12KE5</t>
  </si>
  <si>
    <t>WH-SXC12K6E5</t>
  </si>
  <si>
    <t>T-CAP 12kW Split 3f</t>
  </si>
  <si>
    <t>WH-UXZ12KE8</t>
  </si>
  <si>
    <t>WH-SXC12K9E8</t>
  </si>
  <si>
    <t>T-CAP 16kW Split 3f</t>
  </si>
  <si>
    <t>WH-UX16HE8</t>
  </si>
  <si>
    <t>WH-SXC16H9E8</t>
  </si>
  <si>
    <t>High Performance 3kW AiO 1f</t>
  </si>
  <si>
    <t>WH-ADC0309K3E5</t>
  </si>
  <si>
    <t>High Performance 5kW AiO 1f</t>
  </si>
  <si>
    <t>WH-ADC0309K3E6</t>
  </si>
  <si>
    <t>High Performance 7kW AiO 1f</t>
  </si>
  <si>
    <t>WH-ADC0309K3E7</t>
  </si>
  <si>
    <t>High Performance 9kW AiO 1f</t>
  </si>
  <si>
    <t>WH-ADC0309K3E8</t>
  </si>
  <si>
    <t>High Performance 12kW AiO 1f</t>
  </si>
  <si>
    <t>WH-ADC1216H6E5</t>
  </si>
  <si>
    <t>High Performance 12kW AiO 3f</t>
  </si>
  <si>
    <t>WH-ADC0916H9E8</t>
  </si>
  <si>
    <t>High Performance 16kW AiO 1f</t>
  </si>
  <si>
    <t>High Performance 16kW AiO 3f</t>
  </si>
  <si>
    <t>T-CAP 9kW AiO 1f</t>
  </si>
  <si>
    <t>WH-ADC0912K6E5</t>
  </si>
  <si>
    <t>T-CAP 9kW AiO 3f</t>
  </si>
  <si>
    <t>WH-ADC0912K9E8</t>
  </si>
  <si>
    <t>T-CAP 12kW AiO 1f</t>
  </si>
  <si>
    <t>T-CAP 12kW AiO 3f</t>
  </si>
  <si>
    <t>T-CAP 16kW AiO 3f</t>
  </si>
  <si>
    <t>High Performance 5kW Mono 1f</t>
  </si>
  <si>
    <t>WH-MDC05J3E5</t>
  </si>
  <si>
    <t>BRAK</t>
  </si>
  <si>
    <t>High Performance 7kW Mono 1f</t>
  </si>
  <si>
    <t>WH-MDC07J3E5</t>
  </si>
  <si>
    <t>High Performance 9kW Mono 1f</t>
  </si>
  <si>
    <t>WH-MDC09J3E5</t>
  </si>
  <si>
    <t>High Performance 12kW Mono 1f</t>
  </si>
  <si>
    <t>WH-MDC12H6E5</t>
  </si>
  <si>
    <t>High Performance 16kW Mono 1f</t>
  </si>
  <si>
    <t>WH-MDC16H6E5</t>
  </si>
  <si>
    <t>T-CAP 9kW Mono 1f</t>
  </si>
  <si>
    <t>WH-MXC09J3E5</t>
  </si>
  <si>
    <t>T-CAP 9kW Mono 3f</t>
  </si>
  <si>
    <t>WH-MXC09J3E8</t>
  </si>
  <si>
    <t>T-CAP 12kW Mono 1f</t>
  </si>
  <si>
    <t>WH-MXC12J6E5</t>
  </si>
  <si>
    <t>T-CAP 12kW Mono 3f</t>
  </si>
  <si>
    <t>WH-MXC12J9E8</t>
  </si>
  <si>
    <t>T-CAP 16kW Mono 3f</t>
  </si>
  <si>
    <t>WH-MXC16J9E8</t>
  </si>
  <si>
    <t>ThermaV 4kW Split 1f</t>
  </si>
  <si>
    <t>HU041MR.U20</t>
  </si>
  <si>
    <t>HN0613M.NK5</t>
  </si>
  <si>
    <t>ThermaV 5kW Split 1f</t>
  </si>
  <si>
    <t>HU051MR.U44</t>
  </si>
  <si>
    <t>HN091MR.NK5</t>
  </si>
  <si>
    <t>ThermaV 6kW Split 1f</t>
  </si>
  <si>
    <t>HU061MR.U20</t>
  </si>
  <si>
    <t>ThermaV 7kW Split 1f</t>
  </si>
  <si>
    <t>HU071MR.U44</t>
  </si>
  <si>
    <t>ThermaV 9kW Split 1f</t>
  </si>
  <si>
    <t>HU091MR.U44</t>
  </si>
  <si>
    <t>ThermaV 12kW Split 1f</t>
  </si>
  <si>
    <t>HU121MRB.U30</t>
  </si>
  <si>
    <t>HN1600MC.NK1</t>
  </si>
  <si>
    <t>ThermaV 12kW Split 3f</t>
  </si>
  <si>
    <t>HU123MRB.U30</t>
  </si>
  <si>
    <t>ThermaV 14kW Split 1f</t>
  </si>
  <si>
    <t>HU141MRB.U30</t>
  </si>
  <si>
    <t>ThermaV 14kW Split 3f</t>
  </si>
  <si>
    <t>HU143MRB.U30</t>
  </si>
  <si>
    <t>ThermaV 16kW Split 1f</t>
  </si>
  <si>
    <t>HU161MRB.U30</t>
  </si>
  <si>
    <t>ThermaV 16kW Split 3f</t>
  </si>
  <si>
    <t>HU163MRB.U30</t>
  </si>
  <si>
    <t>ThermaV 4kW IWT 1f</t>
  </si>
  <si>
    <t>HN0613T.NK0</t>
  </si>
  <si>
    <t>ThermaV 5kW IWT 1f</t>
  </si>
  <si>
    <t>HN0913T.NK0</t>
  </si>
  <si>
    <t>ThermaV 6kW IWT 1f</t>
  </si>
  <si>
    <t>ThermaV 7kW IWT 1f</t>
  </si>
  <si>
    <t>ThermaV 9kW IWT 1f</t>
  </si>
  <si>
    <t>ThermaV 12kW IWT 1f</t>
  </si>
  <si>
    <t>HN1616Y.NB1</t>
  </si>
  <si>
    <t>ThermaV 12kW IWT 3f</t>
  </si>
  <si>
    <t>ThermaV 14kW IWT 1f</t>
  </si>
  <si>
    <t>ThermaV 14kW IWT 3f</t>
  </si>
  <si>
    <t>ThermaV 16kW IWT 1f</t>
  </si>
  <si>
    <t>ThermaV 16kW IWT 3f</t>
  </si>
  <si>
    <t>Silence Supreme 5kW 1f</t>
  </si>
  <si>
    <t>HM051MR.U44</t>
  </si>
  <si>
    <t>Silence Supreme 7kW 1f</t>
  </si>
  <si>
    <t>HM071MR.U44</t>
  </si>
  <si>
    <t>Silence Supreme 9kW 1f</t>
  </si>
  <si>
    <t>HM091MR.U44</t>
  </si>
  <si>
    <t>Silence Supreme 9kW 3f</t>
  </si>
  <si>
    <t>HM093MR.U44</t>
  </si>
  <si>
    <t>Silence Supreme 12kW 1f</t>
  </si>
  <si>
    <t>HM121MR.U34</t>
  </si>
  <si>
    <t>Silence Supreme 12kW 3f</t>
  </si>
  <si>
    <t>HM123MR.U34</t>
  </si>
  <si>
    <t>Silence Supreme 14kW 1f</t>
  </si>
  <si>
    <t>HM141MR.U34</t>
  </si>
  <si>
    <t>Silence Supreme 14kW 3f</t>
  </si>
  <si>
    <t>HM143MR.U34</t>
  </si>
  <si>
    <t>Silence Supreme 16kW 1f</t>
  </si>
  <si>
    <t>HM161MR.U34</t>
  </si>
  <si>
    <t>Silence Supreme 16kW 3f</t>
  </si>
  <si>
    <t>HM163MR.U34</t>
  </si>
  <si>
    <t>ERGA04EAV3</t>
  </si>
  <si>
    <t>EHBH04E6V</t>
  </si>
  <si>
    <t>Altherma 3 R 6kW split 1f</t>
  </si>
  <si>
    <t>ERGA06EAV3H</t>
  </si>
  <si>
    <t>EHBH08E6V</t>
  </si>
  <si>
    <t>Altherma 3 R 8kW split 1f</t>
  </si>
  <si>
    <t>ERGA08EAV3H7</t>
  </si>
  <si>
    <t>Altherma 3 R 11kW split 1f</t>
  </si>
  <si>
    <t>ERLA11DV3</t>
  </si>
  <si>
    <t>EBBH11D6V</t>
  </si>
  <si>
    <t>Altherma 3 R 11kW split 3f</t>
  </si>
  <si>
    <t>ERLA11DW1</t>
  </si>
  <si>
    <t>EBBH11D9W</t>
  </si>
  <si>
    <t>Altherma 3 R 14kW split 1f</t>
  </si>
  <si>
    <t>ERLA14DV3</t>
  </si>
  <si>
    <t>EBBH16D6V</t>
  </si>
  <si>
    <t>Altherma 3 R 14kW split 3f</t>
  </si>
  <si>
    <t>ERLA14DW1</t>
  </si>
  <si>
    <t>EBBH16D9W</t>
  </si>
  <si>
    <t>Altherma 3 R 16kW split 1f</t>
  </si>
  <si>
    <t>ERLA16DV37</t>
  </si>
  <si>
    <t>Altherma 3 R 16kW split 3f</t>
  </si>
  <si>
    <t>ERLA16DW17</t>
  </si>
  <si>
    <t>Altherma 3 R 4kW AiO 1f</t>
  </si>
  <si>
    <t>EHVH04S18E6V</t>
  </si>
  <si>
    <t>Altherma 3 R 6kW AiO 1f</t>
  </si>
  <si>
    <t>EHVH08S180E6V</t>
  </si>
  <si>
    <t>Altherma 3 R 8kW AiO 1f</t>
  </si>
  <si>
    <t>Altherma 3 R 11kW AiO 1f</t>
  </si>
  <si>
    <t>EBVH11S18D9W</t>
  </si>
  <si>
    <t>Altherma 3 R 11kW AiO 3f</t>
  </si>
  <si>
    <t>Altherma 3 R 14kW AiO 1f</t>
  </si>
  <si>
    <t>EBVH16S18D6V</t>
  </si>
  <si>
    <t>Altherma 3 R 14kW AiO 3f</t>
  </si>
  <si>
    <t>EBVH16S18D9W</t>
  </si>
  <si>
    <t>Altherma 3 R 16kW AiO 1f</t>
  </si>
  <si>
    <t>ERLA16DV3</t>
  </si>
  <si>
    <t>Altherma 3 R 16kW AiO 3f</t>
  </si>
  <si>
    <t>ERLA16DW1</t>
  </si>
  <si>
    <t>Altherma 3 R 4kW Mono 1f</t>
  </si>
  <si>
    <t>EDLA04E3V3</t>
  </si>
  <si>
    <t>Altherma 3 R 6kW Mono 1f</t>
  </si>
  <si>
    <t>EDLA06E3V3</t>
  </si>
  <si>
    <t>Altherma 3 R 8kW Mono 1f</t>
  </si>
  <si>
    <t>EDLA08E3V3</t>
  </si>
  <si>
    <t>Altherma 3 R 9kW Mono 1f</t>
  </si>
  <si>
    <t>EDLA09D3V3</t>
  </si>
  <si>
    <t>Altherma 3 R 9kW Mono 3f</t>
  </si>
  <si>
    <t>EDLA09D3W1</t>
  </si>
  <si>
    <t>Altherma 3 R 11kW Mono 1f</t>
  </si>
  <si>
    <t>EDLA11D3V3</t>
  </si>
  <si>
    <t>Altherma 3 R 11kW Mono 3f</t>
  </si>
  <si>
    <t>EDLA11D3W1</t>
  </si>
  <si>
    <t>Altherma 3 R 14kW Mono 1f</t>
  </si>
  <si>
    <t>EDLA14D3V3</t>
  </si>
  <si>
    <t>Altherma 3 R 14kW Mono 3f</t>
  </si>
  <si>
    <t>EDLA14D3W1</t>
  </si>
  <si>
    <t>Altherma 3 R 16kW Mono 1f</t>
  </si>
  <si>
    <t>EDLA16D3V37</t>
  </si>
  <si>
    <t>Altherma 3 R 16kW Mono 3f</t>
  </si>
  <si>
    <t>EDLA16D3W17</t>
  </si>
  <si>
    <t>Temperatura zewnętrzna</t>
  </si>
  <si>
    <t>ilość godzin</t>
  </si>
  <si>
    <t>wykres pompy1</t>
  </si>
  <si>
    <t>wykres pompy2</t>
  </si>
  <si>
    <t>wykres grzałki1</t>
  </si>
  <si>
    <t>wykres grzałki2</t>
  </si>
  <si>
    <t>suma PC</t>
  </si>
  <si>
    <t>moc z grzałkami</t>
  </si>
  <si>
    <t>grzanie</t>
  </si>
  <si>
    <t>Zapotrzebowanie energetyczne</t>
  </si>
  <si>
    <t>chłodzenie</t>
  </si>
  <si>
    <t>zużycie PC1</t>
  </si>
  <si>
    <t>zużycie PC2</t>
  </si>
  <si>
    <t>zużycie PC</t>
  </si>
  <si>
    <t>zużycie grzałki1</t>
  </si>
  <si>
    <t>zużycie grzałki2</t>
  </si>
  <si>
    <t>zużycie grzałek</t>
  </si>
  <si>
    <t>-17</t>
  </si>
  <si>
    <t>-16</t>
  </si>
  <si>
    <t>-14</t>
  </si>
  <si>
    <t>-13</t>
  </si>
  <si>
    <t>-12</t>
  </si>
  <si>
    <t>-11</t>
  </si>
  <si>
    <t>-10</t>
  </si>
  <si>
    <t>-9</t>
  </si>
  <si>
    <t>-8</t>
  </si>
  <si>
    <t>-6</t>
  </si>
  <si>
    <t>-5</t>
  </si>
  <si>
    <t>-4</t>
  </si>
  <si>
    <t>-3</t>
  </si>
  <si>
    <t>-1</t>
  </si>
  <si>
    <t>0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</si>
  <si>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</si>
  <si>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</si>
  <si>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</si>
  <si>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</si>
  <si>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</si>
  <si>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</si>
  <si>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</si>
  <si>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</si>
  <si>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</si>
  <si>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</si>
  <si>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</si>
  <si>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</si>
  <si>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</si>
  <si>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</si>
  <si>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</si>
  <si>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</si>
  <si>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</si>
  <si>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</si>
  <si>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</si>
  <si>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</si>
  <si>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</si>
  <si>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</si>
  <si>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</si>
  <si>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</si>
  <si>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</si>
  <si>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dane meteo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</si>
  <si>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</si>
  <si>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</si>
  <si>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</si>
  <si>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</si>
  <si>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</si>
  <si>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</si>
  <si>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</si>
  <si>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</si>
  <si>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</si>
  <si>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</si>
  <si>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</si>
  <si>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</si>
  <si>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CO</t>
  </si>
  <si>
    <t>suma</t>
  </si>
  <si>
    <t>grzałka</t>
  </si>
  <si>
    <t>energia wyprodukowana CO</t>
  </si>
  <si>
    <t>Rafał Krakowczyk</t>
  </si>
  <si>
    <t>rafal.krakowczyk@ampere-solar.pl</t>
  </si>
  <si>
    <t>ZASOBNIKI CWU</t>
  </si>
  <si>
    <t>ZBIORNIKI BUFOROWE</t>
  </si>
  <si>
    <t>OBIEGI GRZEWCZE</t>
  </si>
  <si>
    <t>CYRKULACJA</t>
  </si>
  <si>
    <t>MATERIAŁY PRZYŁĄCZENIOWE</t>
  </si>
  <si>
    <t>LP.</t>
  </si>
  <si>
    <t>NAZWA</t>
  </si>
  <si>
    <t>MATERIAŁ</t>
  </si>
  <si>
    <t>POJEMNOŚĆ</t>
  </si>
  <si>
    <t>WĘŻOWNICA</t>
  </si>
  <si>
    <t>WYSOKOŚĆ</t>
  </si>
  <si>
    <t>ŚREDNICA</t>
  </si>
  <si>
    <t>KLASA ErP</t>
  </si>
  <si>
    <t>1.</t>
  </si>
  <si>
    <t>PAW-TD20C1E5</t>
  </si>
  <si>
    <t>Nierdzewny 200l</t>
  </si>
  <si>
    <t>INOX</t>
  </si>
  <si>
    <t>A</t>
  </si>
  <si>
    <t>Panasonic / OSO</t>
  </si>
  <si>
    <t>PAW-BTANK50L-2</t>
  </si>
  <si>
    <t>Nierdzewny 50l</t>
  </si>
  <si>
    <t>B</t>
  </si>
  <si>
    <t>2.</t>
  </si>
  <si>
    <t>PAW-TD30C1E5</t>
  </si>
  <si>
    <t xml:space="preserve">Nierdzewny 300l </t>
  </si>
  <si>
    <t>PAW-BTANK100L</t>
  </si>
  <si>
    <t>Nierdzewny 100l</t>
  </si>
  <si>
    <t>C</t>
  </si>
  <si>
    <t>3.</t>
  </si>
  <si>
    <t>PAW-TD30C1E5-HI</t>
  </si>
  <si>
    <t>Nierdzewny 300l duża wężownica</t>
  </si>
  <si>
    <t>5.</t>
  </si>
  <si>
    <t>Weber</t>
  </si>
  <si>
    <t>W4B 80</t>
  </si>
  <si>
    <t>Standard 80l wiszący</t>
  </si>
  <si>
    <t>STAL</t>
  </si>
  <si>
    <t>4.</t>
  </si>
  <si>
    <t>PAW-TA15C1E5</t>
  </si>
  <si>
    <t>Standard 150l</t>
  </si>
  <si>
    <t>EMALIOWANY</t>
  </si>
  <si>
    <t>6.</t>
  </si>
  <si>
    <t>W4 100</t>
  </si>
  <si>
    <t>Standard 100l stojący</t>
  </si>
  <si>
    <t>PAW-TA20C1E5STD</t>
  </si>
  <si>
    <t>Standard 200l</t>
  </si>
  <si>
    <t>7.</t>
  </si>
  <si>
    <t>W4 200</t>
  </si>
  <si>
    <t>Standard 200l stojący</t>
  </si>
  <si>
    <t>PAW-TA30C1E5STD</t>
  </si>
  <si>
    <t>Standard 300l</t>
  </si>
  <si>
    <t>8.</t>
  </si>
  <si>
    <t>W4 300</t>
  </si>
  <si>
    <t>Standard 300l stojący</t>
  </si>
  <si>
    <t>PAW-TA30C2E5STD</t>
  </si>
  <si>
    <t>Standard 300l biwalentny</t>
  </si>
  <si>
    <t>3,5 + 1,2</t>
  </si>
  <si>
    <t>W15 200V</t>
  </si>
  <si>
    <t>Standard 200l wąski</t>
  </si>
  <si>
    <t>9.</t>
  </si>
  <si>
    <t>W15 200</t>
  </si>
  <si>
    <t>10.</t>
  </si>
  <si>
    <t>W15 300</t>
  </si>
  <si>
    <t>11.</t>
  </si>
  <si>
    <t>W16 300</t>
  </si>
  <si>
    <t>2,6 + 1,2</t>
  </si>
  <si>
    <t>12.</t>
  </si>
  <si>
    <t>OSHW-200F</t>
  </si>
  <si>
    <t>13.</t>
  </si>
  <si>
    <t>OSHW-300F</t>
  </si>
  <si>
    <t>Nierdzewny 300l</t>
  </si>
  <si>
    <t>14.</t>
  </si>
  <si>
    <t>OSHW-300FD</t>
  </si>
  <si>
    <t>Nierdzewny 300l biwalentny</t>
  </si>
  <si>
    <t>3,1 + 0,97</t>
  </si>
  <si>
    <t>15.</t>
  </si>
  <si>
    <t>EKHWSP150D3V3</t>
  </si>
  <si>
    <t>Nierdzewny 150l</t>
  </si>
  <si>
    <t>16.</t>
  </si>
  <si>
    <t>EKHSWP180D3V3</t>
  </si>
  <si>
    <t>Nierdzewny 180l</t>
  </si>
  <si>
    <t>17.</t>
  </si>
  <si>
    <t>EKHSWP200D3V3</t>
  </si>
  <si>
    <t>18.</t>
  </si>
  <si>
    <t>EKHSWP250D3V3</t>
  </si>
  <si>
    <t>Nierdzewny 250l</t>
  </si>
  <si>
    <t>19.</t>
  </si>
  <si>
    <t>EKHSWP300D3V3</t>
  </si>
  <si>
    <t>20.</t>
  </si>
  <si>
    <t>EKHWP300B</t>
  </si>
  <si>
    <t>5,6+2,66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</si>
</sst>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  <charset val="238"/>
    </font>
    <font>
      <sz val="11"/>
      <color theme="1"/>
      <name val="Codec Pro"/>
      <charset val="238"/>
    </font>
    <font>
      <b/>
      <sz val="11"/>
      <name val="Codec Pro"/>
      <charset val="238"/>
    </font>
    <font>
      <sz val="11"/>
      <name val="Codec Pro"/>
      <charset val="238"/>
    </font>
    <font>
      <b/>
      <sz val="11"/>
      <color theme="3" tint="-0.249977111117893"/>
      <name val="Codec Pro"/>
      <charset val="238"/>
    </font>
    <font>
      <sz val="14"/>
      <name val="Codec Pro"/>
      <charset val="238"/>
    </font>
    <font>
      <sz val="12"/>
      <color theme="0" tint="-0.249977111117893"/>
      <name val="Avenir Next LT Pro Demi"/>
      <family val="2"/>
      <charset val="238"/>
    </font>
    <font>
      <b/>
      <sz val="14"/>
      <color theme="0" tint="-4.9989318521683403E-2"/>
      <name val="Codec Pro"/>
      <charset val="238"/>
    </font>
    <font>
      <sz val="20"/>
      <color theme="1"/>
      <name val="Avenir Next LT Pro Demi"/>
      <family val="2"/>
      <charset val="238"/>
    </font>
    <font>
      <sz val="10"/>
      <color theme="1"/>
      <name val="Avenir Next LT Pro"/>
      <family val="2"/>
      <charset val="238"/>
    </font>
    <font>
      <b/>
      <sz val="20"/>
      <color theme="1"/>
      <name val="Avenir Next LT Pro"/>
      <family val="2"/>
      <charset val="238"/>
    </font>
    <font>
      <b/>
      <sz val="18"/>
      <color theme="1"/>
      <name val="Avenir Next LT Pro"/>
      <family val="2"/>
      <charset val="238"/>
    </font>
    <font>
      <sz val="12"/>
      <color theme="1"/>
      <name val="Avenir Next LT Pro"/>
      <family val="2"/>
      <charset val="238"/>
    </font>
    <font>
      <sz val="16"/>
      <color theme="1"/>
      <name val="Avenir Next LT Pro"/>
      <family val="2"/>
      <charset val="238"/>
    </font>
    <font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Avenir Next LT Pro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8192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n">
        <color theme="6" tint="0.39997558519241921"/>
      </left>
      <right style="thick">
        <color indexed="64"/>
      </right>
      <top/>
      <bottom style="thin">
        <color theme="6" tint="0.39997558519241921"/>
      </bottom>
      <diagonal/>
    </border>
    <border>
      <left/>
      <right style="thick">
        <color auto="1"/>
      </right>
      <top/>
      <bottom/>
      <diagonal/>
    </border>
    <border>
      <left style="thin">
        <color theme="6" tint="0.39997558519241921"/>
      </left>
      <right style="thick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ck">
        <color indexed="64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ck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0">
    <xf numFmtId="0" fontId="0" fillId="0" borderId="0" xfId="0"/>
    <xf numFmtId="0" fontId="5" fillId="0" borderId="0" xfId="0" applyFont="1" applyProtection="1">
      <protection hidden="1"/>
    </xf>
    <xf numFmtId="9" fontId="5" fillId="0" borderId="0" xfId="0" applyNumberFormat="1" applyFont="1" applyProtection="1">
      <protection hidden="1"/>
    </xf>
    <xf numFmtId="0" fontId="6" fillId="0" borderId="0" xfId="0" applyFont="1" applyProtection="1">
      <protection hidden="1"/>
    </xf>
    <xf numFmtId="0" fontId="7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6" fillId="0" borderId="0" xfId="0" applyFont="1" applyProtection="1">
      <protection locked="0" hidden="1"/>
    </xf>
    <xf numFmtId="0" fontId="5" fillId="0" borderId="0" xfId="0" applyFont="1" applyProtection="1">
      <protection locked="0" hidden="1"/>
    </xf>
    <xf numFmtId="0" fontId="7" fillId="0" borderId="0" xfId="0" applyFont="1" applyAlignment="1" applyProtection="1">
      <alignment horizontal="left" vertical="center"/>
      <protection locked="0" hidden="1"/>
    </xf>
    <xf numFmtId="0" fontId="9" fillId="0" borderId="0" xfId="0" applyFont="1" applyProtection="1">
      <protection hidden="1"/>
    </xf>
    <xf numFmtId="0" fontId="8" fillId="0" borderId="0" xfId="0" applyFont="1" applyAlignment="1" applyProtection="1">
      <alignment horizontal="left"/>
      <protection locked="0" hidden="1"/>
    </xf>
    <xf numFmtId="0" fontId="10" fillId="0" borderId="0" xfId="0" applyFont="1" applyAlignment="1" applyProtection="1">
      <alignment horizontal="left"/>
      <protection locked="0" hidden="1"/>
    </xf>
    <xf numFmtId="0" fontId="11" fillId="0" borderId="0" xfId="0" applyFont="1" applyAlignment="1" applyProtection="1">
      <alignment horizontal="left"/>
      <protection locked="0" hidden="1"/>
    </xf>
    <xf numFmtId="3" fontId="7" fillId="0" borderId="0" xfId="0" applyNumberFormat="1" applyFont="1" applyAlignment="1" applyProtection="1">
      <alignment horizontal="left" vertical="center"/>
      <protection locked="0" hidden="1"/>
    </xf>
    <xf numFmtId="0" fontId="8" fillId="0" borderId="0" xfId="0" applyFont="1" applyAlignment="1" applyProtection="1">
      <alignment horizontal="left" vertical="center"/>
      <protection locked="0" hidden="1"/>
    </xf>
    <xf numFmtId="0" fontId="10" fillId="0" borderId="0" xfId="0" applyFont="1" applyAlignment="1" applyProtection="1">
      <alignment horizontal="left" vertical="center"/>
      <protection locked="0" hidden="1"/>
    </xf>
    <xf numFmtId="0" fontId="4" fillId="0" borderId="0" xfId="3" applyAlignment="1">
      <alignment vertical="center"/>
    </xf>
    <xf numFmtId="0" fontId="7" fillId="0" borderId="0" xfId="0" applyFont="1" applyAlignment="1">
      <alignment vertical="center"/>
    </xf>
    <xf numFmtId="0" fontId="7" fillId="0" borderId="0" xfId="3" applyFont="1" applyAlignment="1" applyProtection="1">
      <alignment horizontal="left"/>
      <protection locked="0" hidden="1"/>
    </xf>
    <xf numFmtId="0" fontId="9" fillId="0" borderId="0" xfId="0" applyFont="1" applyProtection="1">
      <protection locked="0" hidden="1"/>
    </xf>
    <xf numFmtId="0" fontId="12" fillId="0" borderId="0" xfId="0" applyFont="1" applyProtection="1">
      <protection hidden="1"/>
    </xf>
    <xf numFmtId="0" fontId="7" fillId="0" borderId="0" xfId="0" applyFont="1" applyProtection="1">
      <protection hidden="1"/>
    </xf>
    <xf numFmtId="3" fontId="12" fillId="0" borderId="0" xfId="0" applyNumberFormat="1" applyFont="1" applyProtection="1">
      <protection hidden="1"/>
    </xf>
    <xf numFmtId="0" fontId="13" fillId="0" borderId="0" xfId="0" applyFont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4" fillId="2" borderId="0" xfId="0" applyFont="1" applyFill="1" applyAlignment="1" applyProtection="1">
      <alignment horizontal="center" vertical="center"/>
      <protection locked="0" hidden="1"/>
    </xf>
    <xf numFmtId="2" fontId="15" fillId="3" borderId="0" xfId="0" applyNumberFormat="1" applyFont="1" applyFill="1" applyAlignment="1" applyProtection="1">
      <alignment horizontal="center" vertical="center"/>
      <protection locked="0" hidden="1"/>
    </xf>
    <xf numFmtId="0" fontId="14" fillId="0" borderId="0" xfId="0" applyFont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 vertical="center" wrapText="1"/>
      <protection hidden="1"/>
    </xf>
    <xf numFmtId="0" fontId="14" fillId="0" borderId="0" xfId="0" applyFont="1" applyAlignment="1" applyProtection="1">
      <alignment vertical="center"/>
      <protection hidden="1"/>
    </xf>
    <xf numFmtId="1" fontId="14" fillId="0" borderId="0" xfId="0" applyNumberFormat="1" applyFont="1" applyAlignment="1" applyProtection="1">
      <alignment horizontal="center" vertical="center"/>
      <protection locked="0" hidden="1"/>
    </xf>
    <xf numFmtId="9" fontId="14" fillId="0" borderId="0" xfId="2" applyFont="1" applyAlignment="1" applyProtection="1">
      <alignment horizontal="center" vertical="center"/>
      <protection locked="0" hidden="1"/>
    </xf>
    <xf numFmtId="0" fontId="14" fillId="2" borderId="0" xfId="0" applyFont="1" applyFill="1" applyAlignment="1" applyProtection="1">
      <alignment horizontal="right" vertical="center"/>
      <protection locked="0" hidden="1"/>
    </xf>
    <xf numFmtId="0" fontId="14" fillId="2" borderId="0" xfId="0" applyFont="1" applyFill="1" applyAlignment="1" applyProtection="1">
      <alignment horizontal="left" vertical="center"/>
      <protection locked="0" hidden="1"/>
    </xf>
    <xf numFmtId="0" fontId="14" fillId="0" borderId="0" xfId="0" applyFont="1" applyAlignment="1" applyProtection="1">
      <alignment horizontal="right" vertical="center"/>
      <protection locked="0" hidden="1"/>
    </xf>
    <xf numFmtId="0" fontId="14" fillId="0" borderId="0" xfId="0" applyFont="1" applyAlignment="1" applyProtection="1">
      <alignment horizontal="left" vertical="center"/>
      <protection locked="0" hidden="1"/>
    </xf>
    <xf numFmtId="2" fontId="16" fillId="3" borderId="0" xfId="0" applyNumberFormat="1" applyFont="1" applyFill="1" applyAlignment="1" applyProtection="1">
      <alignment horizontal="center" vertical="center"/>
      <protection locked="0" hidden="1"/>
    </xf>
    <xf numFmtId="0" fontId="14" fillId="2" borderId="0" xfId="0" applyFont="1" applyFill="1" applyAlignment="1" applyProtection="1">
      <alignment horizontal="center"/>
      <protection locked="0" hidden="1"/>
    </xf>
    <xf numFmtId="0" fontId="17" fillId="0" borderId="0" xfId="0" applyFont="1" applyAlignment="1" applyProtection="1">
      <alignment horizontal="center" vertical="center" wrapText="1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3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0" fontId="0" fillId="0" borderId="7" xfId="0" applyBorder="1"/>
    <xf numFmtId="2" fontId="0" fillId="0" borderId="8" xfId="0" applyNumberFormat="1" applyBorder="1" applyAlignment="1">
      <alignment horizontal="right" vertical="center"/>
    </xf>
    <xf numFmtId="2" fontId="0" fillId="0" borderId="9" xfId="0" applyNumberFormat="1" applyBorder="1" applyAlignment="1">
      <alignment horizontal="right" vertical="center"/>
    </xf>
    <xf numFmtId="2" fontId="0" fillId="0" borderId="9" xfId="0" applyNumberFormat="1" applyBorder="1" applyAlignment="1">
      <alignment horizontal="left" vertical="center"/>
    </xf>
    <xf numFmtId="2" fontId="0" fillId="0" borderId="10" xfId="0" applyNumberForma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2" xfId="0" applyFont="1" applyFill="1" applyBorder="1"/>
    <xf numFmtId="0" fontId="0" fillId="0" borderId="11" xfId="0" applyBorder="1"/>
    <xf numFmtId="0" fontId="0" fillId="6" borderId="2" xfId="0" applyFill="1" applyBorder="1"/>
    <xf numFmtId="0" fontId="0" fillId="0" borderId="12" xfId="0" applyBorder="1"/>
    <xf numFmtId="0" fontId="0" fillId="0" borderId="13" xfId="0" applyBorder="1"/>
    <xf numFmtId="0" fontId="0" fillId="5" borderId="2" xfId="0" applyFill="1" applyBorder="1"/>
    <xf numFmtId="0" fontId="3" fillId="0" borderId="0" xfId="0" applyFont="1"/>
    <xf numFmtId="0" fontId="3" fillId="4" borderId="0" xfId="0" applyFont="1" applyFill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1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20" fillId="0" borderId="15" xfId="0" applyFont="1" applyBorder="1" applyAlignment="1">
      <alignment horizontal="right" vertical="center"/>
    </xf>
    <xf numFmtId="0" fontId="20" fillId="0" borderId="16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/>
    </xf>
    <xf numFmtId="0" fontId="21" fillId="4" borderId="3" xfId="0" applyFont="1" applyFill="1" applyBorder="1" applyAlignment="1" applyProtection="1">
      <alignment horizontal="left" vertical="center"/>
      <protection hidden="1"/>
    </xf>
    <xf numFmtId="2" fontId="5" fillId="0" borderId="0" xfId="0" applyNumberFormat="1" applyFont="1" applyAlignment="1" applyProtection="1">
      <alignment horizontal="center"/>
      <protection hidden="1"/>
    </xf>
    <xf numFmtId="2" fontId="5" fillId="0" borderId="0" xfId="0" applyNumberFormat="1" applyFont="1" applyProtection="1">
      <protection hidden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/>
    </xf>
    <xf numFmtId="2" fontId="20" fillId="0" borderId="0" xfId="0" applyNumberFormat="1" applyFont="1" applyAlignment="1">
      <alignment horizontal="center"/>
    </xf>
    <xf numFmtId="9" fontId="0" fillId="0" borderId="2" xfId="0" applyNumberFormat="1" applyBorder="1" applyAlignment="1">
      <alignment horizontal="center"/>
    </xf>
    <xf numFmtId="2" fontId="22" fillId="0" borderId="0" xfId="0" applyNumberFormat="1" applyFont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22" fillId="0" borderId="2" xfId="0" applyNumberFormat="1" applyFont="1" applyBorder="1" applyAlignment="1">
      <alignment horizontal="center"/>
    </xf>
    <xf numFmtId="9" fontId="0" fillId="0" borderId="2" xfId="2" applyFon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" xfId="0" applyBorder="1"/>
    <xf numFmtId="0" fontId="0" fillId="0" borderId="3" xfId="0" quotePrefix="1" applyBorder="1"/>
    <xf numFmtId="0" fontId="0" fillId="7" borderId="3" xfId="0" quotePrefix="1" applyFill="1" applyBorder="1"/>
    <xf numFmtId="0" fontId="0" fillId="7" borderId="3" xfId="0" applyFill="1" applyBorder="1"/>
    <xf numFmtId="2" fontId="0" fillId="0" borderId="0" xfId="0" applyNumberFormat="1"/>
    <xf numFmtId="0" fontId="0" fillId="0" borderId="0" xfId="0" applyAlignment="1">
      <alignment horizontal="center" vertical="center" textRotation="90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0" borderId="31" xfId="0" applyBorder="1"/>
    <xf numFmtId="2" fontId="0" fillId="0" borderId="32" xfId="0" applyNumberFormat="1" applyBorder="1"/>
    <xf numFmtId="0" fontId="0" fillId="8" borderId="31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1" fontId="0" fillId="0" borderId="32" xfId="0" applyNumberFormat="1" applyBorder="1"/>
    <xf numFmtId="0" fontId="0" fillId="0" borderId="33" xfId="0" applyBorder="1"/>
    <xf numFmtId="1" fontId="0" fillId="0" borderId="0" xfId="0" applyNumberFormat="1"/>
    <xf numFmtId="0" fontId="0" fillId="0" borderId="11" xfId="0" applyBorder="1" applyAlignment="1">
      <alignment horizontal="center"/>
    </xf>
    <xf numFmtId="44" fontId="0" fillId="0" borderId="0" xfId="1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44" fontId="2" fillId="5" borderId="1" xfId="1" applyFont="1" applyFill="1" applyBorder="1" applyAlignment="1">
      <alignment horizontal="center"/>
    </xf>
    <xf numFmtId="9" fontId="2" fillId="5" borderId="1" xfId="2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4">
    <cellStyle name="Hiperłącze" xfId="3" builtinId="8"/>
    <cellStyle name="Normalny" xfId="0" builtinId="0"/>
    <cellStyle name="Procentowy" xfId="2" builtinId="5"/>
    <cellStyle name="Walutowy" xfId="1" builtinId="4"/>
  </cellStyles>
  <dxfs count="13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ck">
          <color indexed="64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ck">
          <color indexed="64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ck">
          <color indexed="64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>
        <bottom style="thick">
          <color indexed="64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numFmt numFmtId="13" formatCode="0%"/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charset val="238"/>
        <scheme val="none"/>
      </font>
      <protection hidden="1"/>
    </dxf>
  </dxfs>
  <tableStyles count="0" defaultTableStyle="TableStyleMedium2" defaultPivotStyle="PivotStyleLight16"/>
  <colors>
    <mruColors>
      <color rgb="FF181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40639325206335E-2"/>
          <c:y val="1.9895135068432251E-2"/>
          <c:w val="0.91431975082393391"/>
          <c:h val="0.91207055443261031"/>
        </c:manualLayout>
      </c:layout>
      <c:areaChart>
        <c:grouping val="standard"/>
        <c:varyColors val="0"/>
        <c:ser>
          <c:idx val="3"/>
          <c:order val="3"/>
          <c:tx>
            <c:strRef>
              <c:f>WYKRES!$A$11</c:f>
              <c:strCache>
                <c:ptCount val="1"/>
                <c:pt idx="0">
                  <c:v>Zapotrzebowanie energetyczne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Lit>
              <c:formatCode>General</c:formatCode>
              <c:ptCount val="49"/>
              <c:pt idx="0">
                <c:v>-20</c:v>
              </c:pt>
              <c:pt idx="1">
                <c:v>-17</c:v>
              </c:pt>
              <c:pt idx="2">
                <c:v>-16</c:v>
              </c:pt>
              <c:pt idx="3">
                <c:v>-15</c:v>
              </c:pt>
              <c:pt idx="4">
                <c:v>-14</c:v>
              </c:pt>
              <c:pt idx="5">
                <c:v>-13</c:v>
              </c:pt>
              <c:pt idx="6">
                <c:v>-12</c:v>
              </c:pt>
              <c:pt idx="7">
                <c:v>-11</c:v>
              </c:pt>
              <c:pt idx="8">
                <c:v>-10</c:v>
              </c:pt>
              <c:pt idx="9">
                <c:v>-9</c:v>
              </c:pt>
              <c:pt idx="10">
                <c:v>-8</c:v>
              </c:pt>
              <c:pt idx="11">
                <c:v>-7</c:v>
              </c:pt>
              <c:pt idx="12">
                <c:v>-6</c:v>
              </c:pt>
              <c:pt idx="13">
                <c:v>-5</c:v>
              </c:pt>
              <c:pt idx="14">
                <c:v>-4</c:v>
              </c:pt>
              <c:pt idx="15">
                <c:v>-3</c:v>
              </c:pt>
              <c:pt idx="16">
                <c:v>-2</c:v>
              </c:pt>
              <c:pt idx="17">
                <c:v>-1</c:v>
              </c:pt>
              <c:pt idx="18">
                <c:v>0</c:v>
              </c:pt>
              <c:pt idx="19">
                <c:v>1</c:v>
              </c:pt>
              <c:pt idx="20">
                <c:v>2</c:v>
              </c:pt>
              <c:pt idx="21">
                <c:v>3</c:v>
              </c:pt>
              <c:pt idx="22">
                <c:v>4</c:v>
              </c:pt>
              <c:pt idx="23">
                <c:v>5</c:v>
              </c:pt>
              <c:pt idx="24">
                <c:v>6</c:v>
              </c:pt>
              <c:pt idx="25">
                <c:v>7</c:v>
              </c:pt>
              <c:pt idx="26">
                <c:v>8</c:v>
              </c:pt>
              <c:pt idx="27">
                <c:v>9</c:v>
              </c:pt>
              <c:pt idx="28">
                <c:v>10</c:v>
              </c:pt>
              <c:pt idx="29">
                <c:v>11</c:v>
              </c:pt>
              <c:pt idx="30">
                <c:v>12</c:v>
              </c:pt>
              <c:pt idx="31">
                <c:v>13</c:v>
              </c:pt>
              <c:pt idx="32">
                <c:v>14</c:v>
              </c:pt>
              <c:pt idx="33">
                <c:v>15</c:v>
              </c:pt>
              <c:pt idx="34">
                <c:v>16</c:v>
              </c:pt>
              <c:pt idx="35">
                <c:v>17</c:v>
              </c:pt>
              <c:pt idx="36">
                <c:v>18</c:v>
              </c:pt>
              <c:pt idx="37">
                <c:v>19</c:v>
              </c:pt>
              <c:pt idx="38">
                <c:v>20</c:v>
              </c:pt>
              <c:pt idx="39">
                <c:v>21</c:v>
              </c:pt>
              <c:pt idx="40">
                <c:v>22</c:v>
              </c:pt>
              <c:pt idx="41">
                <c:v>23</c:v>
              </c:pt>
              <c:pt idx="42">
                <c:v>24</c:v>
              </c:pt>
              <c:pt idx="43">
                <c:v>25</c:v>
              </c:pt>
              <c:pt idx="44">
                <c:v>26</c:v>
              </c:pt>
              <c:pt idx="45">
                <c:v>27</c:v>
              </c:pt>
              <c:pt idx="46">
                <c:v>28</c:v>
              </c:pt>
              <c:pt idx="47">
                <c:v>29</c:v>
              </c:pt>
              <c:pt idx="48">
                <c:v>30</c:v>
              </c:pt>
            </c:numLit>
          </c:cat>
          <c:val>
            <c:numRef>
              <c:f>WYKRES!$C$11:$AY$11</c:f>
              <c:numCache>
                <c:formatCode>0.00</c:formatCode>
                <c:ptCount val="49"/>
                <c:pt idx="0">
                  <c:v>5.0157314718667516</c:v>
                </c:pt>
                <c:pt idx="1">
                  <c:v>5.0157314718667516</c:v>
                </c:pt>
                <c:pt idx="2">
                  <c:v>4.8902944865371198</c:v>
                </c:pt>
                <c:pt idx="3">
                  <c:v>4.7648575012074872</c:v>
                </c:pt>
                <c:pt idx="4">
                  <c:v>4.6394205158778554</c:v>
                </c:pt>
                <c:pt idx="5">
                  <c:v>4.5139835305482237</c:v>
                </c:pt>
                <c:pt idx="6">
                  <c:v>4.3885465452185919</c:v>
                </c:pt>
                <c:pt idx="7">
                  <c:v>4.2631095598889601</c:v>
                </c:pt>
                <c:pt idx="8">
                  <c:v>4.1376725745593275</c:v>
                </c:pt>
                <c:pt idx="9">
                  <c:v>4.0122355892296957</c:v>
                </c:pt>
                <c:pt idx="10">
                  <c:v>3.8867986039000639</c:v>
                </c:pt>
                <c:pt idx="11">
                  <c:v>3.7613616185704317</c:v>
                </c:pt>
                <c:pt idx="12">
                  <c:v>3.6359246332407995</c:v>
                </c:pt>
                <c:pt idx="13">
                  <c:v>3.5104876479111677</c:v>
                </c:pt>
                <c:pt idx="14">
                  <c:v>3.385050662581536</c:v>
                </c:pt>
                <c:pt idx="15">
                  <c:v>3.2596136772519038</c:v>
                </c:pt>
                <c:pt idx="16">
                  <c:v>3.1341766919222716</c:v>
                </c:pt>
                <c:pt idx="17">
                  <c:v>3.0087397065926398</c:v>
                </c:pt>
                <c:pt idx="18">
                  <c:v>2.883302721263008</c:v>
                </c:pt>
                <c:pt idx="19">
                  <c:v>2.7578657359333758</c:v>
                </c:pt>
                <c:pt idx="20">
                  <c:v>2.6324287506037436</c:v>
                </c:pt>
                <c:pt idx="21">
                  <c:v>2.5069917652741118</c:v>
                </c:pt>
                <c:pt idx="22">
                  <c:v>2.3815547799444801</c:v>
                </c:pt>
                <c:pt idx="23">
                  <c:v>2.2561177946148478</c:v>
                </c:pt>
                <c:pt idx="24">
                  <c:v>2.1306808092852156</c:v>
                </c:pt>
                <c:pt idx="25">
                  <c:v>2.0052438239555839</c:v>
                </c:pt>
                <c:pt idx="26">
                  <c:v>1.8798068386259521</c:v>
                </c:pt>
                <c:pt idx="27">
                  <c:v>1.7543698532963199</c:v>
                </c:pt>
                <c:pt idx="28">
                  <c:v>1.6289328679666877</c:v>
                </c:pt>
                <c:pt idx="29">
                  <c:v>1.5034958826370559</c:v>
                </c:pt>
                <c:pt idx="30">
                  <c:v>1.3780588973074241</c:v>
                </c:pt>
                <c:pt idx="31">
                  <c:v>1.2526219119777919</c:v>
                </c:pt>
                <c:pt idx="32">
                  <c:v>1.1271849266481597</c:v>
                </c:pt>
                <c:pt idx="33">
                  <c:v>1.001747941318528</c:v>
                </c:pt>
                <c:pt idx="34">
                  <c:v>0.87631095598889619</c:v>
                </c:pt>
                <c:pt idx="35">
                  <c:v>0.75087397065926442</c:v>
                </c:pt>
                <c:pt idx="36">
                  <c:v>0.62543698532963177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5-48AC-958D-53108080D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61936"/>
        <c:axId val="470262480"/>
        <c:extLst>
          <c:ext xmlns:c15="http://schemas.microsoft.com/office/drawing/2012/chart" uri="{02D57815-91ED-43cb-92C2-25804820EDAC}">
            <c15:filteredAreaSeries>
              <c15:ser>
                <c:idx val="4"/>
                <c:order val="4"/>
                <c:tx>
                  <c:v>chłodzenie</c:v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Lit>
                    <c:formatCode>General</c:formatCode>
                    <c:ptCount val="49"/>
                    <c:pt idx="0">
                      <c:v>-20</c:v>
                    </c:pt>
                    <c:pt idx="1">
                      <c:v>-17</c:v>
                    </c:pt>
                    <c:pt idx="2">
                      <c:v>-16</c:v>
                    </c:pt>
                    <c:pt idx="3">
                      <c:v>-15</c:v>
                    </c:pt>
                    <c:pt idx="4">
                      <c:v>-14</c:v>
                    </c:pt>
                    <c:pt idx="5">
                      <c:v>-13</c:v>
                    </c:pt>
                    <c:pt idx="6">
                      <c:v>-12</c:v>
                    </c:pt>
                    <c:pt idx="7">
                      <c:v>-11</c:v>
                    </c:pt>
                    <c:pt idx="8">
                      <c:v>-10</c:v>
                    </c:pt>
                    <c:pt idx="9">
                      <c:v>-9</c:v>
                    </c:pt>
                    <c:pt idx="10">
                      <c:v>-8</c:v>
                    </c:pt>
                    <c:pt idx="11">
                      <c:v>-7</c:v>
                    </c:pt>
                    <c:pt idx="12">
                      <c:v>-6</c:v>
                    </c:pt>
                    <c:pt idx="13">
                      <c:v>-5</c:v>
                    </c:pt>
                    <c:pt idx="14">
                      <c:v>-4</c:v>
                    </c:pt>
                    <c:pt idx="15">
                      <c:v>-3</c:v>
                    </c:pt>
                    <c:pt idx="16">
                      <c:v>-2</c:v>
                    </c:pt>
                    <c:pt idx="17">
                      <c:v>-1</c:v>
                    </c:pt>
                    <c:pt idx="18">
                      <c:v>0</c:v>
                    </c:pt>
                    <c:pt idx="19">
                      <c:v>1</c:v>
                    </c:pt>
                    <c:pt idx="20">
                      <c:v>2</c:v>
                    </c:pt>
                    <c:pt idx="21">
                      <c:v>3</c:v>
                    </c:pt>
                    <c:pt idx="22">
                      <c:v>4</c:v>
                    </c:pt>
                    <c:pt idx="23">
                      <c:v>5</c:v>
                    </c:pt>
                    <c:pt idx="24">
                      <c:v>6</c:v>
                    </c:pt>
                    <c:pt idx="25">
                      <c:v>7</c:v>
                    </c:pt>
                    <c:pt idx="26">
                      <c:v>8</c:v>
                    </c:pt>
                    <c:pt idx="27">
                      <c:v>9</c:v>
                    </c:pt>
                    <c:pt idx="28">
                      <c:v>10</c:v>
                    </c:pt>
                    <c:pt idx="29">
                      <c:v>11</c:v>
                    </c:pt>
                    <c:pt idx="30">
                      <c:v>12</c:v>
                    </c:pt>
                    <c:pt idx="31">
                      <c:v>13</c:v>
                    </c:pt>
                    <c:pt idx="32">
                      <c:v>14</c:v>
                    </c:pt>
                    <c:pt idx="33">
                      <c:v>15</c:v>
                    </c:pt>
                    <c:pt idx="34">
                      <c:v>16</c:v>
                    </c:pt>
                    <c:pt idx="35">
                      <c:v>17</c:v>
                    </c:pt>
                    <c:pt idx="36">
                      <c:v>18</c:v>
                    </c:pt>
                    <c:pt idx="37">
                      <c:v>19</c:v>
                    </c:pt>
                    <c:pt idx="38">
                      <c:v>20</c:v>
                    </c:pt>
                    <c:pt idx="39">
                      <c:v>21</c:v>
                    </c:pt>
                    <c:pt idx="40">
                      <c:v>22</c:v>
                    </c:pt>
                    <c:pt idx="41">
                      <c:v>23</c:v>
                    </c:pt>
                    <c:pt idx="42">
                      <c:v>24</c:v>
                    </c:pt>
                    <c:pt idx="43">
                      <c:v>25</c:v>
                    </c:pt>
                    <c:pt idx="44">
                      <c:v>26</c:v>
                    </c:pt>
                    <c:pt idx="45">
                      <c:v>27</c:v>
                    </c:pt>
                    <c:pt idx="46">
                      <c:v>28</c:v>
                    </c:pt>
                    <c:pt idx="47">
                      <c:v>29</c:v>
                    </c:pt>
                    <c:pt idx="48">
                      <c:v>30</c:v>
                    </c:pt>
                  </c:numLit>
                </c:cat>
                <c:val>
                  <c:numLit>
                    <c:formatCode>General</c:formatCode>
                    <c:ptCount val="49"/>
                  </c:numLit>
                </c:val>
                <c:extLst>
                  <c:ext xmlns:c16="http://schemas.microsoft.com/office/drawing/2014/chart" uri="{C3380CC4-5D6E-409C-BE32-E72D297353CC}">
                    <c16:uniqueId val="{00000008-F575-48AC-958D-53108080DF21}"/>
                  </c:ext>
                </c:extLst>
              </c15:ser>
            </c15:filteredAreaSeries>
          </c:ext>
        </c:extLst>
      </c:areaChart>
      <c:areaChart>
        <c:grouping val="standard"/>
        <c:varyColors val="0"/>
        <c:ser>
          <c:idx val="8"/>
          <c:order val="8"/>
          <c:tx>
            <c:strRef>
              <c:f>WYKRES!$A$9</c:f>
              <c:strCache>
                <c:ptCount val="1"/>
                <c:pt idx="0">
                  <c:v>CWU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Lit>
              <c:formatCode>0.00</c:formatCode>
              <c:ptCount val="49"/>
              <c:pt idx="0">
                <c:v>0.5</c:v>
              </c:pt>
              <c:pt idx="1">
                <c:v>0.5</c:v>
              </c:pt>
              <c:pt idx="2">
                <c:v>0.5</c:v>
              </c:pt>
              <c:pt idx="3">
                <c:v>0.5</c:v>
              </c:pt>
              <c:pt idx="4">
                <c:v>0.5</c:v>
              </c:pt>
              <c:pt idx="5">
                <c:v>0.5</c:v>
              </c:pt>
              <c:pt idx="6">
                <c:v>0.5</c:v>
              </c:pt>
              <c:pt idx="7">
                <c:v>0.5</c:v>
              </c:pt>
              <c:pt idx="8">
                <c:v>0.5</c:v>
              </c:pt>
              <c:pt idx="9">
                <c:v>0.5</c:v>
              </c:pt>
              <c:pt idx="10">
                <c:v>0.5</c:v>
              </c:pt>
              <c:pt idx="11">
                <c:v>0.5</c:v>
              </c:pt>
              <c:pt idx="12">
                <c:v>0.5</c:v>
              </c:pt>
              <c:pt idx="13">
                <c:v>0.5</c:v>
              </c:pt>
              <c:pt idx="14">
                <c:v>0.5</c:v>
              </c:pt>
              <c:pt idx="15">
                <c:v>0.5</c:v>
              </c:pt>
              <c:pt idx="16">
                <c:v>0.5</c:v>
              </c:pt>
              <c:pt idx="17">
                <c:v>0.5</c:v>
              </c:pt>
              <c:pt idx="18">
                <c:v>0.5</c:v>
              </c:pt>
              <c:pt idx="19">
                <c:v>0.5</c:v>
              </c:pt>
              <c:pt idx="20">
                <c:v>0.5</c:v>
              </c:pt>
              <c:pt idx="21">
                <c:v>0.5</c:v>
              </c:pt>
              <c:pt idx="22">
                <c:v>0.5</c:v>
              </c:pt>
              <c:pt idx="23">
                <c:v>0.5</c:v>
              </c:pt>
              <c:pt idx="24">
                <c:v>0.5</c:v>
              </c:pt>
              <c:pt idx="25">
                <c:v>0.5</c:v>
              </c:pt>
              <c:pt idx="26">
                <c:v>0.5</c:v>
              </c:pt>
              <c:pt idx="27">
                <c:v>0.5</c:v>
              </c:pt>
              <c:pt idx="28">
                <c:v>0.5</c:v>
              </c:pt>
              <c:pt idx="29">
                <c:v>0.5</c:v>
              </c:pt>
              <c:pt idx="30">
                <c:v>0.5</c:v>
              </c:pt>
              <c:pt idx="31">
                <c:v>0.5</c:v>
              </c:pt>
              <c:pt idx="32">
                <c:v>0.5</c:v>
              </c:pt>
              <c:pt idx="33">
                <c:v>0.5</c:v>
              </c:pt>
              <c:pt idx="34">
                <c:v>0.5</c:v>
              </c:pt>
              <c:pt idx="35">
                <c:v>0.5</c:v>
              </c:pt>
              <c:pt idx="36">
                <c:v>0.5</c:v>
              </c:pt>
              <c:pt idx="37">
                <c:v>0.5</c:v>
              </c:pt>
              <c:pt idx="38">
                <c:v>0.5</c:v>
              </c:pt>
              <c:pt idx="39">
                <c:v>0.5</c:v>
              </c:pt>
              <c:pt idx="40">
                <c:v>0.5</c:v>
              </c:pt>
              <c:pt idx="41">
                <c:v>0.5</c:v>
              </c:pt>
              <c:pt idx="42">
                <c:v>0.5</c:v>
              </c:pt>
              <c:pt idx="43">
                <c:v>0.5</c:v>
              </c:pt>
              <c:pt idx="44">
                <c:v>0.5</c:v>
              </c:pt>
              <c:pt idx="45">
                <c:v>0.5</c:v>
              </c:pt>
              <c:pt idx="46">
                <c:v>0.5</c:v>
              </c:pt>
              <c:pt idx="47">
                <c:v>0.5</c:v>
              </c:pt>
              <c:pt idx="48">
                <c:v>0.5</c:v>
              </c:pt>
            </c:numLit>
          </c:val>
          <c:extLst>
            <c:ext xmlns:c16="http://schemas.microsoft.com/office/drawing/2014/chart" uri="{C3380CC4-5D6E-409C-BE32-E72D297353CC}">
              <c16:uniqueId val="{00000001-F575-48AC-958D-53108080D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63568"/>
        <c:axId val="470271184"/>
      </c:areaChart>
      <c:lineChart>
        <c:grouping val="standard"/>
        <c:varyColors val="0"/>
        <c:ser>
          <c:idx val="1"/>
          <c:order val="1"/>
          <c:tx>
            <c:strRef>
              <c:f>WYKRES!$A$7</c:f>
              <c:strCache>
                <c:ptCount val="1"/>
                <c:pt idx="0">
                  <c:v>suma PC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glow rad="63500">
                <a:srgbClr val="8037B7">
                  <a:alpha val="40000"/>
                </a:srgbClr>
              </a:glow>
            </a:effectLst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75-48AC-958D-53108080DF2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49"/>
              <c:pt idx="0">
                <c:v>-20</c:v>
              </c:pt>
              <c:pt idx="1">
                <c:v>-17</c:v>
              </c:pt>
              <c:pt idx="2">
                <c:v>-16</c:v>
              </c:pt>
              <c:pt idx="3">
                <c:v>-15</c:v>
              </c:pt>
              <c:pt idx="4">
                <c:v>-14</c:v>
              </c:pt>
              <c:pt idx="5">
                <c:v>-13</c:v>
              </c:pt>
              <c:pt idx="6">
                <c:v>-12</c:v>
              </c:pt>
              <c:pt idx="7">
                <c:v>-11</c:v>
              </c:pt>
              <c:pt idx="8">
                <c:v>-10</c:v>
              </c:pt>
              <c:pt idx="9">
                <c:v>-9</c:v>
              </c:pt>
              <c:pt idx="10">
                <c:v>-8</c:v>
              </c:pt>
              <c:pt idx="11">
                <c:v>-7</c:v>
              </c:pt>
              <c:pt idx="12">
                <c:v>-6</c:v>
              </c:pt>
              <c:pt idx="13">
                <c:v>-5</c:v>
              </c:pt>
              <c:pt idx="14">
                <c:v>-4</c:v>
              </c:pt>
              <c:pt idx="15">
                <c:v>-3</c:v>
              </c:pt>
              <c:pt idx="16">
                <c:v>-2</c:v>
              </c:pt>
              <c:pt idx="17">
                <c:v>-1</c:v>
              </c:pt>
              <c:pt idx="18">
                <c:v>0</c:v>
              </c:pt>
              <c:pt idx="19">
                <c:v>1</c:v>
              </c:pt>
              <c:pt idx="20">
                <c:v>2</c:v>
              </c:pt>
              <c:pt idx="21">
                <c:v>3</c:v>
              </c:pt>
              <c:pt idx="22">
                <c:v>4</c:v>
              </c:pt>
              <c:pt idx="23">
                <c:v>5</c:v>
              </c:pt>
              <c:pt idx="24">
                <c:v>6</c:v>
              </c:pt>
              <c:pt idx="25">
                <c:v>7</c:v>
              </c:pt>
              <c:pt idx="26">
                <c:v>8</c:v>
              </c:pt>
              <c:pt idx="27">
                <c:v>9</c:v>
              </c:pt>
              <c:pt idx="28">
                <c:v>10</c:v>
              </c:pt>
              <c:pt idx="29">
                <c:v>11</c:v>
              </c:pt>
              <c:pt idx="30">
                <c:v>12</c:v>
              </c:pt>
              <c:pt idx="31">
                <c:v>13</c:v>
              </c:pt>
              <c:pt idx="32">
                <c:v>14</c:v>
              </c:pt>
              <c:pt idx="33">
                <c:v>15</c:v>
              </c:pt>
              <c:pt idx="34">
                <c:v>16</c:v>
              </c:pt>
              <c:pt idx="35">
                <c:v>17</c:v>
              </c:pt>
              <c:pt idx="36">
                <c:v>18</c:v>
              </c:pt>
              <c:pt idx="37">
                <c:v>19</c:v>
              </c:pt>
              <c:pt idx="38">
                <c:v>20</c:v>
              </c:pt>
              <c:pt idx="39">
                <c:v>21</c:v>
              </c:pt>
              <c:pt idx="40">
                <c:v>22</c:v>
              </c:pt>
              <c:pt idx="41">
                <c:v>23</c:v>
              </c:pt>
              <c:pt idx="42">
                <c:v>24</c:v>
              </c:pt>
              <c:pt idx="43">
                <c:v>25</c:v>
              </c:pt>
              <c:pt idx="44">
                <c:v>26</c:v>
              </c:pt>
              <c:pt idx="45">
                <c:v>27</c:v>
              </c:pt>
              <c:pt idx="46">
                <c:v>28</c:v>
              </c:pt>
              <c:pt idx="47">
                <c:v>29</c:v>
              </c:pt>
              <c:pt idx="48">
                <c:v>30</c:v>
              </c:pt>
            </c:numLit>
          </c:cat>
          <c:val>
            <c:numRef>
              <c:f>WYKRES!$C$7:$AY$7</c:f>
              <c:numCache>
                <c:formatCode>0.00</c:formatCode>
                <c:ptCount val="49"/>
                <c:pt idx="0">
                  <c:v>5.5062499999999996</c:v>
                </c:pt>
                <c:pt idx="1">
                  <c:v>5.5625</c:v>
                </c:pt>
                <c:pt idx="2">
                  <c:v>5.5812499999999998</c:v>
                </c:pt>
                <c:pt idx="3">
                  <c:v>5.6</c:v>
                </c:pt>
                <c:pt idx="4">
                  <c:v>5.6187499999999995</c:v>
                </c:pt>
                <c:pt idx="5">
                  <c:v>5.6374999999999993</c:v>
                </c:pt>
                <c:pt idx="6">
                  <c:v>5.65625</c:v>
                </c:pt>
                <c:pt idx="7">
                  <c:v>5.6749999999999998</c:v>
                </c:pt>
                <c:pt idx="8">
                  <c:v>5.6937499999999996</c:v>
                </c:pt>
                <c:pt idx="9">
                  <c:v>5.7125000000000004</c:v>
                </c:pt>
                <c:pt idx="10">
                  <c:v>5.7312500000000002</c:v>
                </c:pt>
                <c:pt idx="11">
                  <c:v>5.75</c:v>
                </c:pt>
                <c:pt idx="12">
                  <c:v>5.8722222222222218</c:v>
                </c:pt>
                <c:pt idx="13">
                  <c:v>5.9944444444444445</c:v>
                </c:pt>
                <c:pt idx="14">
                  <c:v>6.1166666666666663</c:v>
                </c:pt>
                <c:pt idx="15">
                  <c:v>6.2388888888888889</c:v>
                </c:pt>
                <c:pt idx="16">
                  <c:v>6.3611111111111107</c:v>
                </c:pt>
                <c:pt idx="17">
                  <c:v>6.4833333333333325</c:v>
                </c:pt>
                <c:pt idx="18">
                  <c:v>6.6055555555555552</c:v>
                </c:pt>
                <c:pt idx="19">
                  <c:v>6.7277777777777779</c:v>
                </c:pt>
                <c:pt idx="20">
                  <c:v>6.85</c:v>
                </c:pt>
                <c:pt idx="21">
                  <c:v>6.88</c:v>
                </c:pt>
                <c:pt idx="22">
                  <c:v>6.91</c:v>
                </c:pt>
                <c:pt idx="23">
                  <c:v>6.9399999999999995</c:v>
                </c:pt>
                <c:pt idx="24">
                  <c:v>6.97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75-48AC-958D-53108080DF21}"/>
            </c:ext>
          </c:extLst>
        </c:ser>
        <c:ser>
          <c:idx val="2"/>
          <c:order val="2"/>
          <c:tx>
            <c:strRef>
              <c:f>WYKRES!$A$8</c:f>
              <c:strCache>
                <c:ptCount val="1"/>
                <c:pt idx="0">
                  <c:v>moc z grzałkami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49"/>
              <c:pt idx="0">
                <c:v>-20</c:v>
              </c:pt>
              <c:pt idx="1">
                <c:v>-17</c:v>
              </c:pt>
              <c:pt idx="2">
                <c:v>-16</c:v>
              </c:pt>
              <c:pt idx="3">
                <c:v>-15</c:v>
              </c:pt>
              <c:pt idx="4">
                <c:v>-14</c:v>
              </c:pt>
              <c:pt idx="5">
                <c:v>-13</c:v>
              </c:pt>
              <c:pt idx="6">
                <c:v>-12</c:v>
              </c:pt>
              <c:pt idx="7">
                <c:v>-11</c:v>
              </c:pt>
              <c:pt idx="8">
                <c:v>-10</c:v>
              </c:pt>
              <c:pt idx="9">
                <c:v>-9</c:v>
              </c:pt>
              <c:pt idx="10">
                <c:v>-8</c:v>
              </c:pt>
              <c:pt idx="11">
                <c:v>-7</c:v>
              </c:pt>
              <c:pt idx="12">
                <c:v>-6</c:v>
              </c:pt>
              <c:pt idx="13">
                <c:v>-5</c:v>
              </c:pt>
              <c:pt idx="14">
                <c:v>-4</c:v>
              </c:pt>
              <c:pt idx="15">
                <c:v>-3</c:v>
              </c:pt>
              <c:pt idx="16">
                <c:v>-2</c:v>
              </c:pt>
              <c:pt idx="17">
                <c:v>-1</c:v>
              </c:pt>
              <c:pt idx="18">
                <c:v>0</c:v>
              </c:pt>
              <c:pt idx="19">
                <c:v>1</c:v>
              </c:pt>
              <c:pt idx="20">
                <c:v>2</c:v>
              </c:pt>
              <c:pt idx="21">
                <c:v>3</c:v>
              </c:pt>
              <c:pt idx="22">
                <c:v>4</c:v>
              </c:pt>
              <c:pt idx="23">
                <c:v>5</c:v>
              </c:pt>
              <c:pt idx="24">
                <c:v>6</c:v>
              </c:pt>
              <c:pt idx="25">
                <c:v>7</c:v>
              </c:pt>
              <c:pt idx="26">
                <c:v>8</c:v>
              </c:pt>
              <c:pt idx="27">
                <c:v>9</c:v>
              </c:pt>
              <c:pt idx="28">
                <c:v>10</c:v>
              </c:pt>
              <c:pt idx="29">
                <c:v>11</c:v>
              </c:pt>
              <c:pt idx="30">
                <c:v>12</c:v>
              </c:pt>
              <c:pt idx="31">
                <c:v>13</c:v>
              </c:pt>
              <c:pt idx="32">
                <c:v>14</c:v>
              </c:pt>
              <c:pt idx="33">
                <c:v>15</c:v>
              </c:pt>
              <c:pt idx="34">
                <c:v>16</c:v>
              </c:pt>
              <c:pt idx="35">
                <c:v>17</c:v>
              </c:pt>
              <c:pt idx="36">
                <c:v>18</c:v>
              </c:pt>
              <c:pt idx="37">
                <c:v>19</c:v>
              </c:pt>
              <c:pt idx="38">
                <c:v>20</c:v>
              </c:pt>
              <c:pt idx="39">
                <c:v>21</c:v>
              </c:pt>
              <c:pt idx="40">
                <c:v>22</c:v>
              </c:pt>
              <c:pt idx="41">
                <c:v>23</c:v>
              </c:pt>
              <c:pt idx="42">
                <c:v>24</c:v>
              </c:pt>
              <c:pt idx="43">
                <c:v>25</c:v>
              </c:pt>
              <c:pt idx="44">
                <c:v>26</c:v>
              </c:pt>
              <c:pt idx="45">
                <c:v>27</c:v>
              </c:pt>
              <c:pt idx="46">
                <c:v>28</c:v>
              </c:pt>
              <c:pt idx="47">
                <c:v>29</c:v>
              </c:pt>
              <c:pt idx="48">
                <c:v>30</c:v>
              </c:pt>
            </c:numLit>
          </c:cat>
          <c:val>
            <c:numRef>
              <c:f>WYKRES!$C$8:$AY$8</c:f>
              <c:numCache>
                <c:formatCode>0.00</c:formatCode>
                <c:ptCount val="49"/>
                <c:pt idx="0">
                  <c:v>8.5062499999999996</c:v>
                </c:pt>
                <c:pt idx="1">
                  <c:v>8.5625</c:v>
                </c:pt>
                <c:pt idx="2">
                  <c:v>8.5812500000000007</c:v>
                </c:pt>
                <c:pt idx="3">
                  <c:v>8.6</c:v>
                </c:pt>
                <c:pt idx="4">
                  <c:v>8.6187499999999986</c:v>
                </c:pt>
                <c:pt idx="5">
                  <c:v>8.6374999999999993</c:v>
                </c:pt>
                <c:pt idx="6">
                  <c:v>8.65625</c:v>
                </c:pt>
                <c:pt idx="7">
                  <c:v>8.6750000000000007</c:v>
                </c:pt>
                <c:pt idx="8">
                  <c:v>8.6937499999999996</c:v>
                </c:pt>
                <c:pt idx="9">
                  <c:v>8.7125000000000004</c:v>
                </c:pt>
                <c:pt idx="10">
                  <c:v>8.7312499999999993</c:v>
                </c:pt>
                <c:pt idx="11">
                  <c:v>8.75</c:v>
                </c:pt>
                <c:pt idx="12">
                  <c:v>8.8722222222222218</c:v>
                </c:pt>
                <c:pt idx="13">
                  <c:v>8.9944444444444436</c:v>
                </c:pt>
                <c:pt idx="14">
                  <c:v>9.1166666666666671</c:v>
                </c:pt>
                <c:pt idx="15">
                  <c:v>9.2388888888888889</c:v>
                </c:pt>
                <c:pt idx="16">
                  <c:v>9.3611111111111107</c:v>
                </c:pt>
                <c:pt idx="17">
                  <c:v>9.4833333333333325</c:v>
                </c:pt>
                <c:pt idx="18">
                  <c:v>9.6055555555555543</c:v>
                </c:pt>
                <c:pt idx="19">
                  <c:v>9.7277777777777779</c:v>
                </c:pt>
                <c:pt idx="20">
                  <c:v>9.85</c:v>
                </c:pt>
                <c:pt idx="21">
                  <c:v>9.879999999999999</c:v>
                </c:pt>
                <c:pt idx="22">
                  <c:v>9.91</c:v>
                </c:pt>
                <c:pt idx="23">
                  <c:v>9.94</c:v>
                </c:pt>
                <c:pt idx="24">
                  <c:v>9.9699999999999989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75-48AC-958D-53108080D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261936"/>
        <c:axId val="470262480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v>zużycie PC</c:v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Lit>
                    <c:formatCode>General</c:formatCode>
                    <c:ptCount val="49"/>
                    <c:pt idx="0">
                      <c:v>-20</c:v>
                    </c:pt>
                    <c:pt idx="1">
                      <c:v>-17</c:v>
                    </c:pt>
                    <c:pt idx="2">
                      <c:v>-16</c:v>
                    </c:pt>
                    <c:pt idx="3">
                      <c:v>-15</c:v>
                    </c:pt>
                    <c:pt idx="4">
                      <c:v>-14</c:v>
                    </c:pt>
                    <c:pt idx="5">
                      <c:v>-13</c:v>
                    </c:pt>
                    <c:pt idx="6">
                      <c:v>-12</c:v>
                    </c:pt>
                    <c:pt idx="7">
                      <c:v>-11</c:v>
                    </c:pt>
                    <c:pt idx="8">
                      <c:v>-10</c:v>
                    </c:pt>
                    <c:pt idx="9">
                      <c:v>-9</c:v>
                    </c:pt>
                    <c:pt idx="10">
                      <c:v>-8</c:v>
                    </c:pt>
                    <c:pt idx="11">
                      <c:v>-7</c:v>
                    </c:pt>
                    <c:pt idx="12">
                      <c:v>-6</c:v>
                    </c:pt>
                    <c:pt idx="13">
                      <c:v>-5</c:v>
                    </c:pt>
                    <c:pt idx="14">
                      <c:v>-4</c:v>
                    </c:pt>
                    <c:pt idx="15">
                      <c:v>-3</c:v>
                    </c:pt>
                    <c:pt idx="16">
                      <c:v>-2</c:v>
                    </c:pt>
                    <c:pt idx="17">
                      <c:v>-1</c:v>
                    </c:pt>
                    <c:pt idx="18">
                      <c:v>0</c:v>
                    </c:pt>
                    <c:pt idx="19">
                      <c:v>1</c:v>
                    </c:pt>
                    <c:pt idx="20">
                      <c:v>2</c:v>
                    </c:pt>
                    <c:pt idx="21">
                      <c:v>3</c:v>
                    </c:pt>
                    <c:pt idx="22">
                      <c:v>4</c:v>
                    </c:pt>
                    <c:pt idx="23">
                      <c:v>5</c:v>
                    </c:pt>
                    <c:pt idx="24">
                      <c:v>6</c:v>
                    </c:pt>
                    <c:pt idx="25">
                      <c:v>7</c:v>
                    </c:pt>
                    <c:pt idx="26">
                      <c:v>8</c:v>
                    </c:pt>
                    <c:pt idx="27">
                      <c:v>9</c:v>
                    </c:pt>
                    <c:pt idx="28">
                      <c:v>10</c:v>
                    </c:pt>
                    <c:pt idx="29">
                      <c:v>11</c:v>
                    </c:pt>
                    <c:pt idx="30">
                      <c:v>12</c:v>
                    </c:pt>
                    <c:pt idx="31">
                      <c:v>13</c:v>
                    </c:pt>
                    <c:pt idx="32">
                      <c:v>14</c:v>
                    </c:pt>
                    <c:pt idx="33">
                      <c:v>15</c:v>
                    </c:pt>
                    <c:pt idx="34">
                      <c:v>16</c:v>
                    </c:pt>
                    <c:pt idx="35">
                      <c:v>17</c:v>
                    </c:pt>
                    <c:pt idx="36">
                      <c:v>18</c:v>
                    </c:pt>
                    <c:pt idx="37">
                      <c:v>19</c:v>
                    </c:pt>
                    <c:pt idx="38">
                      <c:v>20</c:v>
                    </c:pt>
                    <c:pt idx="39">
                      <c:v>21</c:v>
                    </c:pt>
                    <c:pt idx="40">
                      <c:v>22</c:v>
                    </c:pt>
                    <c:pt idx="41">
                      <c:v>23</c:v>
                    </c:pt>
                    <c:pt idx="42">
                      <c:v>24</c:v>
                    </c:pt>
                    <c:pt idx="43">
                      <c:v>25</c:v>
                    </c:pt>
                    <c:pt idx="44">
                      <c:v>26</c:v>
                    </c:pt>
                    <c:pt idx="45">
                      <c:v>27</c:v>
                    </c:pt>
                    <c:pt idx="46">
                      <c:v>28</c:v>
                    </c:pt>
                    <c:pt idx="47">
                      <c:v>29</c:v>
                    </c:pt>
                    <c:pt idx="48">
                      <c:v>30</c:v>
                    </c:pt>
                  </c:numLit>
                </c:cat>
                <c:val>
                  <c:numLit>
                    <c:formatCode>0.00</c:formatCode>
                    <c:ptCount val="49"/>
                    <c:pt idx="0">
                      <c:v>2.4500000000000002</c:v>
                    </c:pt>
                    <c:pt idx="1">
                      <c:v>2.3240000000000003</c:v>
                    </c:pt>
                    <c:pt idx="2">
                      <c:v>2.282</c:v>
                    </c:pt>
                    <c:pt idx="3">
                      <c:v>2.2400000000000002</c:v>
                    </c:pt>
                    <c:pt idx="4">
                      <c:v>2.19875</c:v>
                    </c:pt>
                    <c:pt idx="5">
                      <c:v>2.1575000000000002</c:v>
                    </c:pt>
                    <c:pt idx="6">
                      <c:v>2.11625</c:v>
                    </c:pt>
                    <c:pt idx="7">
                      <c:v>2.0750000000000002</c:v>
                    </c:pt>
                    <c:pt idx="8">
                      <c:v>2.0337499999999999</c:v>
                    </c:pt>
                    <c:pt idx="9">
                      <c:v>1.9924999999999999</c:v>
                    </c:pt>
                    <c:pt idx="10">
                      <c:v>1.9512499999999999</c:v>
                    </c:pt>
                    <c:pt idx="11">
                      <c:v>1.91</c:v>
                    </c:pt>
                    <c:pt idx="12">
                      <c:v>1.8639999999999999</c:v>
                    </c:pt>
                    <c:pt idx="13">
                      <c:v>1.8179999999999998</c:v>
                    </c:pt>
                    <c:pt idx="14">
                      <c:v>1.772</c:v>
                    </c:pt>
                    <c:pt idx="15">
                      <c:v>1.726</c:v>
                    </c:pt>
                    <c:pt idx="16">
                      <c:v>1.68</c:v>
                    </c:pt>
                    <c:pt idx="17">
                      <c:v>1.6324999999999998</c:v>
                    </c:pt>
                    <c:pt idx="18">
                      <c:v>1.585</c:v>
                    </c:pt>
                    <c:pt idx="19">
                      <c:v>1.5375000000000001</c:v>
                    </c:pt>
                    <c:pt idx="20">
                      <c:v>1.49</c:v>
                    </c:pt>
                    <c:pt idx="21">
                      <c:v>1.452</c:v>
                    </c:pt>
                    <c:pt idx="22">
                      <c:v>1.4139999999999999</c:v>
                    </c:pt>
                    <c:pt idx="23">
                      <c:v>1.3760000000000001</c:v>
                    </c:pt>
                    <c:pt idx="24">
                      <c:v>1.3380000000000001</c:v>
                    </c:pt>
                    <c:pt idx="25">
                      <c:v>1.3</c:v>
                    </c:pt>
                    <c:pt idx="26">
                      <c:v>1.242</c:v>
                    </c:pt>
                    <c:pt idx="27">
                      <c:v>1.1839999999999999</c:v>
                    </c:pt>
                    <c:pt idx="28">
                      <c:v>1.1260000000000001</c:v>
                    </c:pt>
                    <c:pt idx="29">
                      <c:v>1.0680000000000001</c:v>
                    </c:pt>
                    <c:pt idx="30">
                      <c:v>1.01</c:v>
                    </c:pt>
                    <c:pt idx="31">
                      <c:v>0.96</c:v>
                    </c:pt>
                    <c:pt idx="32">
                      <c:v>0.91</c:v>
                    </c:pt>
                    <c:pt idx="33">
                      <c:v>0.86</c:v>
                    </c:pt>
                    <c:pt idx="34">
                      <c:v>0.81399999999999995</c:v>
                    </c:pt>
                    <c:pt idx="35">
                      <c:v>0.76800000000000002</c:v>
                    </c:pt>
                    <c:pt idx="36">
                      <c:v>0.72199999999999998</c:v>
                    </c:pt>
                    <c:pt idx="37">
                      <c:v>0.67599999999999993</c:v>
                    </c:pt>
                    <c:pt idx="38">
                      <c:v>0.63</c:v>
                    </c:pt>
                    <c:pt idx="39">
                      <c:v>0.63</c:v>
                    </c:pt>
                    <c:pt idx="40">
                      <c:v>0.63</c:v>
                    </c:pt>
                    <c:pt idx="41">
                      <c:v>0.63</c:v>
                    </c:pt>
                    <c:pt idx="42">
                      <c:v>0.63</c:v>
                    </c:pt>
                    <c:pt idx="43">
                      <c:v>0.63</c:v>
                    </c:pt>
                    <c:pt idx="44">
                      <c:v>0.63</c:v>
                    </c:pt>
                    <c:pt idx="45">
                      <c:v>0.63</c:v>
                    </c:pt>
                    <c:pt idx="46">
                      <c:v>0.63</c:v>
                    </c:pt>
                    <c:pt idx="47">
                      <c:v>0.63</c:v>
                    </c:pt>
                    <c:pt idx="48">
                      <c:v>0.63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9-F575-48AC-958D-53108080DF21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6"/>
          <c:order val="6"/>
          <c:tx>
            <c:strRef>
              <c:f>WYKRES!$B$3</c:f>
              <c:strCache>
                <c:ptCount val="1"/>
                <c:pt idx="0">
                  <c:v>High Performance 7kW Split 1f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WYKRES!$C$3:$AY$3</c:f>
              <c:numCache>
                <c:formatCode>0.00</c:formatCode>
                <c:ptCount val="49"/>
                <c:pt idx="0">
                  <c:v>5.5062499999999996</c:v>
                </c:pt>
                <c:pt idx="1">
                  <c:v>5.5625</c:v>
                </c:pt>
                <c:pt idx="2">
                  <c:v>5.5812499999999998</c:v>
                </c:pt>
                <c:pt idx="3">
                  <c:v>5.6</c:v>
                </c:pt>
                <c:pt idx="4">
                  <c:v>5.6187499999999995</c:v>
                </c:pt>
                <c:pt idx="5">
                  <c:v>5.6374999999999993</c:v>
                </c:pt>
                <c:pt idx="6">
                  <c:v>5.65625</c:v>
                </c:pt>
                <c:pt idx="7">
                  <c:v>5.6749999999999998</c:v>
                </c:pt>
                <c:pt idx="8">
                  <c:v>5.6937499999999996</c:v>
                </c:pt>
                <c:pt idx="9">
                  <c:v>5.7125000000000004</c:v>
                </c:pt>
                <c:pt idx="10">
                  <c:v>5.7312500000000002</c:v>
                </c:pt>
                <c:pt idx="11">
                  <c:v>5.75</c:v>
                </c:pt>
                <c:pt idx="12">
                  <c:v>5.8722222222222218</c:v>
                </c:pt>
                <c:pt idx="13">
                  <c:v>5.9944444444444445</c:v>
                </c:pt>
                <c:pt idx="14">
                  <c:v>6.1166666666666663</c:v>
                </c:pt>
                <c:pt idx="15">
                  <c:v>6.2388888888888889</c:v>
                </c:pt>
                <c:pt idx="16">
                  <c:v>6.3611111111111107</c:v>
                </c:pt>
                <c:pt idx="17">
                  <c:v>6.4833333333333325</c:v>
                </c:pt>
                <c:pt idx="18">
                  <c:v>6.6055555555555552</c:v>
                </c:pt>
                <c:pt idx="19">
                  <c:v>6.7277777777777779</c:v>
                </c:pt>
                <c:pt idx="20">
                  <c:v>6.85</c:v>
                </c:pt>
                <c:pt idx="21">
                  <c:v>6.88</c:v>
                </c:pt>
                <c:pt idx="22">
                  <c:v>6.91</c:v>
                </c:pt>
                <c:pt idx="23">
                  <c:v>6.9399999999999995</c:v>
                </c:pt>
                <c:pt idx="24">
                  <c:v>6.97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75-48AC-958D-53108080D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263568"/>
        <c:axId val="4702711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WYKRES!$B$2</c15:sqref>
                        </c15:formulaRef>
                      </c:ext>
                    </c:extLst>
                    <c:strCache>
                      <c:ptCount val="1"/>
                      <c:pt idx="0">
                        <c:v>Katowice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Lit>
                    <c:formatCode>General</c:formatCode>
                    <c:ptCount val="49"/>
                    <c:pt idx="0">
                      <c:v>-20</c:v>
                    </c:pt>
                    <c:pt idx="1">
                      <c:v>-17</c:v>
                    </c:pt>
                    <c:pt idx="2">
                      <c:v>-16</c:v>
                    </c:pt>
                    <c:pt idx="3">
                      <c:v>-15</c:v>
                    </c:pt>
                    <c:pt idx="4">
                      <c:v>-14</c:v>
                    </c:pt>
                    <c:pt idx="5">
                      <c:v>-13</c:v>
                    </c:pt>
                    <c:pt idx="6">
                      <c:v>-12</c:v>
                    </c:pt>
                    <c:pt idx="7">
                      <c:v>-11</c:v>
                    </c:pt>
                    <c:pt idx="8">
                      <c:v>-10</c:v>
                    </c:pt>
                    <c:pt idx="9">
                      <c:v>-9</c:v>
                    </c:pt>
                    <c:pt idx="10">
                      <c:v>-8</c:v>
                    </c:pt>
                    <c:pt idx="11">
                      <c:v>-7</c:v>
                    </c:pt>
                    <c:pt idx="12">
                      <c:v>-6</c:v>
                    </c:pt>
                    <c:pt idx="13">
                      <c:v>-5</c:v>
                    </c:pt>
                    <c:pt idx="14">
                      <c:v>-4</c:v>
                    </c:pt>
                    <c:pt idx="15">
                      <c:v>-3</c:v>
                    </c:pt>
                    <c:pt idx="16">
                      <c:v>-2</c:v>
                    </c:pt>
                    <c:pt idx="17">
                      <c:v>-1</c:v>
                    </c:pt>
                    <c:pt idx="18">
                      <c:v>0</c:v>
                    </c:pt>
                    <c:pt idx="19">
                      <c:v>1</c:v>
                    </c:pt>
                    <c:pt idx="20">
                      <c:v>2</c:v>
                    </c:pt>
                    <c:pt idx="21">
                      <c:v>3</c:v>
                    </c:pt>
                    <c:pt idx="22">
                      <c:v>4</c:v>
                    </c:pt>
                    <c:pt idx="23">
                      <c:v>5</c:v>
                    </c:pt>
                    <c:pt idx="24">
                      <c:v>6</c:v>
                    </c:pt>
                    <c:pt idx="25">
                      <c:v>7</c:v>
                    </c:pt>
                    <c:pt idx="26">
                      <c:v>8</c:v>
                    </c:pt>
                    <c:pt idx="27">
                      <c:v>9</c:v>
                    </c:pt>
                    <c:pt idx="28">
                      <c:v>10</c:v>
                    </c:pt>
                    <c:pt idx="29">
                      <c:v>11</c:v>
                    </c:pt>
                    <c:pt idx="30">
                      <c:v>12</c:v>
                    </c:pt>
                    <c:pt idx="31">
                      <c:v>13</c:v>
                    </c:pt>
                    <c:pt idx="32">
                      <c:v>14</c:v>
                    </c:pt>
                    <c:pt idx="33">
                      <c:v>15</c:v>
                    </c:pt>
                    <c:pt idx="34">
                      <c:v>16</c:v>
                    </c:pt>
                    <c:pt idx="35">
                      <c:v>17</c:v>
                    </c:pt>
                    <c:pt idx="36">
                      <c:v>18</c:v>
                    </c:pt>
                    <c:pt idx="37">
                      <c:v>19</c:v>
                    </c:pt>
                    <c:pt idx="38">
                      <c:v>20</c:v>
                    </c:pt>
                    <c:pt idx="39">
                      <c:v>21</c:v>
                    </c:pt>
                    <c:pt idx="40">
                      <c:v>22</c:v>
                    </c:pt>
                    <c:pt idx="41">
                      <c:v>23</c:v>
                    </c:pt>
                    <c:pt idx="42">
                      <c:v>24</c:v>
                    </c:pt>
                    <c:pt idx="43">
                      <c:v>25</c:v>
                    </c:pt>
                    <c:pt idx="44">
                      <c:v>26</c:v>
                    </c:pt>
                    <c:pt idx="45">
                      <c:v>27</c:v>
                    </c:pt>
                    <c:pt idx="46">
                      <c:v>28</c:v>
                    </c:pt>
                    <c:pt idx="47">
                      <c:v>29</c:v>
                    </c:pt>
                    <c:pt idx="48">
                      <c:v>30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WYKRES!$C$2:$AY$2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10</c:v>
                      </c:pt>
                      <c:pt idx="8">
                        <c:v>37</c:v>
                      </c:pt>
                      <c:pt idx="9">
                        <c:v>51</c:v>
                      </c:pt>
                      <c:pt idx="10">
                        <c:v>51</c:v>
                      </c:pt>
                      <c:pt idx="11">
                        <c:v>59</c:v>
                      </c:pt>
                      <c:pt idx="12">
                        <c:v>61</c:v>
                      </c:pt>
                      <c:pt idx="13">
                        <c:v>111</c:v>
                      </c:pt>
                      <c:pt idx="14">
                        <c:v>144</c:v>
                      </c:pt>
                      <c:pt idx="15">
                        <c:v>223</c:v>
                      </c:pt>
                      <c:pt idx="16">
                        <c:v>210</c:v>
                      </c:pt>
                      <c:pt idx="17">
                        <c:v>162</c:v>
                      </c:pt>
                      <c:pt idx="18">
                        <c:v>254</c:v>
                      </c:pt>
                      <c:pt idx="19">
                        <c:v>159</c:v>
                      </c:pt>
                      <c:pt idx="20">
                        <c:v>250</c:v>
                      </c:pt>
                      <c:pt idx="21">
                        <c:v>242</c:v>
                      </c:pt>
                      <c:pt idx="22">
                        <c:v>191</c:v>
                      </c:pt>
                      <c:pt idx="23">
                        <c:v>183</c:v>
                      </c:pt>
                      <c:pt idx="24">
                        <c:v>161</c:v>
                      </c:pt>
                      <c:pt idx="25">
                        <c:v>176</c:v>
                      </c:pt>
                      <c:pt idx="26">
                        <c:v>166</c:v>
                      </c:pt>
                      <c:pt idx="27">
                        <c:v>176</c:v>
                      </c:pt>
                      <c:pt idx="28">
                        <c:v>164</c:v>
                      </c:pt>
                      <c:pt idx="29">
                        <c:v>193</c:v>
                      </c:pt>
                      <c:pt idx="30">
                        <c:v>187</c:v>
                      </c:pt>
                      <c:pt idx="31">
                        <c:v>200</c:v>
                      </c:pt>
                      <c:pt idx="32">
                        <c:v>217</c:v>
                      </c:pt>
                      <c:pt idx="33">
                        <c:v>250</c:v>
                      </c:pt>
                      <c:pt idx="34">
                        <c:v>248</c:v>
                      </c:pt>
                      <c:pt idx="35">
                        <c:v>246</c:v>
                      </c:pt>
                      <c:pt idx="36">
                        <c:v>190</c:v>
                      </c:pt>
                      <c:pt idx="37">
                        <c:v>184</c:v>
                      </c:pt>
                      <c:pt idx="38">
                        <c:v>165</c:v>
                      </c:pt>
                      <c:pt idx="39">
                        <c:v>123</c:v>
                      </c:pt>
                      <c:pt idx="40">
                        <c:v>109</c:v>
                      </c:pt>
                      <c:pt idx="41">
                        <c:v>81</c:v>
                      </c:pt>
                      <c:pt idx="42">
                        <c:v>71</c:v>
                      </c:pt>
                      <c:pt idx="43">
                        <c:v>40</c:v>
                      </c:pt>
                      <c:pt idx="44">
                        <c:v>18</c:v>
                      </c:pt>
                      <c:pt idx="45">
                        <c:v>10</c:v>
                      </c:pt>
                      <c:pt idx="46">
                        <c:v>20</c:v>
                      </c:pt>
                      <c:pt idx="47">
                        <c:v>0</c:v>
                      </c:pt>
                      <c:pt idx="4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575-48AC-958D-53108080DF2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-</c:v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0.00</c:formatCode>
                    <c:ptCount val="49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  <c:pt idx="3">
                      <c:v>0</c:v>
                    </c:pt>
                    <c:pt idx="4">
                      <c:v>0</c:v>
                    </c:pt>
                    <c:pt idx="5">
                      <c:v>0</c:v>
                    </c:pt>
                    <c:pt idx="6">
                      <c:v>0</c:v>
                    </c:pt>
                    <c:pt idx="7">
                      <c:v>0</c:v>
                    </c:pt>
                    <c:pt idx="8">
                      <c:v>0</c:v>
                    </c:pt>
                    <c:pt idx="9">
                      <c:v>0</c:v>
                    </c:pt>
                    <c:pt idx="10">
                      <c:v>0</c:v>
                    </c:pt>
                    <c:pt idx="11">
                      <c:v>0</c:v>
                    </c:pt>
                    <c:pt idx="12">
                      <c:v>0</c:v>
                    </c:pt>
                    <c:pt idx="13">
                      <c:v>0</c:v>
                    </c:pt>
                    <c:pt idx="14">
                      <c:v>0</c:v>
                    </c:pt>
                    <c:pt idx="15">
                      <c:v>0</c:v>
                    </c:pt>
                    <c:pt idx="16">
                      <c:v>0</c:v>
                    </c:pt>
                    <c:pt idx="17">
                      <c:v>0</c:v>
                    </c:pt>
                    <c:pt idx="18">
                      <c:v>0</c:v>
                    </c:pt>
                    <c:pt idx="19">
                      <c:v>0</c:v>
                    </c:pt>
                    <c:pt idx="20">
                      <c:v>0</c:v>
                    </c:pt>
                    <c:pt idx="21">
                      <c:v>0</c:v>
                    </c:pt>
                    <c:pt idx="22">
                      <c:v>0</c:v>
                    </c:pt>
                    <c:pt idx="23">
                      <c:v>0</c:v>
                    </c:pt>
                    <c:pt idx="24">
                      <c:v>0</c:v>
                    </c:pt>
                    <c:pt idx="25">
                      <c:v>0</c:v>
                    </c:pt>
                    <c:pt idx="26">
                      <c:v>0</c:v>
                    </c:pt>
                    <c:pt idx="27">
                      <c:v>0</c:v>
                    </c:pt>
                    <c:pt idx="28">
                      <c:v>0</c:v>
                    </c:pt>
                    <c:pt idx="29">
                      <c:v>0</c:v>
                    </c:pt>
                    <c:pt idx="30">
                      <c:v>0</c:v>
                    </c:pt>
                    <c:pt idx="31">
                      <c:v>0</c:v>
                    </c:pt>
                    <c:pt idx="32">
                      <c:v>0</c:v>
                    </c:pt>
                    <c:pt idx="33">
                      <c:v>0</c:v>
                    </c:pt>
                    <c:pt idx="34">
                      <c:v>0</c:v>
                    </c:pt>
                    <c:pt idx="35">
                      <c:v>0</c:v>
                    </c:pt>
                    <c:pt idx="36">
                      <c:v>0</c:v>
                    </c:pt>
                    <c:pt idx="37">
                      <c:v>0</c:v>
                    </c:pt>
                    <c:pt idx="38">
                      <c:v>0</c:v>
                    </c:pt>
                    <c:pt idx="39">
                      <c:v>0</c:v>
                    </c:pt>
                    <c:pt idx="40">
                      <c:v>0</c:v>
                    </c:pt>
                    <c:pt idx="41">
                      <c:v>0</c:v>
                    </c:pt>
                    <c:pt idx="42">
                      <c:v>0</c:v>
                    </c:pt>
                    <c:pt idx="43">
                      <c:v>0</c:v>
                    </c:pt>
                    <c:pt idx="44">
                      <c:v>0</c:v>
                    </c:pt>
                    <c:pt idx="45">
                      <c:v>0</c:v>
                    </c:pt>
                    <c:pt idx="46">
                      <c:v>0</c:v>
                    </c:pt>
                    <c:pt idx="47">
                      <c:v>0</c:v>
                    </c:pt>
                    <c:pt idx="48">
                      <c:v>0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575-48AC-958D-53108080DF21}"/>
                  </c:ext>
                </c:extLst>
              </c15:ser>
            </c15:filteredLineSeries>
          </c:ext>
        </c:extLst>
      </c:lineChart>
      <c:catAx>
        <c:axId val="47026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0262480"/>
        <c:crosses val="autoZero"/>
        <c:auto val="1"/>
        <c:lblAlgn val="ctr"/>
        <c:lblOffset val="100"/>
        <c:noMultiLvlLbl val="0"/>
      </c:catAx>
      <c:valAx>
        <c:axId val="4702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0261936"/>
        <c:crosses val="autoZero"/>
        <c:crossBetween val="between"/>
      </c:valAx>
      <c:valAx>
        <c:axId val="470271184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470263568"/>
        <c:crosses val="max"/>
        <c:crossBetween val="between"/>
      </c:valAx>
      <c:catAx>
        <c:axId val="47026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271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85725</xdr:colOff>
      <xdr:row>31</xdr:row>
      <xdr:rowOff>123825</xdr:rowOff>
    </xdr:from>
    <xdr:to>
      <xdr:col>65</xdr:col>
      <xdr:colOff>88222</xdr:colOff>
      <xdr:row>38</xdr:row>
      <xdr:rowOff>161925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BA96A65-C074-416B-80FA-1F1812245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47150" y="6457950"/>
          <a:ext cx="612097" cy="1371600"/>
        </a:xfrm>
        <a:prstGeom prst="rect">
          <a:avLst/>
        </a:prstGeom>
      </xdr:spPr>
    </xdr:pic>
    <xdr:clientData/>
  </xdr:twoCellAnchor>
  <xdr:twoCellAnchor editAs="oneCell">
    <xdr:from>
      <xdr:col>64</xdr:col>
      <xdr:colOff>209549</xdr:colOff>
      <xdr:row>48</xdr:row>
      <xdr:rowOff>95250</xdr:rowOff>
    </xdr:from>
    <xdr:to>
      <xdr:col>65</xdr:col>
      <xdr:colOff>205691</xdr:colOff>
      <xdr:row>54</xdr:row>
      <xdr:rowOff>66676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E14BF5C-E2D5-4576-BCE7-17DE110288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9641" b="74724"/>
        <a:stretch/>
      </xdr:blipFill>
      <xdr:spPr>
        <a:xfrm>
          <a:off x="34470974" y="9667875"/>
          <a:ext cx="605742" cy="1114426"/>
        </a:xfrm>
        <a:prstGeom prst="rect">
          <a:avLst/>
        </a:prstGeom>
      </xdr:spPr>
    </xdr:pic>
    <xdr:clientData/>
  </xdr:twoCellAnchor>
  <xdr:twoCellAnchor editAs="oneCell">
    <xdr:from>
      <xdr:col>36</xdr:col>
      <xdr:colOff>238125</xdr:colOff>
      <xdr:row>47</xdr:row>
      <xdr:rowOff>152400</xdr:rowOff>
    </xdr:from>
    <xdr:to>
      <xdr:col>37</xdr:col>
      <xdr:colOff>243413</xdr:colOff>
      <xdr:row>50</xdr:row>
      <xdr:rowOff>171376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0956648-4D0E-4B09-9B33-65CA66755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17225" y="9534525"/>
          <a:ext cx="614888" cy="5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51</xdr:row>
      <xdr:rowOff>0</xdr:rowOff>
    </xdr:from>
    <xdr:to>
      <xdr:col>38</xdr:col>
      <xdr:colOff>3583</xdr:colOff>
      <xdr:row>53</xdr:row>
      <xdr:rowOff>47571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FFD1A245-8444-43F9-8BEA-02DCA5C6A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02950" y="10144125"/>
          <a:ext cx="613183" cy="4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55</xdr:row>
      <xdr:rowOff>0</xdr:rowOff>
    </xdr:from>
    <xdr:to>
      <xdr:col>37</xdr:col>
      <xdr:colOff>323067</xdr:colOff>
      <xdr:row>56</xdr:row>
      <xdr:rowOff>180929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C6579261-147A-45A4-938B-F700D86FD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602950" y="10906125"/>
          <a:ext cx="608817" cy="371429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58</xdr:row>
      <xdr:rowOff>0</xdr:rowOff>
    </xdr:from>
    <xdr:to>
      <xdr:col>37</xdr:col>
      <xdr:colOff>322990</xdr:colOff>
      <xdr:row>60</xdr:row>
      <xdr:rowOff>66619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79F23C8-74C0-491D-876E-C330F62A5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11477625"/>
          <a:ext cx="608740" cy="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75640</xdr:colOff>
      <xdr:row>8</xdr:row>
      <xdr:rowOff>40902</xdr:rowOff>
    </xdr:from>
    <xdr:to>
      <xdr:col>26</xdr:col>
      <xdr:colOff>162726</xdr:colOff>
      <xdr:row>33</xdr:row>
      <xdr:rowOff>10966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54FB5BD-BA15-46C3-A067-E8CD37F55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X:\Programy%20wycenowe\PC\back%20up\PC_poprawiony%20wz&#243;r%20oferty.xlsm" TargetMode="External"/><Relationship Id="rId1" Type="http://schemas.openxmlformats.org/officeDocument/2006/relationships/externalLinkPath" Target="file:///X:\Programy%20wycenowe\PC\back%20up\PC_poprawiony%20wz&#243;r%20ofert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DYNEK"/>
      <sheetName val="OFERTA"/>
      <sheetName val="BAZA PC"/>
      <sheetName val="WYKRES"/>
      <sheetName val="ELEMENTY DODATKOWE"/>
      <sheetName val="Schemat"/>
      <sheetName val="Wycena"/>
      <sheetName val="PC"/>
      <sheetName val="Baza danych"/>
      <sheetName val="SchematyPC"/>
      <sheetName val="ZbiornikCWU"/>
      <sheetName val="ZbiornikCO"/>
    </sheetNames>
    <sheetDataSet>
      <sheetData sheetId="0"/>
      <sheetData sheetId="1"/>
      <sheetData sheetId="2"/>
      <sheetData sheetId="3"/>
      <sheetData sheetId="4"/>
      <sheetData sheetId="5">
        <row r="6">
          <cell r="X6" t="str">
            <v>-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76BB2-8A27-41F2-B946-EF6955132F43}" name="Tabela12" displayName="Tabela12" ref="BP45:BT51" totalsRowShown="0" headerRowDxfId="135" dataDxfId="134">
  <autoFilter ref="BP45:BT51" xr:uid="{44676BB2-8A27-41F2-B946-EF6955132F43}"/>
  <tableColumns count="5">
    <tableColumn id="1" xr3:uid="{261D32E1-A11F-40C5-B54E-B2622C02B7B0}" name="Kolumna1" dataDxfId="133"/>
    <tableColumn id="2" xr3:uid="{75EFFD29-BDD2-48BF-8C0E-2F1B9FFC640F}" name="Kolumna2" dataDxfId="132"/>
    <tableColumn id="3" xr3:uid="{8459E62F-71CA-4D85-9853-370DFCA952ED}" name="Kolumna3" dataDxfId="131"/>
    <tableColumn id="4" xr3:uid="{24A168B0-34F0-4E6E-9C9A-DBFD457A57D4}" name="Kolumna4" dataDxfId="130"/>
    <tableColumn id="5" xr3:uid="{066C2509-A543-46DC-97FD-8B0D08911925}" name="Kolumna5" dataDxfId="12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F243C-D384-4C99-995A-80DA07AB0229}" name="Tabela14" displayName="Tabela14" ref="BP63:BP65" totalsRowShown="0" headerRowDxfId="128" dataDxfId="127">
  <autoFilter ref="BP63:BP65" xr:uid="{66BF243C-D384-4C99-995A-80DA07AB0229}"/>
  <tableColumns count="1">
    <tableColumn id="1" xr3:uid="{58F04BED-FA85-4ABC-92FE-5D3C5B1DD530}" name="Kolumna1" dataDxfId="1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1C0E01-CB31-46F6-A184-94C2FAB4AE19}" name="Tabela16" displayName="Tabela16" ref="AE1:AF3" totalsRowShown="0" headerRowDxfId="125">
  <autoFilter ref="AE1:AF3" xr:uid="{BC1C0E01-CB31-46F6-A184-94C2FAB4AE19}"/>
  <tableColumns count="2">
    <tableColumn id="1" xr3:uid="{1CFA7C04-79A1-45D7-BFB5-9EF1359E73B3}" name="inwestor" dataDxfId="124"/>
    <tableColumn id="2" xr3:uid="{CB07C1D4-D070-4C1E-8544-1566D568FFB6}" name="vat" dataDxfId="12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FEF24-DBA0-4816-B475-D66753FF57FA}" name="Tabela24" displayName="Tabela24" ref="AG8:AI122" totalsRowShown="0" headerRowDxfId="122" dataDxfId="121" tableBorderDxfId="120">
  <autoFilter ref="AG8:AI122" xr:uid="{C45FEF24-DBA0-4816-B475-D66753FF57FA}"/>
  <tableColumns count="3">
    <tableColumn id="1" xr3:uid="{BCC8AD51-C830-48DA-ABF1-F2283A465D67}" name="PRODUCENT" dataDxfId="119"/>
    <tableColumn id="2" xr3:uid="{6BD2A292-6D28-4E02-96AD-DAD684B1FC50}" name="TYP" dataDxfId="118"/>
    <tableColumn id="3" xr3:uid="{66B284EE-D2B7-4FC0-877D-4A8E8317A41B}" name="MODEL" dataDxfId="117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F3ECE1-E93C-4EF2-B638-9B536707352F}" name="BAZA_PC" displayName="BAZA_PC" ref="A2:AE99" totalsRowShown="0" headerRowDxfId="116" dataDxfId="115" headerRowBorderDxfId="113" tableBorderDxfId="114">
  <autoFilter ref="A2:AE99" xr:uid="{F2F3ECE1-E93C-4EF2-B638-9B536707352F}"/>
  <tableColumns count="31">
    <tableColumn id="1" xr3:uid="{018D0B24-925E-45CB-B999-0A5A23E32423}" name="PRODUCENT" dataDxfId="112"/>
    <tableColumn id="2" xr3:uid="{053F8EA3-A465-4F7A-A156-1C1FFF35F193}" name="TYP" dataDxfId="111"/>
    <tableColumn id="3" xr3:uid="{61574563-6929-47B8-89F0-ED6C3E5BB15F}" name="MODEL" dataDxfId="110"/>
    <tableColumn id="29" xr3:uid="{84748AEB-35EC-4163-B67E-39AB0907E11D}" name="Jednostka zew." dataDxfId="109"/>
    <tableColumn id="28" xr3:uid="{53E9BC99-56B2-4E74-98DE-049E2169E344}" name="Jednostka wew" dataDxfId="108"/>
    <tableColumn id="30" xr3:uid="{1BF8998A-869A-4033-93EE-A410E3DCC149}" name="CENA KATALOGOWA" dataDxfId="107"/>
    <tableColumn id="31" xr3:uid="{B6CD0F06-3825-4005-BE3F-92DE2889AC31}" name="RABAT" dataDxfId="106"/>
    <tableColumn id="4" xr3:uid="{B559DE72-8F2E-495D-812A-370BC5977BA1}" name="CENA ZAKUPU" dataDxfId="105"/>
    <tableColumn id="8" xr3:uid="{CAC609F1-46FF-4352-9B9B-459276CB4BD1}" name="MOC" dataDxfId="104"/>
    <tableColumn id="9" xr3:uid="{0C262152-B652-4377-8AE4-46C127C7B42D}" name="GRZAŁKA" dataDxfId="103"/>
    <tableColumn id="7" xr3:uid="{7A8767CD-4C25-4775-AB17-BEDFFA34D6A1}" name="SCOP" dataDxfId="102"/>
    <tableColumn id="5" xr3:uid="{B391CD10-D5F0-4F96-9AEB-8F1E6874CEE3}" name="ZASILANIE" dataDxfId="101"/>
    <tableColumn id="6" xr3:uid="{7EB381D0-B56A-4922-BE24-E8AF62F38932}" name="GWARANCJA" dataDxfId="100"/>
    <tableColumn id="10" xr3:uid="{AE1F881A-0D8B-4477-9680-E02AFC136B56}" name="-20" dataDxfId="99"/>
    <tableColumn id="11" xr3:uid="{D9E9FF0A-D13C-4023-8282-CC8C22CF9604}" name="-15" dataDxfId="98"/>
    <tableColumn id="12" xr3:uid="{5E79638C-1FAA-4A63-A460-7DC3966BD376}" name="-7" dataDxfId="97"/>
    <tableColumn id="13" xr3:uid="{1C2D3BC6-AAA6-45F5-8D12-1AD7A617D400}" name="-2" dataDxfId="96"/>
    <tableColumn id="14" xr3:uid="{3820FE40-18FD-43D3-9782-757E102F1066}" name="2" dataDxfId="95"/>
    <tableColumn id="15" xr3:uid="{6A64C667-72A3-4DF1-9D4C-79DF339A72EA}" name="7" dataDxfId="94"/>
    <tableColumn id="18" xr3:uid="{EB85680D-AF91-47A8-BD44-D7B40ED647DD}" name="12" dataDxfId="93"/>
    <tableColumn id="16" xr3:uid="{4E26DBFB-CE4C-4298-85D5-57FA10FA816C}" name="15" dataDxfId="92"/>
    <tableColumn id="17" xr3:uid="{3F862888-4473-413F-A62D-34680F172470}" name="20" dataDxfId="91"/>
    <tableColumn id="19" xr3:uid="{DE94A330-6AE8-474A-9459-8E06A2039B33}" name="E -20" dataDxfId="90"/>
    <tableColumn id="20" xr3:uid="{0522621F-9B58-4BCC-B7DC-3F8C0FD29773}" name="E-15" dataDxfId="89"/>
    <tableColumn id="21" xr3:uid="{F0A7E94B-90CA-45B3-B3DF-4E81D9CF20A8}" name="E-7" dataDxfId="88"/>
    <tableColumn id="22" xr3:uid="{BB1CF757-B99B-490E-AA1B-2E655E0252A2}" name="E-2" dataDxfId="87"/>
    <tableColumn id="23" xr3:uid="{306DC994-C7FC-452F-A50E-1330FFC13D02}" name="E2" dataDxfId="86"/>
    <tableColumn id="24" xr3:uid="{2E3D1CF9-A48E-4108-A865-A5EACFFEC911}" name="E7" dataDxfId="85"/>
    <tableColumn id="25" xr3:uid="{998AEFFC-AAEF-4A1A-9445-7AFB68179131}" name="E12" dataDxfId="84"/>
    <tableColumn id="26" xr3:uid="{95B11EA6-A0E5-443D-ADDA-B5A3CC27EE82}" name="E15" dataDxfId="83"/>
    <tableColumn id="27" xr3:uid="{FEF63700-C87E-4FF9-AA3F-A7F15556BC13}" name="E20" dataDxfId="82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655FBFC-EFF0-4B6F-8031-DB63753F2EAA}" name="Tabela13" displayName="Tabela13" ref="B21:AY34" totalsRowShown="0" headerRowDxfId="49">
  <autoFilter ref="B21:AY34" xr:uid="{D655FBFC-EFF0-4B6F-8031-DB63753F2EAA}"/>
  <tableColumns count="50">
    <tableColumn id="1" xr3:uid="{86437793-C923-4467-BC10-F9F298F3008C}" name="Katowice"/>
    <tableColumn id="2" xr3:uid="{8C67DFC6-4674-4434-A14B-5EA8EB71ED0F}" name="-20" dataDxfId="48"/>
    <tableColumn id="3" xr3:uid="{09B284EC-0873-4487-95B7-E148825AA374}" name="-17" dataDxfId="47"/>
    <tableColumn id="4" xr3:uid="{37DC3511-8387-476A-BF3E-6C946CAFB8F1}" name="-16" dataDxfId="46"/>
    <tableColumn id="5" xr3:uid="{BDF8C6F6-DF1C-4A9C-BA38-0DC88D2BA61B}" name="-15" dataDxfId="45"/>
    <tableColumn id="6" xr3:uid="{68E1D8ED-F91C-4048-9E92-B417F8074A36}" name="-14" dataDxfId="44"/>
    <tableColumn id="7" xr3:uid="{90050D9F-10C9-43B9-97C4-0E0C376DEA9F}" name="-13" dataDxfId="43"/>
    <tableColumn id="8" xr3:uid="{96BD0E10-A1D9-451C-B225-E3E0C68DF99D}" name="-12" dataDxfId="42"/>
    <tableColumn id="9" xr3:uid="{3FC0F8EE-04D0-491C-B6AF-44D9E964A7D3}" name="-11" dataDxfId="41"/>
    <tableColumn id="10" xr3:uid="{6C4B1F68-E37F-4BDC-BAEE-4A410A6724BA}" name="-10" dataDxfId="40"/>
    <tableColumn id="11" xr3:uid="{1120597B-1942-4B2F-916F-7EB591219F19}" name="-9" dataDxfId="39"/>
    <tableColumn id="12" xr3:uid="{1A403D4A-2037-41B1-84BA-E145A7EFE5E5}" name="-8" dataDxfId="38"/>
    <tableColumn id="13" xr3:uid="{72D35B0C-B5F1-4DC6-B8AD-3C385D5B3E53}" name="-7" dataDxfId="37"/>
    <tableColumn id="14" xr3:uid="{DB76C68B-10D1-40BE-9308-6D5C7DC046FB}" name="-6" dataDxfId="36"/>
    <tableColumn id="15" xr3:uid="{99134D1B-280A-494C-B153-3CC41E2410A8}" name="-5" dataDxfId="35"/>
    <tableColumn id="16" xr3:uid="{4494BD3A-0937-4441-A1EF-D05B3B9D4FEE}" name="-4" dataDxfId="34"/>
    <tableColumn id="17" xr3:uid="{1356FF97-A215-48F5-9044-E77ECCB385E9}" name="-3" dataDxfId="33"/>
    <tableColumn id="18" xr3:uid="{ACC6FBFC-3807-48E0-B684-595DBEBF049A}" name="-2" dataDxfId="32"/>
    <tableColumn id="19" xr3:uid="{910086E6-74E2-42A6-AE8E-BBCEA2C0F753}" name="-1" dataDxfId="31"/>
    <tableColumn id="20" xr3:uid="{5093D44D-ACED-4330-9DA9-DF2721AFEDBA}" name="0" dataDxfId="30"/>
    <tableColumn id="21" xr3:uid="{F28B124F-58C9-4D6C-AE4D-11FFB79150D1}" name="1" dataDxfId="29"/>
    <tableColumn id="22" xr3:uid="{75A67925-38E3-47D7-89BE-AFE2657AA184}" name="2" dataDxfId="28"/>
    <tableColumn id="23" xr3:uid="{72A8B488-C324-4748-A082-AD2C9115C0BA}" name="3" dataDxfId="27"/>
    <tableColumn id="24" xr3:uid="{D98E844B-EB95-4117-8AA2-4605A5A13E52}" name="4" dataDxfId="26"/>
    <tableColumn id="25" xr3:uid="{2029EEE3-DAAB-4018-996C-DAC50786BC69}" name="5" dataDxfId="25"/>
    <tableColumn id="26" xr3:uid="{1AD5E99E-28DF-4906-9431-847BC2685F24}" name="6" dataDxfId="24"/>
    <tableColumn id="27" xr3:uid="{8C774AAD-426C-4372-A4CD-DF48BBB3DF84}" name="7" dataDxfId="23"/>
    <tableColumn id="28" xr3:uid="{3E45A8A8-A3B3-4A2E-A667-33E385C4F49C}" name="8" dataDxfId="22"/>
    <tableColumn id="29" xr3:uid="{950A00C1-C995-4D19-9973-F4CFE5A33585}" name="9" dataDxfId="21"/>
    <tableColumn id="30" xr3:uid="{C9E82BCE-5F8D-480F-B9E2-1FEEB49E3730}" name="10" dataDxfId="20"/>
    <tableColumn id="31" xr3:uid="{C74E6BEF-CD05-4EA5-A540-CEFD87ECA8BC}" name="11" dataDxfId="19"/>
    <tableColumn id="32" xr3:uid="{493468DE-44D7-4724-94DA-7B6932FC719D}" name="12" dataDxfId="18"/>
    <tableColumn id="33" xr3:uid="{62420DD2-2A04-4AC3-ACD4-88F20DE33A83}" name="13" dataDxfId="17"/>
    <tableColumn id="34" xr3:uid="{4B1EB3D2-C455-463D-A16F-2EB996708B5C}" name="14" dataDxfId="16"/>
    <tableColumn id="35" xr3:uid="{49892887-673D-4E15-AB29-0ED3C63574B5}" name="15" dataDxfId="15"/>
    <tableColumn id="36" xr3:uid="{56866F9B-5EAE-482B-B388-549E953D5983}" name="16" dataDxfId="14"/>
    <tableColumn id="37" xr3:uid="{E0779199-3D33-44A0-9A0E-DA000803974F}" name="17" dataDxfId="13"/>
    <tableColumn id="38" xr3:uid="{DAD0B39C-7F33-4CD5-9B5F-2D8B12E3866A}" name="18" dataDxfId="12"/>
    <tableColumn id="39" xr3:uid="{3AF1F28E-CE05-404E-9686-C8D0CD2F3012}" name="19" dataDxfId="11"/>
    <tableColumn id="40" xr3:uid="{2D3AD9BC-785B-4B39-8989-D84ACA067FBC}" name="20" dataDxfId="10"/>
    <tableColumn id="41" xr3:uid="{38B6ED7C-863F-4829-BC0A-BB681C1DC948}" name="21" dataDxfId="9"/>
    <tableColumn id="42" xr3:uid="{C0B7FB09-245F-467B-A389-09B19F176A26}" name="22" dataDxfId="8"/>
    <tableColumn id="43" xr3:uid="{E29A5264-92CA-4330-8143-4BF65C7A7850}" name="23" dataDxfId="7"/>
    <tableColumn id="44" xr3:uid="{866994C7-762E-4EFC-9031-33D62C1E24F9}" name="24" dataDxfId="6"/>
    <tableColumn id="45" xr3:uid="{153FCA90-37A6-437D-A54E-5CBE75B7B15F}" name="25" dataDxfId="5"/>
    <tableColumn id="46" xr3:uid="{68CA6897-9717-4BCB-BC85-B5665D9DEFBE}" name="26" dataDxfId="4"/>
    <tableColumn id="47" xr3:uid="{A6122FCF-FD72-4170-B22C-2E63CBE3B656}" name="27" dataDxfId="3"/>
    <tableColumn id="48" xr3:uid="{A4BC0A18-FCFD-4DB9-8A1B-5600C2447901}" name="28" dataDxfId="2"/>
    <tableColumn id="49" xr3:uid="{1A8C370B-8DD5-4E4D-A6BE-5159548DAB27}" name="29" dataDxfId="1"/>
    <tableColumn id="50" xr3:uid="{877D4C4A-8ECF-4D08-932B-500FD35C3EEE}" name="30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9A7332-4DD7-42E4-8A87-6BFDA5DD6BF9}" name="Tabela17" displayName="Tabela17" ref="A2:N29" totalsRowShown="0" headerRowDxfId="81" dataDxfId="80">
  <autoFilter ref="A2:N29" xr:uid="{809A7332-4DD7-42E4-8A87-6BFDA5DD6BF9}"/>
  <tableColumns count="14">
    <tableColumn id="1" xr3:uid="{CDA5FB05-B554-4E4D-9426-AC1B79EAA5DB}" name="LP." dataDxfId="79"/>
    <tableColumn id="2" xr3:uid="{F78B2775-D748-4F22-82DF-FE00A2BD39AD}" name="PRODUCENT" dataDxfId="78"/>
    <tableColumn id="3" xr3:uid="{5646C448-1ECF-47C0-A40A-9850BD7E59F6}" name="MODEL" dataDxfId="77"/>
    <tableColumn id="14" xr3:uid="{AC8E63DE-257A-4B0C-B565-3E53DDB9F7EF}" name="NAZWA" dataDxfId="76"/>
    <tableColumn id="4" xr3:uid="{7CA7CE9B-F51F-42E0-82DE-9B0FA569115E}" name="CENA KATALOGOWA" dataDxfId="75" dataCellStyle="Walutowy"/>
    <tableColumn id="5" xr3:uid="{7BFC0AF4-B7A5-4CDA-8621-F7FCB59B5BEC}" name="RABAT" dataDxfId="74" dataCellStyle="Procentowy"/>
    <tableColumn id="6" xr3:uid="{B54B095A-C71E-4F86-8C17-8730FD4960F6}" name="CENA ZAKUPU" dataDxfId="73" dataCellStyle="Walutowy"/>
    <tableColumn id="7" xr3:uid="{593863FB-0C26-4F0E-A400-902B3F69071F}" name="MATERIAŁ" dataDxfId="72"/>
    <tableColumn id="8" xr3:uid="{B5AB1454-16D1-49EC-AE0B-FBF1C4F7F656}" name="POJEMNOŚĆ" dataDxfId="71"/>
    <tableColumn id="9" xr3:uid="{0FC5E494-1F5D-41ED-B9CA-F6824595E3A7}" name="WĘŻOWNICA" dataDxfId="70"/>
    <tableColumn id="10" xr3:uid="{C859ADDF-1775-48EB-98D5-4EFEF5C897C4}" name="WYSOKOŚĆ" dataDxfId="69"/>
    <tableColumn id="11" xr3:uid="{2E129D95-6942-4C44-9988-DA2B0569FC7C}" name="ŚREDNICA" dataDxfId="68"/>
    <tableColumn id="12" xr3:uid="{40445349-6EAC-4F32-9C67-8555B809F62B}" name="KLASA ErP" dataDxfId="67"/>
    <tableColumn id="13" xr3:uid="{41FDD696-D906-47B2-92CA-2F88E52BAAB3}" name="GRZAŁKA" dataDxfId="66"/>
  </tableColumns>
  <tableStyleInfo name="TableStyleMedium2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D828DA-7E93-421B-8AA8-751B99DD65E9}" name="Tabela18" displayName="Tabela18" ref="P2:AA8" totalsRowShown="0" headerRowDxfId="65" dataDxfId="64" headerRowBorderDxfId="62" tableBorderDxfId="63">
  <autoFilter ref="P2:AA8" xr:uid="{0BD828DA-7E93-421B-8AA8-751B99DD65E9}"/>
  <tableColumns count="12">
    <tableColumn id="1" xr3:uid="{895BECAD-A9E8-4DEA-BFF7-4292D498DAAC}" name="LP." dataDxfId="61"/>
    <tableColumn id="2" xr3:uid="{FB1900FD-9B4E-46D8-8D4F-3CF6B2D484E6}" name="PRODUCENT" dataDxfId="60"/>
    <tableColumn id="3" xr3:uid="{F8461900-8E84-48E2-95BA-B0FC2302AA99}" name="MODEL" dataDxfId="59"/>
    <tableColumn id="4" xr3:uid="{1E7CF515-2246-4FD3-AE35-9AFC44E855F5}" name="NAZWA" dataDxfId="58"/>
    <tableColumn id="5" xr3:uid="{75DA7461-0268-475C-97E2-DF4DBBAA91D6}" name="CENA KATALOGOWA" dataDxfId="57" dataCellStyle="Walutowy"/>
    <tableColumn id="6" xr3:uid="{07132822-7315-45B4-B93F-675FC2275331}" name="RABAT" dataDxfId="56" dataCellStyle="Procentowy"/>
    <tableColumn id="7" xr3:uid="{15BF90B1-8333-4DB9-801C-27D5D20669C5}" name="CENA ZAKUPU" dataDxfId="55" dataCellStyle="Walutowy">
      <calculatedColumnFormula>Tabela18[[#This Row],[CENA KATALOGOWA]]*(1-Tabela18[[#This Row],[RABAT]])</calculatedColumnFormula>
    </tableColumn>
    <tableColumn id="8" xr3:uid="{BF10DB61-7F63-4067-ABC7-AA7261E2F85E}" name="MATERIAŁ" dataDxfId="54"/>
    <tableColumn id="9" xr3:uid="{4DAF2C04-9D36-4642-BDFB-92D0AB62CB02}" name="POJEMNOŚĆ" dataDxfId="53"/>
    <tableColumn id="10" xr3:uid="{F2CA4CB2-A698-40F6-BAEB-7522E4D7B250}" name="WYSOKOŚĆ" dataDxfId="52"/>
    <tableColumn id="11" xr3:uid="{E9548BEC-D69F-4817-841C-60D6EF998043}" name="ŚREDNICA" dataDxfId="51"/>
    <tableColumn id="12" xr3:uid="{F1ED5168-5424-40C0-B048-1E1EC76A386D}" name="KLASA ErP" dataDxfId="5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jacurbanek@poczta.onet.pl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8"/>
  <sheetViews>
    <sheetView topLeftCell="A28" workbookViewId="0">
      <selection activeCell="V61" sqref="V61"/>
    </sheetView>
  </sheetViews>
  <sheetFormatPr defaultColWidth="4.85546875" defaultRowHeight="15" x14ac:dyDescent="0.25"/>
  <cols>
    <col min="1" max="23" width="4.85546875" style="1"/>
    <col min="24" max="24" width="5.28515625" style="1" customWidth="1"/>
    <col min="25" max="25" width="47.7109375" style="1" bestFit="1" customWidth="1"/>
    <col min="26" max="28" width="40.85546875" style="1" customWidth="1"/>
    <col min="29" max="30" width="4.85546875" style="1"/>
    <col min="31" max="31" width="17.140625" style="1" bestFit="1" customWidth="1"/>
    <col min="32" max="32" width="15.5703125" style="1" bestFit="1" customWidth="1"/>
    <col min="33" max="44" width="4.85546875" style="1"/>
    <col min="45" max="45" width="17.42578125" style="1" customWidth="1"/>
    <col min="46" max="47" width="4.85546875" style="1"/>
    <col min="48" max="48" width="18.42578125" style="1" customWidth="1"/>
    <col min="49" max="49" width="6.7109375" style="1" customWidth="1"/>
    <col min="50" max="50" width="5.5703125" style="1" customWidth="1"/>
    <col min="51" max="67" width="4.85546875" style="1"/>
    <col min="68" max="68" width="12.5703125" style="1" customWidth="1"/>
    <col min="69" max="72" width="12.140625" style="1" customWidth="1"/>
    <col min="73" max="16384" width="4.85546875" style="1"/>
  </cols>
  <sheetData>
    <row r="1" spans="1:32" x14ac:dyDescent="0.25">
      <c r="AE1" s="1" t="s">
        <v>0</v>
      </c>
      <c r="AF1" s="1" t="s">
        <v>1</v>
      </c>
    </row>
    <row r="2" spans="1:32" x14ac:dyDescent="0.25">
      <c r="AE2" s="1" t="s">
        <v>2</v>
      </c>
      <c r="AF2" s="2">
        <v>0.08</v>
      </c>
    </row>
    <row r="3" spans="1:32" x14ac:dyDescent="0.25">
      <c r="AE3" s="1" t="s">
        <v>3</v>
      </c>
      <c r="AF3" s="2">
        <v>0.23</v>
      </c>
    </row>
    <row r="4" spans="1:32" ht="18.75" customHeight="1" x14ac:dyDescent="0.25">
      <c r="A4" s="3"/>
      <c r="B4" s="4" t="s">
        <v>4</v>
      </c>
      <c r="C4" s="4"/>
      <c r="D4" s="4"/>
      <c r="E4" s="4"/>
      <c r="F4" s="4"/>
      <c r="G4" s="4"/>
      <c r="H4" s="4"/>
      <c r="I4" s="4"/>
      <c r="J4" s="4"/>
      <c r="K4" s="3"/>
      <c r="L4" s="5" t="s">
        <v>5</v>
      </c>
      <c r="M4" s="5"/>
      <c r="N4" s="5"/>
      <c r="O4" s="5"/>
      <c r="P4" s="5"/>
      <c r="Q4" s="5"/>
      <c r="R4" s="5"/>
      <c r="S4" s="5"/>
      <c r="T4" s="6"/>
      <c r="U4" s="3"/>
      <c r="V4" s="3"/>
      <c r="W4" s="3"/>
      <c r="X4" s="3"/>
      <c r="Y4" s="7"/>
      <c r="Z4" s="8"/>
      <c r="AA4" s="8"/>
      <c r="AB4" s="8"/>
    </row>
    <row r="5" spans="1:32" ht="24" customHeight="1" x14ac:dyDescent="0.3">
      <c r="A5" s="3"/>
      <c r="B5" s="9" t="s">
        <v>6</v>
      </c>
      <c r="C5" s="9"/>
      <c r="D5" s="9"/>
      <c r="E5" s="9"/>
      <c r="F5" s="9"/>
      <c r="G5" s="9"/>
      <c r="H5" s="9"/>
      <c r="I5" s="9"/>
      <c r="J5" s="9"/>
      <c r="K5" s="10"/>
      <c r="L5" s="11" t="s">
        <v>456</v>
      </c>
      <c r="M5" s="11"/>
      <c r="N5" s="11"/>
      <c r="O5" s="11"/>
      <c r="P5" s="11"/>
      <c r="Q5" s="11"/>
      <c r="R5" s="11"/>
      <c r="S5" s="11"/>
      <c r="T5" s="6"/>
      <c r="U5" s="3"/>
      <c r="V5" s="3"/>
      <c r="W5" s="3"/>
      <c r="X5" s="3"/>
      <c r="Y5" s="12" t="str">
        <f>L5</f>
        <v>Rafał Krakowczyk</v>
      </c>
      <c r="Z5" s="13"/>
      <c r="AA5" s="13"/>
      <c r="AB5" s="13"/>
    </row>
    <row r="6" spans="1:32" ht="18" customHeight="1" x14ac:dyDescent="0.25">
      <c r="A6" s="3"/>
      <c r="B6" s="14" t="s">
        <v>7</v>
      </c>
      <c r="C6" s="14"/>
      <c r="D6" s="14"/>
      <c r="E6" s="14"/>
      <c r="F6" s="14"/>
      <c r="G6" s="14"/>
      <c r="H6" s="14"/>
      <c r="I6" s="14"/>
      <c r="J6" s="14"/>
      <c r="K6" s="10"/>
      <c r="L6" s="15">
        <v>530830107</v>
      </c>
      <c r="M6" s="15"/>
      <c r="N6" s="15"/>
      <c r="O6" s="15"/>
      <c r="P6" s="15"/>
      <c r="Q6" s="15"/>
      <c r="R6" s="15"/>
      <c r="S6" s="15"/>
      <c r="T6" s="6"/>
      <c r="U6" s="3"/>
      <c r="V6" s="3"/>
      <c r="W6" s="3"/>
      <c r="X6" s="3"/>
      <c r="Y6" s="16">
        <f>L6</f>
        <v>530830107</v>
      </c>
      <c r="Z6" s="13"/>
      <c r="AA6" s="13"/>
      <c r="AB6" s="13"/>
    </row>
    <row r="7" spans="1:32" ht="18" customHeight="1" x14ac:dyDescent="0.25">
      <c r="A7" s="3"/>
      <c r="B7" s="14">
        <v>692465358</v>
      </c>
      <c r="C7" s="9"/>
      <c r="D7" s="9"/>
      <c r="E7" s="9"/>
      <c r="F7" s="9"/>
      <c r="G7" s="9"/>
      <c r="H7" s="9"/>
      <c r="I7" s="9"/>
      <c r="J7" s="9"/>
      <c r="K7" s="10"/>
      <c r="L7" s="15" t="s">
        <v>457</v>
      </c>
      <c r="M7" s="15"/>
      <c r="N7" s="15"/>
      <c r="O7" s="15"/>
      <c r="P7" s="15"/>
      <c r="Q7" s="15"/>
      <c r="R7" s="15"/>
      <c r="S7" s="15"/>
      <c r="T7" s="15"/>
      <c r="U7" s="3"/>
      <c r="V7" s="3"/>
      <c r="W7" s="3"/>
      <c r="X7" s="3"/>
      <c r="Y7" s="16" t="str">
        <f>L7</f>
        <v>rafal.krakowczyk@ampere-solar.pl</v>
      </c>
      <c r="Z7" s="13"/>
      <c r="AA7" s="13"/>
      <c r="AB7" s="13"/>
    </row>
    <row r="8" spans="1:32" ht="18" customHeight="1" x14ac:dyDescent="0.25">
      <c r="A8" s="3"/>
      <c r="B8" s="17" t="s">
        <v>8</v>
      </c>
      <c r="C8" s="18"/>
      <c r="D8" s="18"/>
      <c r="E8" s="18"/>
      <c r="F8" s="18"/>
      <c r="G8" s="18"/>
      <c r="H8" s="18"/>
      <c r="I8" s="18"/>
      <c r="J8" s="18"/>
      <c r="K8" s="10"/>
      <c r="L8" s="5" t="s">
        <v>9</v>
      </c>
      <c r="M8" s="5"/>
      <c r="N8" s="5"/>
      <c r="O8" s="5"/>
      <c r="P8" s="5"/>
      <c r="Q8" s="5"/>
      <c r="R8" s="5"/>
      <c r="S8" s="5"/>
      <c r="T8" s="5"/>
      <c r="U8" s="3"/>
      <c r="V8" s="3"/>
      <c r="W8" s="3"/>
      <c r="X8" s="3"/>
      <c r="Y8" s="7"/>
      <c r="Z8" s="8"/>
      <c r="AA8" s="8"/>
      <c r="AB8" s="8"/>
    </row>
    <row r="9" spans="1:32" ht="18" customHeight="1" x14ac:dyDescent="0.3">
      <c r="A9" s="3"/>
      <c r="B9" s="19" t="s">
        <v>2</v>
      </c>
      <c r="C9" s="19"/>
      <c r="D9" s="19"/>
      <c r="E9" s="19"/>
      <c r="F9" s="19"/>
      <c r="G9" s="19"/>
      <c r="H9" s="19"/>
      <c r="I9" s="19"/>
      <c r="J9" s="19"/>
      <c r="K9" s="10"/>
      <c r="L9" s="20"/>
      <c r="M9" s="20"/>
      <c r="N9" s="20"/>
      <c r="O9" s="20"/>
      <c r="P9" s="20"/>
      <c r="Q9" s="20"/>
      <c r="R9" s="20"/>
      <c r="S9" s="20"/>
      <c r="T9" s="7"/>
      <c r="U9" s="3"/>
      <c r="V9" s="3"/>
      <c r="W9" s="3"/>
      <c r="X9" s="3"/>
      <c r="Y9" s="21" t="s">
        <v>4</v>
      </c>
    </row>
    <row r="10" spans="1:32" ht="19.5" x14ac:dyDescent="0.3">
      <c r="A10" s="3"/>
      <c r="B10" s="22"/>
      <c r="C10" s="22"/>
      <c r="D10" s="22"/>
      <c r="E10" s="22"/>
      <c r="F10" s="22"/>
      <c r="G10" s="22"/>
      <c r="H10" s="22"/>
      <c r="I10" s="22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1" t="str">
        <f>B5</f>
        <v>Jan Kowalski</v>
      </c>
    </row>
    <row r="11" spans="1:32" ht="19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3" t="str">
        <f>B6</f>
        <v>Rudziczka, Szkolna 23</v>
      </c>
    </row>
    <row r="28" spans="1:59" x14ac:dyDescent="0.25">
      <c r="A28" s="24" t="s">
        <v>10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59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59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spans="1:59" x14ac:dyDescent="0.25">
      <c r="A31" s="25"/>
      <c r="B31" s="25"/>
      <c r="C31" s="25"/>
      <c r="D31" s="26" t="s">
        <v>11</v>
      </c>
      <c r="E31" s="26"/>
      <c r="F31" s="26"/>
      <c r="G31" s="26" t="s">
        <v>12</v>
      </c>
      <c r="H31" s="26"/>
      <c r="I31" s="26"/>
      <c r="J31" s="26"/>
      <c r="K31" s="26"/>
      <c r="L31" s="26">
        <v>-20</v>
      </c>
      <c r="M31" s="26"/>
      <c r="N31" s="25" t="s">
        <v>13</v>
      </c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1:59" x14ac:dyDescent="0.25">
      <c r="A32" s="25"/>
      <c r="B32" s="25"/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AZ32" s="1" t="s">
        <v>14</v>
      </c>
      <c r="BB32" s="1" t="s">
        <v>15</v>
      </c>
      <c r="BG32" s="1" t="s">
        <v>16</v>
      </c>
    </row>
    <row r="33" spans="1:72" x14ac:dyDescent="0.25">
      <c r="A33" s="26" t="s">
        <v>17</v>
      </c>
      <c r="B33" s="26"/>
      <c r="C33" s="26"/>
      <c r="D33" s="26"/>
      <c r="E33" s="26"/>
      <c r="F33" s="27" t="s">
        <v>28</v>
      </c>
      <c r="G33" s="27"/>
      <c r="H33" s="27"/>
      <c r="I33" s="27"/>
      <c r="J33" s="27"/>
      <c r="K33" s="27"/>
      <c r="L33" s="27"/>
      <c r="M33" s="27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5"/>
      <c r="AN33" s="1" t="s">
        <v>19</v>
      </c>
      <c r="AQ33" s="1" t="s">
        <v>20</v>
      </c>
      <c r="AT33" s="1" t="s">
        <v>14</v>
      </c>
      <c r="AV33" s="1" t="s">
        <v>21</v>
      </c>
      <c r="AW33" s="1" t="s">
        <v>14</v>
      </c>
      <c r="AY33" s="1" t="s">
        <v>22</v>
      </c>
      <c r="AZ33" s="1" t="s">
        <v>23</v>
      </c>
      <c r="BA33" s="1" t="s">
        <v>24</v>
      </c>
      <c r="BC33" s="1" t="s">
        <v>25</v>
      </c>
      <c r="BG33" s="1" t="s">
        <v>26</v>
      </c>
      <c r="BH33" s="1" t="s">
        <v>27</v>
      </c>
      <c r="BI33" s="1">
        <v>2</v>
      </c>
      <c r="BJ33" s="1">
        <v>1</v>
      </c>
      <c r="BK33" s="1">
        <v>0.5</v>
      </c>
      <c r="BL33" s="1">
        <v>0.25</v>
      </c>
    </row>
    <row r="34" spans="1:72" x14ac:dyDescent="0.25">
      <c r="A34" s="26"/>
      <c r="B34" s="26"/>
      <c r="C34" s="26"/>
      <c r="D34" s="26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5"/>
      <c r="AN34" s="1" t="s">
        <v>28</v>
      </c>
      <c r="AO34" s="1">
        <v>1</v>
      </c>
      <c r="AP34" s="1">
        <v>1.1000000000000001</v>
      </c>
      <c r="AQ34" s="1">
        <v>13</v>
      </c>
      <c r="AR34" s="1" t="s">
        <v>29</v>
      </c>
      <c r="AS34" s="1" t="s">
        <v>30</v>
      </c>
      <c r="AT34" s="1">
        <v>0.77</v>
      </c>
      <c r="AV34" s="1" t="s">
        <v>31</v>
      </c>
      <c r="AW34" s="1">
        <v>3.1E-2</v>
      </c>
      <c r="AY34" s="1" t="s">
        <v>32</v>
      </c>
      <c r="AZ34" s="1">
        <v>1.2</v>
      </c>
      <c r="BA34" s="1" t="s">
        <v>33</v>
      </c>
      <c r="BC34" s="1" t="s">
        <v>34</v>
      </c>
      <c r="BD34" s="1">
        <v>50</v>
      </c>
      <c r="BG34" s="1">
        <v>2</v>
      </c>
      <c r="BH34" s="1">
        <v>0.86</v>
      </c>
      <c r="BI34" s="1">
        <v>0.57999999999999996</v>
      </c>
      <c r="BJ34" s="1">
        <v>0.44</v>
      </c>
      <c r="BK34" s="1">
        <v>0.28000000000000003</v>
      </c>
      <c r="BL34" s="1">
        <v>0.16</v>
      </c>
    </row>
    <row r="35" spans="1:72" x14ac:dyDescent="0.25">
      <c r="A35" s="26" t="s">
        <v>35</v>
      </c>
      <c r="B35" s="26"/>
      <c r="C35" s="26"/>
      <c r="D35" s="26" t="s">
        <v>36</v>
      </c>
      <c r="E35" s="26"/>
      <c r="F35" s="26"/>
      <c r="G35" s="26"/>
      <c r="H35" s="26"/>
      <c r="I35" s="26"/>
      <c r="J35" s="27">
        <v>10</v>
      </c>
      <c r="K35" s="27"/>
      <c r="L35" s="27"/>
      <c r="M35" s="26" t="s">
        <v>37</v>
      </c>
      <c r="N35" s="27">
        <v>7</v>
      </c>
      <c r="O35" s="27"/>
      <c r="P35" s="27"/>
      <c r="Q35" s="26" t="s">
        <v>38</v>
      </c>
      <c r="R35" s="26"/>
      <c r="S35" s="27">
        <f>J35*N35</f>
        <v>70</v>
      </c>
      <c r="T35" s="27"/>
      <c r="U35" s="27"/>
      <c r="V35" s="26" t="s">
        <v>39</v>
      </c>
      <c r="W35" s="26"/>
      <c r="X35" s="25"/>
      <c r="AN35" s="1" t="s">
        <v>40</v>
      </c>
      <c r="AO35" s="1">
        <v>1.2</v>
      </c>
      <c r="AP35" s="1">
        <v>1.5</v>
      </c>
      <c r="AQ35" s="1">
        <v>14</v>
      </c>
      <c r="AR35" s="1" t="s">
        <v>41</v>
      </c>
      <c r="AS35" s="1" t="s">
        <v>42</v>
      </c>
      <c r="AT35" s="1">
        <v>0.5</v>
      </c>
      <c r="AV35" s="1" t="s">
        <v>43</v>
      </c>
      <c r="AW35" s="1">
        <v>2.9000000000000001E-2</v>
      </c>
      <c r="AY35" s="1" t="s">
        <v>44</v>
      </c>
      <c r="AZ35" s="1">
        <v>0.63</v>
      </c>
      <c r="BA35" s="1" t="s">
        <v>45</v>
      </c>
      <c r="BC35" s="1" t="s">
        <v>46</v>
      </c>
      <c r="BD35" s="1">
        <v>60</v>
      </c>
      <c r="BG35" s="1">
        <v>4</v>
      </c>
      <c r="BH35" s="1">
        <v>0.64</v>
      </c>
      <c r="BI35" s="1">
        <v>0.48</v>
      </c>
      <c r="BJ35" s="1">
        <v>0.38</v>
      </c>
      <c r="BK35" s="1">
        <v>0.26</v>
      </c>
      <c r="BL35" s="1">
        <v>0.16</v>
      </c>
    </row>
    <row r="36" spans="1:72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7"/>
      <c r="K36" s="27"/>
      <c r="L36" s="27"/>
      <c r="M36" s="26"/>
      <c r="N36" s="27"/>
      <c r="O36" s="27"/>
      <c r="P36" s="27"/>
      <c r="Q36" s="26"/>
      <c r="R36" s="26"/>
      <c r="S36" s="27"/>
      <c r="T36" s="27"/>
      <c r="U36" s="27"/>
      <c r="V36" s="26"/>
      <c r="W36" s="26"/>
      <c r="X36" s="25"/>
      <c r="AN36" s="1" t="s">
        <v>47</v>
      </c>
      <c r="AO36" s="1">
        <v>1.2</v>
      </c>
      <c r="AP36" s="1">
        <v>1.1000000000000001</v>
      </c>
      <c r="AQ36" s="1">
        <v>15</v>
      </c>
      <c r="AS36" s="1" t="s">
        <v>48</v>
      </c>
      <c r="AT36" s="1">
        <v>0.5</v>
      </c>
      <c r="AV36" s="1" t="s">
        <v>49</v>
      </c>
      <c r="AW36" s="1">
        <v>4.4999999999999998E-2</v>
      </c>
      <c r="BA36" s="1" t="s">
        <v>50</v>
      </c>
      <c r="BC36" s="1" t="s">
        <v>51</v>
      </c>
      <c r="BD36" s="1">
        <v>70</v>
      </c>
      <c r="BG36" s="1">
        <v>6</v>
      </c>
      <c r="BH36" s="1">
        <v>0.52</v>
      </c>
      <c r="BI36" s="1">
        <v>0.4</v>
      </c>
      <c r="BJ36" s="1">
        <v>0.33</v>
      </c>
      <c r="BK36" s="1">
        <v>0.25</v>
      </c>
      <c r="BL36" s="1">
        <v>0.15</v>
      </c>
    </row>
    <row r="37" spans="1:72" x14ac:dyDescent="0.25">
      <c r="A37" s="28">
        <f>SUM(V47:W60)/1000</f>
        <v>3.6305724787514326</v>
      </c>
      <c r="B37" s="28"/>
      <c r="C37" s="28"/>
      <c r="D37" s="26" t="s">
        <v>52</v>
      </c>
      <c r="E37" s="26"/>
      <c r="F37" s="26"/>
      <c r="G37" s="26"/>
      <c r="H37" s="26"/>
      <c r="I37" s="26"/>
      <c r="J37" s="27">
        <v>110</v>
      </c>
      <c r="K37" s="27"/>
      <c r="L37" s="27"/>
      <c r="M37" s="26" t="s">
        <v>39</v>
      </c>
      <c r="N37" s="26"/>
      <c r="O37" s="25"/>
      <c r="P37" s="25"/>
      <c r="Q37" s="25"/>
      <c r="R37" s="25"/>
      <c r="S37" s="25"/>
      <c r="T37" s="25"/>
      <c r="U37" s="25"/>
      <c r="V37" s="25"/>
      <c r="W37" s="25"/>
      <c r="X37" s="25"/>
      <c r="AN37" s="1" t="s">
        <v>18</v>
      </c>
      <c r="AO37" s="1">
        <v>2</v>
      </c>
      <c r="AP37" s="1">
        <v>1.1000000000000001</v>
      </c>
      <c r="AQ37" s="1">
        <v>16</v>
      </c>
      <c r="AS37" s="1" t="s">
        <v>53</v>
      </c>
      <c r="AT37" s="1">
        <v>0.16</v>
      </c>
      <c r="AV37" s="1" t="s">
        <v>54</v>
      </c>
      <c r="AW37" s="1">
        <v>3.5000000000000003E-2</v>
      </c>
      <c r="BG37" s="1">
        <v>8</v>
      </c>
      <c r="BH37" s="1">
        <v>0.44</v>
      </c>
      <c r="BI37" s="1">
        <v>0.35</v>
      </c>
      <c r="BJ37" s="1">
        <v>0.28999999999999998</v>
      </c>
      <c r="BK37" s="1">
        <v>0.23</v>
      </c>
      <c r="BL37" s="1">
        <v>0.15</v>
      </c>
    </row>
    <row r="38" spans="1:72" x14ac:dyDescent="0.25">
      <c r="A38" s="28"/>
      <c r="B38" s="28"/>
      <c r="C38" s="28"/>
      <c r="D38" s="26"/>
      <c r="E38" s="26"/>
      <c r="F38" s="26"/>
      <c r="G38" s="26"/>
      <c r="H38" s="26"/>
      <c r="I38" s="26"/>
      <c r="J38" s="27"/>
      <c r="K38" s="27"/>
      <c r="L38" s="27"/>
      <c r="M38" s="26"/>
      <c r="N38" s="26"/>
      <c r="O38" s="25"/>
      <c r="P38" s="25"/>
      <c r="Q38" s="25"/>
      <c r="R38" s="25"/>
      <c r="S38" s="25"/>
      <c r="T38" s="25"/>
      <c r="U38" s="25"/>
      <c r="V38" s="25"/>
      <c r="W38" s="25"/>
      <c r="X38" s="25"/>
      <c r="AN38" s="1" t="s">
        <v>55</v>
      </c>
      <c r="AO38" s="1">
        <v>2.5</v>
      </c>
      <c r="AP38" s="1">
        <v>1.5</v>
      </c>
      <c r="AQ38" s="1">
        <v>17</v>
      </c>
      <c r="AS38" s="1" t="s">
        <v>56</v>
      </c>
      <c r="AT38" s="1">
        <v>0.1</v>
      </c>
      <c r="AV38" s="1" t="s">
        <v>57</v>
      </c>
      <c r="AW38" s="1">
        <v>2.3E-2</v>
      </c>
      <c r="BG38" s="1">
        <v>10</v>
      </c>
      <c r="BH38" s="1">
        <v>0.38</v>
      </c>
      <c r="BI38" s="1">
        <v>0.31</v>
      </c>
      <c r="BJ38" s="1">
        <v>0.26</v>
      </c>
      <c r="BK38" s="1">
        <v>0.21</v>
      </c>
      <c r="BL38" s="1">
        <v>0.14000000000000001</v>
      </c>
    </row>
    <row r="39" spans="1:72" x14ac:dyDescent="0.25">
      <c r="A39" s="28"/>
      <c r="B39" s="28"/>
      <c r="C39" s="28"/>
      <c r="D39" s="26" t="s">
        <v>58</v>
      </c>
      <c r="E39" s="26"/>
      <c r="F39" s="26"/>
      <c r="G39" s="26"/>
      <c r="H39" s="26"/>
      <c r="I39" s="26"/>
      <c r="J39" s="27">
        <v>2.5</v>
      </c>
      <c r="K39" s="27"/>
      <c r="L39" s="27"/>
      <c r="M39" s="26" t="s">
        <v>38</v>
      </c>
      <c r="N39" s="26"/>
      <c r="O39" s="25"/>
      <c r="P39" s="25"/>
      <c r="Q39" s="25"/>
      <c r="R39" s="25"/>
      <c r="S39" s="25"/>
      <c r="T39" s="25"/>
      <c r="U39" s="25"/>
      <c r="V39" s="25"/>
      <c r="W39" s="25"/>
      <c r="X39" s="25"/>
      <c r="AQ39" s="1">
        <v>18</v>
      </c>
      <c r="AS39" s="1" t="s">
        <v>59</v>
      </c>
      <c r="AT39" s="1">
        <v>1</v>
      </c>
      <c r="BG39" s="1">
        <v>12</v>
      </c>
      <c r="BH39" s="1">
        <v>0.34</v>
      </c>
      <c r="BI39" s="1">
        <v>0.28000000000000003</v>
      </c>
      <c r="BJ39" s="1">
        <v>0.24</v>
      </c>
      <c r="BK39" s="1">
        <v>0.19</v>
      </c>
      <c r="BL39" s="1">
        <v>0.14000000000000001</v>
      </c>
    </row>
    <row r="40" spans="1:72" x14ac:dyDescent="0.25">
      <c r="A40" s="28"/>
      <c r="B40" s="28"/>
      <c r="C40" s="28"/>
      <c r="D40" s="26"/>
      <c r="E40" s="26"/>
      <c r="F40" s="26"/>
      <c r="G40" s="26"/>
      <c r="H40" s="26"/>
      <c r="I40" s="26"/>
      <c r="J40" s="27"/>
      <c r="K40" s="27"/>
      <c r="L40" s="27"/>
      <c r="M40" s="26"/>
      <c r="N40" s="26"/>
      <c r="O40" s="25"/>
      <c r="P40" s="25"/>
      <c r="Q40" s="25"/>
      <c r="R40" s="25"/>
      <c r="S40" s="25"/>
      <c r="T40" s="25"/>
      <c r="U40" s="25"/>
      <c r="V40" s="25"/>
      <c r="W40" s="25"/>
      <c r="X40" s="25"/>
      <c r="AQ40" s="1">
        <v>19</v>
      </c>
      <c r="AS40" s="1" t="s">
        <v>60</v>
      </c>
      <c r="AT40" s="1">
        <v>0.17</v>
      </c>
      <c r="BG40" s="1">
        <v>14</v>
      </c>
      <c r="BH40" s="1">
        <v>0.3</v>
      </c>
      <c r="BI40" s="1">
        <v>0.25</v>
      </c>
      <c r="BJ40" s="1">
        <v>0.22</v>
      </c>
      <c r="BK40" s="1">
        <v>0.18</v>
      </c>
      <c r="BL40" s="1">
        <v>0.13</v>
      </c>
    </row>
    <row r="41" spans="1:72" x14ac:dyDescent="0.25">
      <c r="A41" s="28"/>
      <c r="B41" s="28"/>
      <c r="C41" s="28"/>
      <c r="D41" s="29" t="s">
        <v>61</v>
      </c>
      <c r="E41" s="29"/>
      <c r="F41" s="29"/>
      <c r="G41" s="30" t="s">
        <v>62</v>
      </c>
      <c r="H41" s="30"/>
      <c r="I41" s="30"/>
      <c r="J41" s="27">
        <v>23</v>
      </c>
      <c r="K41" s="27"/>
      <c r="L41" s="25" t="s">
        <v>13</v>
      </c>
      <c r="M41" s="26" t="s">
        <v>63</v>
      </c>
      <c r="N41" s="26"/>
      <c r="O41" s="26"/>
      <c r="P41" s="26">
        <f>J41-5</f>
        <v>18</v>
      </c>
      <c r="Q41" s="26"/>
      <c r="R41" s="25" t="s">
        <v>64</v>
      </c>
      <c r="S41" s="25"/>
      <c r="T41" s="25"/>
      <c r="U41" s="25"/>
      <c r="V41" s="25"/>
      <c r="W41" s="25"/>
      <c r="X41" s="25"/>
      <c r="AQ41" s="1">
        <v>20</v>
      </c>
      <c r="AS41" s="1" t="s">
        <v>65</v>
      </c>
      <c r="AT41" s="1">
        <v>7.9000000000000001E-2</v>
      </c>
      <c r="BG41" s="1">
        <v>16</v>
      </c>
      <c r="BH41" s="1">
        <v>0.28000000000000003</v>
      </c>
      <c r="BI41" s="1">
        <v>0.23</v>
      </c>
      <c r="BJ41" s="1">
        <v>0.2</v>
      </c>
      <c r="BK41" s="1">
        <v>0.17</v>
      </c>
      <c r="BL41" s="1">
        <v>0.12</v>
      </c>
    </row>
    <row r="42" spans="1:72" x14ac:dyDescent="0.25">
      <c r="A42" s="28"/>
      <c r="B42" s="28"/>
      <c r="C42" s="28"/>
      <c r="D42" s="29"/>
      <c r="E42" s="29"/>
      <c r="F42" s="29"/>
      <c r="G42" s="30"/>
      <c r="H42" s="30"/>
      <c r="I42" s="30"/>
      <c r="J42" s="27"/>
      <c r="K42" s="27"/>
      <c r="L42" s="25"/>
      <c r="M42" s="26"/>
      <c r="N42" s="26"/>
      <c r="O42" s="26"/>
      <c r="P42" s="26"/>
      <c r="Q42" s="26"/>
      <c r="R42" s="25"/>
      <c r="S42" s="25"/>
      <c r="T42" s="25"/>
      <c r="U42" s="25"/>
      <c r="V42" s="25"/>
      <c r="W42" s="25"/>
      <c r="X42" s="25"/>
      <c r="AQ42" s="1">
        <v>21</v>
      </c>
      <c r="AS42" s="1" t="s">
        <v>66</v>
      </c>
      <c r="AT42" s="1">
        <v>9.5000000000000001E-2</v>
      </c>
      <c r="BG42" s="1">
        <v>18</v>
      </c>
      <c r="BH42" s="1">
        <v>0.25</v>
      </c>
      <c r="BI42" s="1">
        <v>0.22</v>
      </c>
      <c r="BJ42" s="1">
        <v>0.19</v>
      </c>
      <c r="BK42" s="1">
        <v>0.16</v>
      </c>
      <c r="BL42" s="1">
        <v>0.12</v>
      </c>
    </row>
    <row r="43" spans="1:72" x14ac:dyDescent="0.25">
      <c r="A43" s="28"/>
      <c r="B43" s="28"/>
      <c r="C43" s="28"/>
      <c r="D43" s="29" t="s">
        <v>67</v>
      </c>
      <c r="E43" s="29"/>
      <c r="F43" s="29"/>
      <c r="G43" s="30" t="s">
        <v>62</v>
      </c>
      <c r="H43" s="30"/>
      <c r="I43" s="30"/>
      <c r="J43" s="26">
        <v>20</v>
      </c>
      <c r="K43" s="26"/>
      <c r="L43" s="25" t="s">
        <v>13</v>
      </c>
      <c r="M43" s="26" t="s">
        <v>63</v>
      </c>
      <c r="N43" s="26"/>
      <c r="O43" s="26"/>
      <c r="P43" s="26">
        <f>J43+4</f>
        <v>24</v>
      </c>
      <c r="Q43" s="26"/>
      <c r="R43" s="25" t="s">
        <v>64</v>
      </c>
      <c r="S43" s="25"/>
      <c r="T43" s="25"/>
      <c r="U43" s="25"/>
      <c r="V43" s="25"/>
      <c r="W43" s="25"/>
      <c r="X43" s="25"/>
      <c r="AQ43" s="1">
        <v>22</v>
      </c>
      <c r="AS43" s="1" t="s">
        <v>68</v>
      </c>
      <c r="AT43" s="1">
        <v>0.8</v>
      </c>
      <c r="BG43" s="1">
        <v>20</v>
      </c>
      <c r="BH43" s="1">
        <v>0.24</v>
      </c>
      <c r="BI43" s="1">
        <v>0.2</v>
      </c>
      <c r="BJ43" s="1">
        <v>0.18</v>
      </c>
      <c r="BK43" s="1">
        <v>0.15</v>
      </c>
      <c r="BL43" s="1">
        <v>0.11</v>
      </c>
    </row>
    <row r="44" spans="1:72" x14ac:dyDescent="0.25">
      <c r="A44" s="28"/>
      <c r="B44" s="28"/>
      <c r="C44" s="28"/>
      <c r="D44" s="29"/>
      <c r="E44" s="29"/>
      <c r="F44" s="29"/>
      <c r="G44" s="30"/>
      <c r="H44" s="30"/>
      <c r="I44" s="30"/>
      <c r="J44" s="26"/>
      <c r="K44" s="26"/>
      <c r="L44" s="25"/>
      <c r="M44" s="26"/>
      <c r="N44" s="26"/>
      <c r="O44" s="26"/>
      <c r="P44" s="26"/>
      <c r="Q44" s="26"/>
      <c r="R44" s="25"/>
      <c r="S44" s="25"/>
      <c r="T44" s="25"/>
      <c r="U44" s="25"/>
      <c r="V44" s="25"/>
      <c r="W44" s="25"/>
      <c r="X44" s="25"/>
      <c r="AQ44" s="1">
        <v>23</v>
      </c>
      <c r="AS44" s="1" t="s">
        <v>69</v>
      </c>
      <c r="AT44" s="1">
        <v>0.56000000000000005</v>
      </c>
    </row>
    <row r="45" spans="1:72" x14ac:dyDescent="0.25">
      <c r="A45" s="28"/>
      <c r="B45" s="28"/>
      <c r="C45" s="28"/>
      <c r="D45" s="26" t="s">
        <v>70</v>
      </c>
      <c r="E45" s="26"/>
      <c r="F45" s="26"/>
      <c r="G45" s="26"/>
      <c r="H45" s="26"/>
      <c r="I45" s="26"/>
      <c r="J45" s="27" t="s">
        <v>41</v>
      </c>
      <c r="K45" s="27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AQ45" s="1">
        <v>24</v>
      </c>
      <c r="BG45" s="1" t="s">
        <v>26</v>
      </c>
      <c r="BH45" s="1" t="s">
        <v>27</v>
      </c>
      <c r="BI45" s="1">
        <v>2</v>
      </c>
      <c r="BJ45" s="1">
        <v>1</v>
      </c>
      <c r="BK45" s="1">
        <v>0.5</v>
      </c>
      <c r="BL45" s="1">
        <v>0.25</v>
      </c>
      <c r="BP45" s="1" t="s">
        <v>71</v>
      </c>
      <c r="BQ45" s="1" t="s">
        <v>72</v>
      </c>
      <c r="BR45" s="2" t="s">
        <v>73</v>
      </c>
      <c r="BS45" s="1" t="s">
        <v>74</v>
      </c>
      <c r="BT45" s="1" t="s">
        <v>75</v>
      </c>
    </row>
    <row r="46" spans="1:72" x14ac:dyDescent="0.25">
      <c r="A46" s="28"/>
      <c r="B46" s="28"/>
      <c r="C46" s="28"/>
      <c r="D46" s="26"/>
      <c r="E46" s="26"/>
      <c r="F46" s="26"/>
      <c r="G46" s="26"/>
      <c r="H46" s="26"/>
      <c r="I46" s="26"/>
      <c r="J46" s="27"/>
      <c r="K46" s="27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 t="s">
        <v>15</v>
      </c>
      <c r="W46" s="31"/>
      <c r="X46" s="31"/>
      <c r="AQ46" s="1">
        <v>25</v>
      </c>
      <c r="BG46" s="1">
        <v>2</v>
      </c>
      <c r="BH46" s="1">
        <v>1.3</v>
      </c>
      <c r="BI46" s="1">
        <v>0.77</v>
      </c>
      <c r="BJ46" s="1">
        <v>0.55000000000000004</v>
      </c>
      <c r="BK46" s="1">
        <v>0.33</v>
      </c>
      <c r="BL46" s="1">
        <v>0.17</v>
      </c>
      <c r="BP46" s="1" t="s">
        <v>76</v>
      </c>
      <c r="BQ46" s="1" t="s">
        <v>77</v>
      </c>
      <c r="BR46" s="2">
        <v>0.95</v>
      </c>
      <c r="BS46" s="1">
        <v>10</v>
      </c>
      <c r="BT46" s="1" t="s">
        <v>78</v>
      </c>
    </row>
    <row r="47" spans="1:72" x14ac:dyDescent="0.25">
      <c r="A47" s="28"/>
      <c r="B47" s="28"/>
      <c r="C47" s="28"/>
      <c r="D47" s="26" t="s">
        <v>79</v>
      </c>
      <c r="E47" s="26"/>
      <c r="F47" s="26"/>
      <c r="G47" s="26"/>
      <c r="H47" s="26"/>
      <c r="I47" s="26"/>
      <c r="J47" s="27" t="s">
        <v>65</v>
      </c>
      <c r="K47" s="27"/>
      <c r="L47" s="27"/>
      <c r="M47" s="27"/>
      <c r="N47" s="27"/>
      <c r="O47" s="26" t="s">
        <v>80</v>
      </c>
      <c r="P47" s="26"/>
      <c r="Q47" s="26"/>
      <c r="R47" s="27">
        <v>24</v>
      </c>
      <c r="S47" s="27"/>
      <c r="T47" s="26" t="s">
        <v>81</v>
      </c>
      <c r="U47" s="26"/>
      <c r="V47" s="32">
        <f>(J35*2+N35*2)*J39*(J41-L31)*AF47*(VLOOKUP(F33,AN34:AO43,2,FALSE)+IF(J45="TAK",0.5,0))</f>
        <v>385.15899311531842</v>
      </c>
      <c r="W47" s="32"/>
      <c r="X47" s="31"/>
      <c r="AD47" s="1" t="s">
        <v>82</v>
      </c>
      <c r="AF47" s="1">
        <f>1/((R47/100)/VLOOKUP(J47,AS34:AT49,2,FALSE)+(R49/100)/VLOOKUP(J49,AV34:AW49,2,FALSE))</f>
        <v>0.10537865748709123</v>
      </c>
      <c r="BG47" s="1">
        <v>4</v>
      </c>
      <c r="BH47" s="1">
        <v>0.88</v>
      </c>
      <c r="BI47" s="1">
        <v>0.59</v>
      </c>
      <c r="BJ47" s="1">
        <v>0.45</v>
      </c>
      <c r="BK47" s="1">
        <v>0.3</v>
      </c>
      <c r="BL47" s="1">
        <v>0.17</v>
      </c>
      <c r="BP47" s="1" t="s">
        <v>83</v>
      </c>
      <c r="BQ47" s="1" t="s">
        <v>84</v>
      </c>
      <c r="BR47" s="2">
        <v>0.95</v>
      </c>
      <c r="BS47" s="1">
        <v>6.85</v>
      </c>
      <c r="BT47" s="1" t="s">
        <v>85</v>
      </c>
    </row>
    <row r="48" spans="1:72" x14ac:dyDescent="0.25">
      <c r="A48" s="28"/>
      <c r="B48" s="28"/>
      <c r="C48" s="28"/>
      <c r="D48" s="26"/>
      <c r="E48" s="26"/>
      <c r="F48" s="26"/>
      <c r="G48" s="26"/>
      <c r="H48" s="26"/>
      <c r="I48" s="26"/>
      <c r="J48" s="27"/>
      <c r="K48" s="27"/>
      <c r="L48" s="27"/>
      <c r="M48" s="27"/>
      <c r="N48" s="27"/>
      <c r="O48" s="26"/>
      <c r="P48" s="26"/>
      <c r="Q48" s="26"/>
      <c r="R48" s="27"/>
      <c r="S48" s="27"/>
      <c r="T48" s="26"/>
      <c r="U48" s="26"/>
      <c r="V48" s="32"/>
      <c r="W48" s="32"/>
      <c r="X48" s="31"/>
      <c r="AD48" s="1" t="s">
        <v>86</v>
      </c>
      <c r="AF48" s="1">
        <f>1/((R51/100)/VLOOKUP(J51,AV34:AW42,2,FALSE))</f>
        <v>9.1999999999999998E-2</v>
      </c>
      <c r="BG48" s="1">
        <v>6</v>
      </c>
      <c r="BH48" s="1">
        <v>0.68</v>
      </c>
      <c r="BI48" s="1">
        <v>0.48</v>
      </c>
      <c r="BJ48" s="1">
        <v>0.38</v>
      </c>
      <c r="BK48" s="1">
        <v>0.27</v>
      </c>
      <c r="BL48" s="1">
        <v>0.17</v>
      </c>
      <c r="BP48" s="1" t="s">
        <v>87</v>
      </c>
      <c r="BQ48" s="1" t="s">
        <v>84</v>
      </c>
      <c r="BR48" s="2">
        <v>0.9</v>
      </c>
      <c r="BS48" s="1">
        <v>10</v>
      </c>
      <c r="BT48" s="1" t="s">
        <v>85</v>
      </c>
    </row>
    <row r="49" spans="1:72" x14ac:dyDescent="0.25">
      <c r="A49" s="28"/>
      <c r="B49" s="28"/>
      <c r="C49" s="28"/>
      <c r="D49" s="26" t="s">
        <v>88</v>
      </c>
      <c r="E49" s="26"/>
      <c r="F49" s="26"/>
      <c r="G49" s="26"/>
      <c r="H49" s="26"/>
      <c r="I49" s="26"/>
      <c r="J49" s="27" t="s">
        <v>31</v>
      </c>
      <c r="K49" s="27"/>
      <c r="L49" s="27"/>
      <c r="M49" s="27"/>
      <c r="N49" s="27"/>
      <c r="O49" s="26" t="s">
        <v>80</v>
      </c>
      <c r="P49" s="26"/>
      <c r="Q49" s="26"/>
      <c r="R49" s="27">
        <v>20</v>
      </c>
      <c r="S49" s="27"/>
      <c r="T49" s="26" t="s">
        <v>81</v>
      </c>
      <c r="U49" s="26"/>
      <c r="V49" s="32"/>
      <c r="W49" s="32"/>
      <c r="X49" s="31" t="s">
        <v>89</v>
      </c>
      <c r="AD49" s="1" t="s">
        <v>90</v>
      </c>
      <c r="AF49" s="1">
        <f>VLOOKUP(J55,AY34:AZ42,2,FALSE)</f>
        <v>0.63</v>
      </c>
      <c r="BG49" s="1">
        <v>8</v>
      </c>
      <c r="BH49" s="1">
        <v>0.55000000000000004</v>
      </c>
      <c r="BI49" s="1">
        <v>0.41</v>
      </c>
      <c r="BJ49" s="1">
        <v>0.33</v>
      </c>
      <c r="BK49" s="1">
        <v>0.25</v>
      </c>
      <c r="BL49" s="1">
        <v>0.16</v>
      </c>
      <c r="BP49" s="1" t="s">
        <v>91</v>
      </c>
      <c r="BQ49" s="1" t="s">
        <v>92</v>
      </c>
      <c r="BR49" s="2">
        <v>0.85</v>
      </c>
      <c r="BS49" s="1">
        <v>4.9000000000000004</v>
      </c>
      <c r="BT49" s="1" t="s">
        <v>93</v>
      </c>
    </row>
    <row r="50" spans="1:72" x14ac:dyDescent="0.25">
      <c r="A50" s="28"/>
      <c r="B50" s="28"/>
      <c r="C50" s="28"/>
      <c r="D50" s="26"/>
      <c r="E50" s="26"/>
      <c r="F50" s="26"/>
      <c r="G50" s="26"/>
      <c r="H50" s="26"/>
      <c r="I50" s="26"/>
      <c r="J50" s="27"/>
      <c r="K50" s="27"/>
      <c r="L50" s="27"/>
      <c r="M50" s="27"/>
      <c r="N50" s="27"/>
      <c r="O50" s="26"/>
      <c r="P50" s="26"/>
      <c r="Q50" s="26"/>
      <c r="R50" s="27"/>
      <c r="S50" s="27"/>
      <c r="T50" s="26"/>
      <c r="U50" s="26"/>
      <c r="V50" s="32"/>
      <c r="W50" s="32"/>
      <c r="X50" s="31"/>
      <c r="AD50" s="1" t="s">
        <v>94</v>
      </c>
      <c r="AF50" s="1">
        <v>1.5</v>
      </c>
      <c r="AX50" s="1">
        <f>EVEN(AH51)</f>
        <v>6</v>
      </c>
      <c r="BG50" s="1">
        <v>10</v>
      </c>
      <c r="BH50" s="1">
        <v>0.47</v>
      </c>
      <c r="BI50" s="1">
        <v>0.36</v>
      </c>
      <c r="BJ50" s="1">
        <v>0.3</v>
      </c>
      <c r="BK50" s="1">
        <v>0.23</v>
      </c>
      <c r="BL50" s="1">
        <v>0.15</v>
      </c>
      <c r="BP50" s="1" t="s">
        <v>95</v>
      </c>
      <c r="BQ50" s="1" t="s">
        <v>92</v>
      </c>
      <c r="BR50" s="2">
        <v>0.75</v>
      </c>
      <c r="BS50" s="1">
        <v>6.4</v>
      </c>
      <c r="BT50" s="1" t="s">
        <v>93</v>
      </c>
    </row>
    <row r="51" spans="1:72" x14ac:dyDescent="0.25">
      <c r="A51" s="28"/>
      <c r="B51" s="28"/>
      <c r="C51" s="28"/>
      <c r="D51" s="26" t="s">
        <v>96</v>
      </c>
      <c r="E51" s="26"/>
      <c r="F51" s="26"/>
      <c r="G51" s="26"/>
      <c r="H51" s="26"/>
      <c r="I51" s="26"/>
      <c r="J51" s="27" t="s">
        <v>57</v>
      </c>
      <c r="K51" s="27"/>
      <c r="L51" s="27"/>
      <c r="M51" s="27"/>
      <c r="N51" s="27"/>
      <c r="O51" s="26" t="s">
        <v>80</v>
      </c>
      <c r="P51" s="26"/>
      <c r="Q51" s="26"/>
      <c r="R51" s="27">
        <v>25</v>
      </c>
      <c r="S51" s="27"/>
      <c r="T51" s="26" t="s">
        <v>81</v>
      </c>
      <c r="U51" s="26"/>
      <c r="V51" s="32">
        <f>S35*VLOOKUP(F33,AN33:AP40,3,FALSE)*AF48*(J41-L31)</f>
        <v>304.61199999999997</v>
      </c>
      <c r="W51" s="32"/>
      <c r="X51" s="31" t="s">
        <v>89</v>
      </c>
      <c r="AD51" s="1" t="s">
        <v>97</v>
      </c>
      <c r="AF51" s="1">
        <f>1/((R53/100)/VLOOKUP(J53,AV34:AW42,2,FALSE))</f>
        <v>0.31</v>
      </c>
      <c r="AG51" s="1" t="s">
        <v>26</v>
      </c>
      <c r="AH51" s="1">
        <f>EVEN(S35/(0.5*(J35*2+N35*2-(R47+R49)/100*4)))</f>
        <v>6</v>
      </c>
      <c r="AI51" s="1" t="s">
        <v>98</v>
      </c>
      <c r="AJ51" s="1">
        <f>IF(J45="TAK",VLOOKUP(AH51,BG33:BL43,IF(R53=0,2,MATCH(AF51,BG33:BL33,-1))),VLOOKUP(AH51,BG45:BL55,IF(R53=0,2,MATCH(AF51,BG33:BL33,-1))))</f>
        <v>0.27</v>
      </c>
      <c r="BG51" s="1">
        <v>12</v>
      </c>
      <c r="BH51" s="1">
        <v>0.41</v>
      </c>
      <c r="BI51" s="1">
        <v>0.32</v>
      </c>
      <c r="BJ51" s="1">
        <v>0.27</v>
      </c>
      <c r="BK51" s="1">
        <v>0.21</v>
      </c>
      <c r="BL51" s="1">
        <v>0.14000000000000001</v>
      </c>
      <c r="BP51" s="1" t="s">
        <v>99</v>
      </c>
      <c r="BQ51" s="1" t="s">
        <v>92</v>
      </c>
      <c r="BR51" s="2">
        <v>0.55000000000000004</v>
      </c>
      <c r="BS51" s="1">
        <v>7.2</v>
      </c>
      <c r="BT51" s="1" t="s">
        <v>93</v>
      </c>
    </row>
    <row r="52" spans="1:72" x14ac:dyDescent="0.25">
      <c r="A52" s="28"/>
      <c r="B52" s="28"/>
      <c r="C52" s="28"/>
      <c r="D52" s="26"/>
      <c r="E52" s="26"/>
      <c r="F52" s="26"/>
      <c r="G52" s="26"/>
      <c r="H52" s="26"/>
      <c r="I52" s="26"/>
      <c r="J52" s="27"/>
      <c r="K52" s="27"/>
      <c r="L52" s="27"/>
      <c r="M52" s="27"/>
      <c r="N52" s="27"/>
      <c r="O52" s="26"/>
      <c r="P52" s="26"/>
      <c r="Q52" s="26"/>
      <c r="R52" s="27"/>
      <c r="S52" s="27"/>
      <c r="T52" s="26"/>
      <c r="U52" s="26"/>
      <c r="V52" s="32"/>
      <c r="W52" s="32"/>
      <c r="X52" s="31"/>
      <c r="AD52" s="1" t="s">
        <v>24</v>
      </c>
      <c r="AG52" s="1">
        <f>2*J37*J39*VLOOKUP(F33,AN34:AO41,2,FALSE)*3.5*IF(R57&gt;=2,0.03,0.02)*1</f>
        <v>38.5</v>
      </c>
      <c r="AH52" s="1" t="s">
        <v>33</v>
      </c>
      <c r="AI52" s="1" t="s">
        <v>45</v>
      </c>
      <c r="AJ52" s="1" t="s">
        <v>50</v>
      </c>
      <c r="BG52" s="1">
        <v>14</v>
      </c>
      <c r="BH52" s="1">
        <v>0.37</v>
      </c>
      <c r="BI52" s="1">
        <v>0.28999999999999998</v>
      </c>
      <c r="BJ52" s="1">
        <v>0.24</v>
      </c>
      <c r="BK52" s="1">
        <v>0.19</v>
      </c>
      <c r="BL52" s="1">
        <v>0.14000000000000001</v>
      </c>
    </row>
    <row r="53" spans="1:72" x14ac:dyDescent="0.25">
      <c r="A53" s="28"/>
      <c r="B53" s="28"/>
      <c r="C53" s="28"/>
      <c r="D53" s="26" t="s">
        <v>100</v>
      </c>
      <c r="E53" s="26"/>
      <c r="F53" s="26"/>
      <c r="G53" s="26"/>
      <c r="H53" s="26"/>
      <c r="I53" s="26"/>
      <c r="J53" s="27" t="s">
        <v>31</v>
      </c>
      <c r="K53" s="27"/>
      <c r="L53" s="27"/>
      <c r="M53" s="27"/>
      <c r="N53" s="27"/>
      <c r="O53" s="26" t="s">
        <v>80</v>
      </c>
      <c r="P53" s="26"/>
      <c r="Q53" s="26"/>
      <c r="R53" s="27">
        <v>10</v>
      </c>
      <c r="S53" s="27"/>
      <c r="T53" s="26" t="s">
        <v>81</v>
      </c>
      <c r="U53" s="26"/>
      <c r="V53" s="32">
        <f>1.45*((J41-7.6)/(J41-L31))*S35*(S35/(0.5*(J35*2+N35*2)))*AJ51*1.9</f>
        <v>76.786485636114904</v>
      </c>
      <c r="W53" s="32"/>
      <c r="X53" s="31" t="s">
        <v>89</v>
      </c>
      <c r="AH53" s="1">
        <f>0.34*(J41-L31)*0.5*J37*J39*1.2</f>
        <v>2412.2999999999997</v>
      </c>
      <c r="AI53" s="1">
        <f>0.34*AI55*(J41-L31)</f>
        <v>834.19</v>
      </c>
      <c r="AJ53" s="1">
        <f>0.34*AJ55*(J41-L31)</f>
        <v>600.95000000000005</v>
      </c>
      <c r="AX53" s="1">
        <f>VLOOKUP(AH51,BG33:BL43,MATCH(AF51,BG33:BL33,-1))</f>
        <v>0.25</v>
      </c>
      <c r="BG53" s="1">
        <v>16</v>
      </c>
      <c r="BH53" s="1">
        <v>0.33</v>
      </c>
      <c r="BI53" s="1">
        <v>0.26</v>
      </c>
      <c r="BJ53" s="1">
        <v>0.22</v>
      </c>
      <c r="BK53" s="1">
        <v>0.18</v>
      </c>
      <c r="BL53" s="1">
        <v>0.13</v>
      </c>
    </row>
    <row r="54" spans="1:72" x14ac:dyDescent="0.25">
      <c r="A54" s="28"/>
      <c r="B54" s="28"/>
      <c r="C54" s="28"/>
      <c r="D54" s="26"/>
      <c r="E54" s="26"/>
      <c r="F54" s="26"/>
      <c r="G54" s="26"/>
      <c r="H54" s="26"/>
      <c r="I54" s="26"/>
      <c r="J54" s="27"/>
      <c r="K54" s="27"/>
      <c r="L54" s="27"/>
      <c r="M54" s="27"/>
      <c r="N54" s="27"/>
      <c r="O54" s="26"/>
      <c r="P54" s="26"/>
      <c r="Q54" s="26"/>
      <c r="R54" s="27"/>
      <c r="S54" s="27"/>
      <c r="T54" s="26"/>
      <c r="U54" s="26"/>
      <c r="V54" s="32"/>
      <c r="W54" s="32"/>
      <c r="X54" s="31"/>
      <c r="AX54" s="1">
        <f>VLOOKUP(AH51,BG45:BL55,MATCH(AF51,BG33:BL33,-1))</f>
        <v>0.27</v>
      </c>
      <c r="BG54" s="1">
        <v>18</v>
      </c>
      <c r="BH54" s="1">
        <v>0.31</v>
      </c>
      <c r="BI54" s="1">
        <v>0.24</v>
      </c>
      <c r="BJ54" s="1">
        <v>0.21</v>
      </c>
      <c r="BK54" s="1">
        <v>0.17</v>
      </c>
      <c r="BL54" s="1">
        <v>0.12</v>
      </c>
    </row>
    <row r="55" spans="1:72" x14ac:dyDescent="0.25">
      <c r="A55" s="28"/>
      <c r="B55" s="28"/>
      <c r="C55" s="28"/>
      <c r="D55" s="26" t="s">
        <v>101</v>
      </c>
      <c r="E55" s="26"/>
      <c r="F55" s="26"/>
      <c r="G55" s="26"/>
      <c r="H55" s="26"/>
      <c r="I55" s="26"/>
      <c r="J55" s="27" t="s">
        <v>44</v>
      </c>
      <c r="K55" s="27"/>
      <c r="L55" s="27"/>
      <c r="M55" s="27"/>
      <c r="N55" s="27"/>
      <c r="O55" s="30" t="s">
        <v>102</v>
      </c>
      <c r="P55" s="30"/>
      <c r="Q55" s="30"/>
      <c r="R55" s="27">
        <v>6</v>
      </c>
      <c r="S55" s="27"/>
      <c r="T55" s="26" t="s">
        <v>103</v>
      </c>
      <c r="U55" s="26"/>
      <c r="V55" s="32">
        <f>1.5*1.5*R55*AF49*(J41-L31)</f>
        <v>365.71500000000003</v>
      </c>
      <c r="W55" s="32"/>
      <c r="X55" s="31" t="s">
        <v>89</v>
      </c>
      <c r="AI55" s="1">
        <f>AG52+35*AH58+0</f>
        <v>57.058139534883722</v>
      </c>
      <c r="AJ55" s="1">
        <f>AG52+20*AI58+0</f>
        <v>41.104651162790695</v>
      </c>
      <c r="BG55" s="1">
        <v>20</v>
      </c>
      <c r="BH55" s="1">
        <v>0.28000000000000003</v>
      </c>
      <c r="BI55" s="1">
        <v>0.22</v>
      </c>
      <c r="BJ55" s="1">
        <v>0.19</v>
      </c>
      <c r="BK55" s="1">
        <v>0.16</v>
      </c>
      <c r="BL55" s="1">
        <v>0.12</v>
      </c>
    </row>
    <row r="56" spans="1:72" x14ac:dyDescent="0.25">
      <c r="A56" s="28"/>
      <c r="B56" s="28"/>
      <c r="C56" s="28"/>
      <c r="D56" s="26"/>
      <c r="E56" s="26"/>
      <c r="F56" s="26"/>
      <c r="G56" s="26"/>
      <c r="H56" s="26"/>
      <c r="I56" s="26"/>
      <c r="J56" s="27"/>
      <c r="K56" s="27"/>
      <c r="L56" s="27"/>
      <c r="M56" s="27"/>
      <c r="N56" s="27"/>
      <c r="O56" s="30"/>
      <c r="P56" s="30"/>
      <c r="Q56" s="30"/>
      <c r="R56" s="27"/>
      <c r="S56" s="27"/>
      <c r="T56" s="26"/>
      <c r="U56" s="26"/>
      <c r="V56" s="32"/>
      <c r="W56" s="32"/>
      <c r="X56" s="31"/>
    </row>
    <row r="57" spans="1:72" x14ac:dyDescent="0.25">
      <c r="A57" s="28"/>
      <c r="B57" s="28"/>
      <c r="C57" s="28"/>
      <c r="D57" s="26" t="s">
        <v>104</v>
      </c>
      <c r="E57" s="26"/>
      <c r="F57" s="26"/>
      <c r="G57" s="26"/>
      <c r="H57" s="26"/>
      <c r="I57" s="26"/>
      <c r="J57" s="31"/>
      <c r="K57" s="31"/>
      <c r="L57" s="31"/>
      <c r="M57" s="31"/>
      <c r="N57" s="31"/>
      <c r="O57" s="31"/>
      <c r="P57" s="31"/>
      <c r="Q57" s="31"/>
      <c r="R57" s="27">
        <v>1</v>
      </c>
      <c r="S57" s="27"/>
      <c r="T57" s="26" t="s">
        <v>103</v>
      </c>
      <c r="U57" s="26"/>
      <c r="V57" s="32">
        <f>2*1*R57*(J41-L31)</f>
        <v>86</v>
      </c>
      <c r="W57" s="32"/>
      <c r="X57" s="31" t="s">
        <v>89</v>
      </c>
    </row>
    <row r="58" spans="1:72" x14ac:dyDescent="0.25">
      <c r="A58" s="28"/>
      <c r="B58" s="28"/>
      <c r="C58" s="28"/>
      <c r="D58" s="26"/>
      <c r="E58" s="26"/>
      <c r="F58" s="26"/>
      <c r="G58" s="26"/>
      <c r="H58" s="26"/>
      <c r="I58" s="26"/>
      <c r="J58" s="31"/>
      <c r="K58" s="31"/>
      <c r="L58" s="31"/>
      <c r="M58" s="31"/>
      <c r="N58" s="31"/>
      <c r="O58" s="31"/>
      <c r="P58" s="31"/>
      <c r="Q58" s="31"/>
      <c r="R58" s="27"/>
      <c r="S58" s="27"/>
      <c r="T58" s="26"/>
      <c r="U58" s="26"/>
      <c r="V58" s="32"/>
      <c r="W58" s="32"/>
      <c r="X58" s="31"/>
      <c r="AH58" s="1">
        <f>(20-(L31+0.4*(J41-L31)))/(J41-L31)</f>
        <v>0.53023255813953485</v>
      </c>
      <c r="AI58" s="1">
        <f>(20-(L31+0.8*(J41-L31)))/(J41-L31)</f>
        <v>0.13023255813953491</v>
      </c>
    </row>
    <row r="59" spans="1:72" ht="15" customHeight="1" x14ac:dyDescent="0.25">
      <c r="A59" s="25"/>
      <c r="B59" s="25"/>
      <c r="C59" s="25"/>
      <c r="D59" s="26" t="s">
        <v>105</v>
      </c>
      <c r="E59" s="26"/>
      <c r="F59" s="26"/>
      <c r="G59" s="26"/>
      <c r="H59" s="26"/>
      <c r="I59" s="26"/>
      <c r="J59" s="27" t="s">
        <v>33</v>
      </c>
      <c r="K59" s="27"/>
      <c r="L59" s="27"/>
      <c r="M59" s="27"/>
      <c r="N59" s="27"/>
      <c r="O59" s="27"/>
      <c r="P59" s="27"/>
      <c r="Q59" s="27"/>
      <c r="R59" s="31" t="s">
        <v>106</v>
      </c>
      <c r="S59" s="31"/>
      <c r="T59" s="31"/>
      <c r="U59" s="31"/>
      <c r="V59" s="32">
        <f>HLOOKUP(J59,AH52:AJ53,2,FALSE)</f>
        <v>2412.2999999999997</v>
      </c>
      <c r="W59" s="32"/>
      <c r="X59" s="31" t="s">
        <v>89</v>
      </c>
    </row>
    <row r="60" spans="1:72" ht="15" customHeight="1" x14ac:dyDescent="0.25">
      <c r="A60" s="25"/>
      <c r="B60" s="25"/>
      <c r="C60" s="25"/>
      <c r="D60" s="26"/>
      <c r="E60" s="26"/>
      <c r="F60" s="26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31"/>
      <c r="S60" s="31"/>
      <c r="T60" s="31"/>
      <c r="U60" s="31"/>
      <c r="V60" s="32"/>
      <c r="W60" s="32"/>
      <c r="X60" s="31"/>
    </row>
    <row r="61" spans="1:72" ht="15" customHeight="1" x14ac:dyDescent="0.25">
      <c r="A61" s="28">
        <f>T63*J63*T61/2000</f>
        <v>14.4</v>
      </c>
      <c r="B61" s="28"/>
      <c r="C61" s="28"/>
      <c r="D61" s="26" t="s">
        <v>107</v>
      </c>
      <c r="E61" s="26"/>
      <c r="F61" s="26"/>
      <c r="G61" s="26"/>
      <c r="H61" s="26"/>
      <c r="I61" s="26"/>
      <c r="J61" s="27" t="s">
        <v>95</v>
      </c>
      <c r="K61" s="27"/>
      <c r="L61" s="27"/>
      <c r="M61" s="27"/>
      <c r="N61" s="26" t="s">
        <v>108</v>
      </c>
      <c r="O61" s="26"/>
      <c r="P61" s="26"/>
      <c r="Q61" s="26"/>
      <c r="R61" s="26"/>
      <c r="S61" s="26"/>
      <c r="T61" s="33">
        <f>VLOOKUP(J61,Tabela12[#All],3,FALSE)</f>
        <v>0.75</v>
      </c>
      <c r="U61" s="33"/>
      <c r="V61" s="31"/>
      <c r="W61" s="31"/>
      <c r="X61" s="31"/>
    </row>
    <row r="62" spans="1:72" ht="15" customHeight="1" x14ac:dyDescent="0.25">
      <c r="A62" s="28"/>
      <c r="B62" s="28"/>
      <c r="C62" s="28"/>
      <c r="D62" s="26"/>
      <c r="E62" s="26"/>
      <c r="F62" s="26"/>
      <c r="G62" s="26"/>
      <c r="H62" s="26"/>
      <c r="I62" s="26"/>
      <c r="J62" s="27"/>
      <c r="K62" s="27"/>
      <c r="L62" s="27"/>
      <c r="M62" s="27"/>
      <c r="N62" s="26"/>
      <c r="O62" s="26"/>
      <c r="P62" s="26"/>
      <c r="Q62" s="26"/>
      <c r="R62" s="26"/>
      <c r="S62" s="26"/>
      <c r="T62" s="33"/>
      <c r="U62" s="33"/>
      <c r="V62" s="31"/>
      <c r="W62" s="31"/>
      <c r="X62" s="31"/>
    </row>
    <row r="63" spans="1:72" ht="15" customHeight="1" x14ac:dyDescent="0.25">
      <c r="A63" s="28"/>
      <c r="B63" s="28"/>
      <c r="C63" s="28"/>
      <c r="D63" s="26" t="s">
        <v>109</v>
      </c>
      <c r="E63" s="26"/>
      <c r="F63" s="26"/>
      <c r="G63" s="26"/>
      <c r="H63" s="26"/>
      <c r="I63" s="26"/>
      <c r="J63" s="34">
        <v>6000</v>
      </c>
      <c r="K63" s="34"/>
      <c r="L63" s="34"/>
      <c r="M63" s="35" t="str">
        <f>VLOOKUP(J61,Tabela12[#All],2,FALSE)</f>
        <v>kg</v>
      </c>
      <c r="N63" s="26" t="s">
        <v>110</v>
      </c>
      <c r="O63" s="26"/>
      <c r="P63" s="26"/>
      <c r="Q63" s="26"/>
      <c r="R63" s="26"/>
      <c r="S63" s="26"/>
      <c r="T63" s="36">
        <f>VLOOKUP(J61,Tabela12[#All],4,FALSE)</f>
        <v>6.4</v>
      </c>
      <c r="U63" s="37" t="str">
        <f>VLOOKUP(J61,Tabela12[#All],5,FALSE)</f>
        <v>kWh/kg</v>
      </c>
      <c r="V63" s="37"/>
      <c r="W63" s="31"/>
      <c r="X63" s="31"/>
      <c r="BP63" s="1" t="s">
        <v>71</v>
      </c>
    </row>
    <row r="64" spans="1:72" ht="15" customHeight="1" x14ac:dyDescent="0.25">
      <c r="A64" s="28"/>
      <c r="B64" s="28"/>
      <c r="C64" s="28"/>
      <c r="D64" s="26"/>
      <c r="E64" s="26"/>
      <c r="F64" s="26"/>
      <c r="G64" s="26"/>
      <c r="H64" s="26"/>
      <c r="I64" s="26"/>
      <c r="J64" s="34"/>
      <c r="K64" s="34"/>
      <c r="L64" s="34"/>
      <c r="M64" s="35"/>
      <c r="N64" s="26"/>
      <c r="O64" s="26"/>
      <c r="P64" s="26"/>
      <c r="Q64" s="26"/>
      <c r="R64" s="26"/>
      <c r="S64" s="26"/>
      <c r="T64" s="36"/>
      <c r="U64" s="37"/>
      <c r="V64" s="37"/>
      <c r="W64" s="31"/>
      <c r="X64" s="31"/>
      <c r="BP64" s="1" t="s">
        <v>111</v>
      </c>
    </row>
    <row r="65" spans="1:68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BP65" s="1" t="s">
        <v>112</v>
      </c>
    </row>
    <row r="66" spans="1:68" x14ac:dyDescent="0.25">
      <c r="A66" s="26" t="s">
        <v>113</v>
      </c>
      <c r="B66" s="26"/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68" x14ac:dyDescent="0.25">
      <c r="A67" s="26"/>
      <c r="B67" s="26"/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68" x14ac:dyDescent="0.25">
      <c r="A68" s="38">
        <v>0.5</v>
      </c>
      <c r="B68" s="38"/>
      <c r="C68" s="38"/>
      <c r="D68" s="29" t="s">
        <v>114</v>
      </c>
      <c r="E68" s="29"/>
      <c r="F68" s="29"/>
      <c r="G68" s="39">
        <v>4</v>
      </c>
      <c r="H68" s="39"/>
      <c r="I68" s="29" t="s">
        <v>115</v>
      </c>
      <c r="J68" s="29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68" x14ac:dyDescent="0.25">
      <c r="A69" s="38"/>
      <c r="B69" s="38"/>
      <c r="C69" s="38"/>
      <c r="D69" s="29"/>
      <c r="E69" s="29"/>
      <c r="F69" s="29"/>
      <c r="G69" s="39"/>
      <c r="H69" s="39"/>
      <c r="I69" s="29"/>
      <c r="J69" s="29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68" x14ac:dyDescent="0.25">
      <c r="A70" s="38"/>
      <c r="B70" s="38"/>
      <c r="C70" s="38"/>
      <c r="D70" s="29" t="s">
        <v>116</v>
      </c>
      <c r="E70" s="29"/>
      <c r="F70" s="29"/>
      <c r="G70" s="29"/>
      <c r="H70" s="29"/>
      <c r="I70" s="29" t="s">
        <v>34</v>
      </c>
      <c r="J70" s="29"/>
      <c r="K70" s="29"/>
      <c r="L70" s="29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68" x14ac:dyDescent="0.25">
      <c r="A71" s="38"/>
      <c r="B71" s="38"/>
      <c r="C71" s="38"/>
      <c r="D71" s="29"/>
      <c r="E71" s="29"/>
      <c r="F71" s="29"/>
      <c r="G71" s="29"/>
      <c r="H71" s="29"/>
      <c r="I71" s="29"/>
      <c r="J71" s="29"/>
      <c r="K71" s="29"/>
      <c r="L71" s="29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68" x14ac:dyDescent="0.25">
      <c r="A72" s="38"/>
      <c r="B72" s="38"/>
      <c r="C72" s="38"/>
      <c r="D72" s="30" t="s">
        <v>117</v>
      </c>
      <c r="E72" s="30"/>
      <c r="F72" s="30"/>
      <c r="G72" s="30"/>
      <c r="H72" s="30"/>
      <c r="I72" s="27">
        <f>G68*VLOOKUP(I70,BC34:BD36,2,FALSE)</f>
        <v>200</v>
      </c>
      <c r="J72" s="27"/>
      <c r="K72" s="27"/>
      <c r="L72" s="29" t="s">
        <v>84</v>
      </c>
      <c r="M72" s="29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68" x14ac:dyDescent="0.25">
      <c r="A73" s="38"/>
      <c r="B73" s="38"/>
      <c r="C73" s="38"/>
      <c r="D73" s="30"/>
      <c r="E73" s="30"/>
      <c r="F73" s="30"/>
      <c r="G73" s="30"/>
      <c r="H73" s="30"/>
      <c r="I73" s="27"/>
      <c r="J73" s="27"/>
      <c r="K73" s="27"/>
      <c r="L73" s="29"/>
      <c r="M73" s="29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6" spans="1:68" x14ac:dyDescent="0.25">
      <c r="A76" s="40" t="s">
        <v>118</v>
      </c>
      <c r="B76" s="40"/>
      <c r="C76" s="40"/>
      <c r="D76" s="40"/>
      <c r="E76" s="40"/>
      <c r="F76" s="40"/>
      <c r="G76" s="40"/>
      <c r="H76" s="41" t="s">
        <v>111</v>
      </c>
      <c r="I76" s="41"/>
      <c r="J76" s="41"/>
      <c r="K76" s="41"/>
      <c r="L76" s="41"/>
      <c r="M76" s="41"/>
      <c r="N76" s="41"/>
      <c r="O76" s="41"/>
      <c r="P76" s="41"/>
      <c r="Q76" s="41"/>
    </row>
    <row r="77" spans="1:68" x14ac:dyDescent="0.25">
      <c r="A77" s="40"/>
      <c r="B77" s="40"/>
      <c r="C77" s="40"/>
      <c r="D77" s="40"/>
      <c r="E77" s="40"/>
      <c r="F77" s="40"/>
      <c r="G77" s="40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 spans="1:68" x14ac:dyDescent="0.25">
      <c r="A78" s="40"/>
      <c r="B78" s="40"/>
      <c r="C78" s="40"/>
      <c r="D78" s="40"/>
      <c r="E78" s="40"/>
      <c r="F78" s="40"/>
      <c r="G78" s="40"/>
      <c r="H78" s="41"/>
      <c r="I78" s="41"/>
      <c r="J78" s="41"/>
      <c r="K78" s="41"/>
      <c r="L78" s="41"/>
      <c r="M78" s="41"/>
      <c r="N78" s="41"/>
      <c r="O78" s="41"/>
      <c r="P78" s="41"/>
      <c r="Q78" s="41"/>
    </row>
  </sheetData>
  <mergeCells count="103">
    <mergeCell ref="L72:M73"/>
    <mergeCell ref="A76:G78"/>
    <mergeCell ref="H76:Q78"/>
    <mergeCell ref="U63:V64"/>
    <mergeCell ref="A66:C67"/>
    <mergeCell ref="A68:C73"/>
    <mergeCell ref="D68:F69"/>
    <mergeCell ref="G68:H69"/>
    <mergeCell ref="I68:J69"/>
    <mergeCell ref="D70:H71"/>
    <mergeCell ref="I70:L71"/>
    <mergeCell ref="D72:H73"/>
    <mergeCell ref="I72:K73"/>
    <mergeCell ref="A61:C64"/>
    <mergeCell ref="D61:I62"/>
    <mergeCell ref="J61:M62"/>
    <mergeCell ref="N61:S62"/>
    <mergeCell ref="T61:U62"/>
    <mergeCell ref="D63:I64"/>
    <mergeCell ref="J63:L64"/>
    <mergeCell ref="M63:M64"/>
    <mergeCell ref="N63:S64"/>
    <mergeCell ref="T63:T64"/>
    <mergeCell ref="D57:I58"/>
    <mergeCell ref="R57:S58"/>
    <mergeCell ref="T57:U58"/>
    <mergeCell ref="V57:W58"/>
    <mergeCell ref="D59:I60"/>
    <mergeCell ref="J59:Q60"/>
    <mergeCell ref="V59:W60"/>
    <mergeCell ref="D55:I56"/>
    <mergeCell ref="J55:N56"/>
    <mergeCell ref="O55:Q56"/>
    <mergeCell ref="R55:S56"/>
    <mergeCell ref="T55:U56"/>
    <mergeCell ref="V55:W56"/>
    <mergeCell ref="D53:I54"/>
    <mergeCell ref="J53:N54"/>
    <mergeCell ref="O53:Q54"/>
    <mergeCell ref="R53:S54"/>
    <mergeCell ref="T53:U54"/>
    <mergeCell ref="V53:W54"/>
    <mergeCell ref="D51:I52"/>
    <mergeCell ref="J51:N52"/>
    <mergeCell ref="O51:Q52"/>
    <mergeCell ref="R51:S52"/>
    <mergeCell ref="T51:U52"/>
    <mergeCell ref="V51:W52"/>
    <mergeCell ref="T47:U48"/>
    <mergeCell ref="V47:W50"/>
    <mergeCell ref="D49:I50"/>
    <mergeCell ref="J49:N50"/>
    <mergeCell ref="O49:Q50"/>
    <mergeCell ref="R49:S50"/>
    <mergeCell ref="T49:U50"/>
    <mergeCell ref="D45:I46"/>
    <mergeCell ref="J45:K46"/>
    <mergeCell ref="D47:I48"/>
    <mergeCell ref="J47:N48"/>
    <mergeCell ref="O47:Q48"/>
    <mergeCell ref="R47:S48"/>
    <mergeCell ref="D41:F42"/>
    <mergeCell ref="G41:I42"/>
    <mergeCell ref="J41:K42"/>
    <mergeCell ref="M41:O42"/>
    <mergeCell ref="P41:Q42"/>
    <mergeCell ref="D43:F44"/>
    <mergeCell ref="G43:I44"/>
    <mergeCell ref="J43:K44"/>
    <mergeCell ref="M43:O44"/>
    <mergeCell ref="P43:Q44"/>
    <mergeCell ref="Q35:R36"/>
    <mergeCell ref="S35:U36"/>
    <mergeCell ref="V35:W36"/>
    <mergeCell ref="A37:C58"/>
    <mergeCell ref="D37:I38"/>
    <mergeCell ref="J37:L38"/>
    <mergeCell ref="M37:N38"/>
    <mergeCell ref="D39:I40"/>
    <mergeCell ref="J39:L40"/>
    <mergeCell ref="M39:N40"/>
    <mergeCell ref="D31:F32"/>
    <mergeCell ref="G31:K32"/>
    <mergeCell ref="L31:M32"/>
    <mergeCell ref="A33:E34"/>
    <mergeCell ref="F33:N34"/>
    <mergeCell ref="A35:C36"/>
    <mergeCell ref="D35:I36"/>
    <mergeCell ref="J35:L36"/>
    <mergeCell ref="M35:M36"/>
    <mergeCell ref="N35:P36"/>
    <mergeCell ref="B7:J7"/>
    <mergeCell ref="L7:T7"/>
    <mergeCell ref="B8:J8"/>
    <mergeCell ref="L8:T8"/>
    <mergeCell ref="B9:J9"/>
    <mergeCell ref="A28:X29"/>
    <mergeCell ref="B4:J4"/>
    <mergeCell ref="L4:S4"/>
    <mergeCell ref="B5:J5"/>
    <mergeCell ref="L5:S5"/>
    <mergeCell ref="B6:J6"/>
    <mergeCell ref="L6:S6"/>
  </mergeCells>
  <dataValidations count="10">
    <dataValidation type="list" allowBlank="1" showInputMessage="1" showErrorMessage="1" sqref="B9:J9" xr:uid="{4073E703-84BF-4618-8E4B-7AE679918EE9}">
      <formula1>$AE$2:$AE$3</formula1>
    </dataValidation>
    <dataValidation type="list" allowBlank="1" showInputMessage="1" showErrorMessage="1" sqref="H76:Q78" xr:uid="{8F9FD31C-C497-4782-8A6F-34F6243F8087}">
      <formula1>$BP$64:$BP$65</formula1>
    </dataValidation>
    <dataValidation type="list" allowBlank="1" showInputMessage="1" showErrorMessage="1" sqref="J61:M62" xr:uid="{0856114D-BD44-4D11-A0D5-F45DBA85877A}">
      <formula1>$BP$46:$BP$51</formula1>
    </dataValidation>
    <dataValidation type="list" allowBlank="1" showInputMessage="1" showErrorMessage="1" sqref="F33:N34" xr:uid="{2898DB09-A20A-4E8A-BA85-A4792DFC13F1}">
      <formula1>$AN$34:$AN$40</formula1>
    </dataValidation>
    <dataValidation type="list" allowBlank="1" showInputMessage="1" showErrorMessage="1" sqref="I70:L71" xr:uid="{4B2EDFE1-FFA2-4E8B-9B47-61BAF76D89D6}">
      <formula1>$BC$34:$BC$36</formula1>
    </dataValidation>
    <dataValidation type="list" allowBlank="1" showInputMessage="1" showErrorMessage="1" sqref="J45:K46" xr:uid="{F4B645F7-A8D5-423F-B31A-3C5383D2D984}">
      <formula1>$AR$34:$AR$35</formula1>
    </dataValidation>
    <dataValidation type="list" allowBlank="1" showInputMessage="1" showErrorMessage="1" sqref="J59:Q60" xr:uid="{447CB67A-1EE1-43EE-936B-80961270CA16}">
      <formula1>$BA$34:$BA$37</formula1>
    </dataValidation>
    <dataValidation type="list" allowBlank="1" showInputMessage="1" showErrorMessage="1" sqref="J55:N56" xr:uid="{C6B40BC7-C6FF-4D9C-8912-D40F5AD67E3A}">
      <formula1>$AY$34:$AY$36</formula1>
    </dataValidation>
    <dataValidation type="list" allowBlank="1" showInputMessage="1" showErrorMessage="1" sqref="J49:N54" xr:uid="{5FF0B465-9733-4BE4-9EBD-AB2EBC94E48D}">
      <formula1>$AV$34:$AV$43</formula1>
    </dataValidation>
    <dataValidation type="list" allowBlank="1" showInputMessage="1" showErrorMessage="1" sqref="J47:N48" xr:uid="{4AB1D1A7-ED89-4BDC-9186-3F01F32F3484}">
      <formula1>$AS$34:$AS$50</formula1>
    </dataValidation>
  </dataValidations>
  <hyperlinks>
    <hyperlink ref="B8" r:id="rId1" xr:uid="{B29952EC-D31D-4C38-B478-5FBD5B61C336}"/>
  </hyperlinks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39CA-E45B-41F3-8FA9-666E4543FFF1}">
  <dimension ref="A2:AQ122"/>
  <sheetViews>
    <sheetView tabSelected="1" workbookViewId="0">
      <selection activeCell="G12" sqref="G12:M13"/>
    </sheetView>
  </sheetViews>
  <sheetFormatPr defaultRowHeight="15" x14ac:dyDescent="0.25"/>
  <cols>
    <col min="9" max="9" width="13.85546875" customWidth="1"/>
    <col min="10" max="10" width="5.7109375" customWidth="1"/>
    <col min="19" max="19" width="11.5703125" bestFit="1" customWidth="1"/>
    <col min="31" max="31" width="12.28515625" customWidth="1"/>
    <col min="33" max="33" width="14.42578125" customWidth="1"/>
    <col min="34" max="34" width="12.28515625" customWidth="1"/>
    <col min="35" max="35" width="30.5703125" customWidth="1"/>
    <col min="36" max="36" width="9.140625" customWidth="1"/>
    <col min="37" max="37" width="14.42578125" customWidth="1"/>
    <col min="38" max="38" width="10.140625" customWidth="1"/>
    <col min="39" max="39" width="12" customWidth="1"/>
    <col min="40" max="40" width="11.5703125" customWidth="1"/>
    <col min="41" max="41" width="14.42578125" bestFit="1" customWidth="1"/>
    <col min="42" max="42" width="11.5703125" bestFit="1" customWidth="1"/>
    <col min="43" max="43" width="26.7109375" bestFit="1" customWidth="1"/>
  </cols>
  <sheetData>
    <row r="2" spans="1:43" x14ac:dyDescent="0.25">
      <c r="A2" s="42" t="s">
        <v>119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AO2" s="43"/>
      <c r="AP2" s="43"/>
      <c r="AQ2" s="43"/>
    </row>
    <row r="3" spans="1:43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AK3" t="str" cm="1">
        <f t="array" aca="1" ref="AK3:AK5" ca="1">OFFSET(OFERTA!$AK$8,1,0,COUNTA(OFERTA!$AK$9:$AK$40),1)</f>
        <v>Panasonic</v>
      </c>
      <c r="AL3" t="str" cm="1">
        <f t="array" aca="1" ref="AL3:AL5" ca="1">OFFSET(OFERTA!$AN$8,MATCH(OFERTA!$G$6,OFERTA!$AM$9:$AM$57,0),0,COUNTIF(OFERTA!$AM$9:$AM$57,OFERTA!$G$6),1)</f>
        <v>SPLIT</v>
      </c>
      <c r="AO3" t="str" cm="1">
        <f t="array" aca="1" ref="AO3:AO15" ca="1">OFFSET(OFERTA!$AI$8,MATCH(OFERTA!$G$6&amp;OFERTA!$G$9,OFERTA!$AG$9:$AG$187&amp;OFERTA!$AH$9:$AH$187,0),0,COUNTIFS(OFERTA!$AG$9:$AG$187,OFERTA!$G$6,OFERTA!$AH$9:$AH$187,OFERTA!$G$9),1)</f>
        <v>High Performance 3kW Split 1f</v>
      </c>
    </row>
    <row r="4" spans="1:43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AK4" t="str">
        <f ca="1"/>
        <v>LG</v>
      </c>
      <c r="AL4" t="str">
        <f ca="1"/>
        <v>ALL IN ONE</v>
      </c>
      <c r="AO4" t="str">
        <f ca="1"/>
        <v>High Performance 5kW Split 1f</v>
      </c>
      <c r="AP4" s="44"/>
    </row>
    <row r="5" spans="1:43" x14ac:dyDescent="0.25">
      <c r="AE5" s="45"/>
      <c r="AK5" t="str">
        <f ca="1"/>
        <v>Daikin</v>
      </c>
      <c r="AL5" t="str">
        <f ca="1"/>
        <v>MONOBLOK</v>
      </c>
      <c r="AO5" t="str">
        <f ca="1"/>
        <v>High Performance 7kW Split 1f</v>
      </c>
      <c r="AP5" s="45"/>
    </row>
    <row r="6" spans="1:43" x14ac:dyDescent="0.25">
      <c r="A6" s="46" t="s">
        <v>120</v>
      </c>
      <c r="B6" s="46"/>
      <c r="C6" s="46"/>
      <c r="D6" s="46"/>
      <c r="E6" s="46"/>
      <c r="F6" s="46"/>
      <c r="G6" s="47" t="s">
        <v>128</v>
      </c>
      <c r="H6" s="47"/>
      <c r="I6" s="47"/>
      <c r="J6" s="47"/>
      <c r="K6" s="47"/>
      <c r="L6" s="47"/>
      <c r="M6" s="47"/>
      <c r="O6" s="46" t="s">
        <v>122</v>
      </c>
      <c r="P6" s="46"/>
      <c r="Q6" s="46"/>
      <c r="R6" s="46"/>
      <c r="S6" s="46"/>
      <c r="T6" s="46"/>
      <c r="U6" s="48">
        <v>4.5157314718667516</v>
      </c>
      <c r="V6" s="49"/>
      <c r="W6" s="49"/>
      <c r="X6" s="50" t="s">
        <v>123</v>
      </c>
      <c r="Y6" s="50"/>
      <c r="Z6" s="51"/>
      <c r="AE6" s="52"/>
      <c r="AO6" t="str">
        <f ca="1"/>
        <v>High Performance 9kW Split 1f</v>
      </c>
      <c r="AP6" s="45"/>
    </row>
    <row r="7" spans="1:43" x14ac:dyDescent="0.25">
      <c r="A7" s="46"/>
      <c r="B7" s="46"/>
      <c r="C7" s="46"/>
      <c r="D7" s="46"/>
      <c r="E7" s="46"/>
      <c r="F7" s="46"/>
      <c r="G7" s="47"/>
      <c r="H7" s="47"/>
      <c r="I7" s="47"/>
      <c r="J7" s="47"/>
      <c r="K7" s="47"/>
      <c r="L7" s="47"/>
      <c r="M7" s="47"/>
      <c r="O7" s="46"/>
      <c r="P7" s="46"/>
      <c r="Q7" s="46"/>
      <c r="R7" s="46"/>
      <c r="S7" s="46"/>
      <c r="T7" s="46"/>
      <c r="U7" s="53"/>
      <c r="V7" s="54"/>
      <c r="W7" s="54"/>
      <c r="X7" s="55"/>
      <c r="Y7" s="55"/>
      <c r="Z7" s="56"/>
      <c r="AG7" s="43"/>
      <c r="AH7" s="43"/>
      <c r="AI7" s="43"/>
      <c r="AK7" s="43"/>
      <c r="AL7" s="43"/>
      <c r="AM7" s="43"/>
      <c r="AO7" t="str">
        <f ca="1"/>
        <v>High Performance 12kW Split 1f</v>
      </c>
      <c r="AP7" s="45"/>
    </row>
    <row r="8" spans="1:43" x14ac:dyDescent="0.25">
      <c r="A8" s="57"/>
      <c r="B8" s="57"/>
      <c r="C8" s="57"/>
      <c r="D8" s="57"/>
      <c r="E8" s="57"/>
      <c r="F8" s="57"/>
      <c r="G8" s="58"/>
      <c r="H8" s="58"/>
      <c r="I8" s="58"/>
      <c r="J8" s="58"/>
      <c r="K8" s="58"/>
      <c r="L8" s="58"/>
      <c r="M8" s="58"/>
      <c r="AG8" t="s">
        <v>120</v>
      </c>
      <c r="AH8" t="s">
        <v>124</v>
      </c>
      <c r="AI8" t="s">
        <v>125</v>
      </c>
      <c r="AJ8" t="s">
        <v>126</v>
      </c>
      <c r="AK8" s="59" t="s">
        <v>120</v>
      </c>
      <c r="AM8" s="59" t="s">
        <v>120</v>
      </c>
      <c r="AN8" s="59" t="s">
        <v>124</v>
      </c>
      <c r="AO8" t="str">
        <f ca="1"/>
        <v>High Performance 12kW Split 3f</v>
      </c>
      <c r="AP8" s="45"/>
    </row>
    <row r="9" spans="1:43" x14ac:dyDescent="0.25">
      <c r="A9" s="46" t="s">
        <v>124</v>
      </c>
      <c r="B9" s="46"/>
      <c r="C9" s="46"/>
      <c r="D9" s="46"/>
      <c r="E9" s="46"/>
      <c r="F9" s="46"/>
      <c r="G9" s="47" t="s">
        <v>127</v>
      </c>
      <c r="H9" s="47"/>
      <c r="I9" s="47"/>
      <c r="J9" s="47"/>
      <c r="K9" s="47"/>
      <c r="L9" s="47"/>
      <c r="M9" s="47"/>
      <c r="AE9" s="60"/>
      <c r="AG9" t="s">
        <v>128</v>
      </c>
      <c r="AH9" t="s">
        <v>127</v>
      </c>
      <c r="AI9" t="s">
        <v>184</v>
      </c>
      <c r="AK9" s="61" t="s">
        <v>128</v>
      </c>
      <c r="AM9" s="61" t="s">
        <v>128</v>
      </c>
      <c r="AN9" s="61" t="s">
        <v>127</v>
      </c>
      <c r="AO9" t="str">
        <f ca="1"/>
        <v>High Performance 16kW Split 1f</v>
      </c>
      <c r="AP9" s="45"/>
    </row>
    <row r="10" spans="1:43" x14ac:dyDescent="0.25">
      <c r="A10" s="46"/>
      <c r="B10" s="46"/>
      <c r="C10" s="46"/>
      <c r="D10" s="46"/>
      <c r="E10" s="46"/>
      <c r="F10" s="46"/>
      <c r="G10" s="47"/>
      <c r="H10" s="47"/>
      <c r="I10" s="47"/>
      <c r="J10" s="47"/>
      <c r="K10" s="47"/>
      <c r="L10" s="47"/>
      <c r="M10" s="47"/>
      <c r="AE10" s="62"/>
      <c r="AG10" t="s">
        <v>128</v>
      </c>
      <c r="AH10" t="s">
        <v>127</v>
      </c>
      <c r="AI10" t="s">
        <v>187</v>
      </c>
      <c r="AK10" s="61" t="s">
        <v>129</v>
      </c>
      <c r="AM10" s="61" t="s">
        <v>128</v>
      </c>
      <c r="AN10" s="61" t="s">
        <v>130</v>
      </c>
      <c r="AO10" t="str">
        <f ca="1"/>
        <v>High Performance 16kW Split 3f</v>
      </c>
      <c r="AP10" s="45"/>
    </row>
    <row r="11" spans="1:43" x14ac:dyDescent="0.25">
      <c r="A11" s="57"/>
      <c r="B11" s="57"/>
      <c r="C11" s="57"/>
      <c r="D11" s="57"/>
      <c r="E11" s="57"/>
      <c r="F11" s="57"/>
      <c r="G11" s="58"/>
      <c r="H11" s="58"/>
      <c r="I11" s="58"/>
      <c r="J11" s="58"/>
      <c r="K11" s="58"/>
      <c r="L11" s="58"/>
      <c r="M11" s="58"/>
      <c r="AE11" s="62"/>
      <c r="AG11" t="s">
        <v>128</v>
      </c>
      <c r="AH11" t="s">
        <v>127</v>
      </c>
      <c r="AI11" t="s">
        <v>189</v>
      </c>
      <c r="AK11" s="61" t="s">
        <v>121</v>
      </c>
      <c r="AM11" s="61" t="s">
        <v>128</v>
      </c>
      <c r="AN11" s="61" t="s">
        <v>131</v>
      </c>
      <c r="AO11" t="str">
        <f ca="1"/>
        <v>T-CAP 9kW Split 1f</v>
      </c>
      <c r="AP11" s="45"/>
    </row>
    <row r="12" spans="1:43" x14ac:dyDescent="0.25">
      <c r="A12" s="46" t="s">
        <v>125</v>
      </c>
      <c r="B12" s="46"/>
      <c r="C12" s="46"/>
      <c r="D12" s="46"/>
      <c r="E12" s="46"/>
      <c r="F12" s="46"/>
      <c r="G12" s="47" t="s">
        <v>189</v>
      </c>
      <c r="H12" s="47"/>
      <c r="I12" s="47"/>
      <c r="J12" s="47"/>
      <c r="K12" s="47"/>
      <c r="L12" s="47"/>
      <c r="M12" s="47"/>
      <c r="AE12" s="63"/>
      <c r="AG12" t="s">
        <v>128</v>
      </c>
      <c r="AH12" t="s">
        <v>127</v>
      </c>
      <c r="AI12" t="s">
        <v>191</v>
      </c>
      <c r="AM12" s="61" t="s">
        <v>129</v>
      </c>
      <c r="AN12" s="61" t="s">
        <v>127</v>
      </c>
      <c r="AO12" t="str">
        <f ca="1"/>
        <v>T-CAP 9kW Split 3f</v>
      </c>
      <c r="AP12" s="45"/>
    </row>
    <row r="13" spans="1:43" x14ac:dyDescent="0.25">
      <c r="A13" s="46"/>
      <c r="B13" s="46"/>
      <c r="C13" s="46"/>
      <c r="D13" s="46"/>
      <c r="E13" s="46"/>
      <c r="F13" s="46"/>
      <c r="G13" s="47"/>
      <c r="H13" s="47"/>
      <c r="I13" s="47"/>
      <c r="J13" s="47"/>
      <c r="K13" s="47"/>
      <c r="L13" s="47"/>
      <c r="M13" s="47"/>
      <c r="AG13" t="s">
        <v>128</v>
      </c>
      <c r="AH13" t="s">
        <v>127</v>
      </c>
      <c r="AI13" t="s">
        <v>193</v>
      </c>
      <c r="AM13" s="64" t="s">
        <v>129</v>
      </c>
      <c r="AN13" s="64" t="s">
        <v>130</v>
      </c>
      <c r="AO13" t="str">
        <f ca="1"/>
        <v>T-CAP 12kW Split 1f</v>
      </c>
      <c r="AP13" s="45"/>
    </row>
    <row r="14" spans="1:43" x14ac:dyDescent="0.25">
      <c r="A14" s="65"/>
      <c r="B14" s="65"/>
      <c r="C14" s="65"/>
      <c r="D14" s="65"/>
      <c r="E14" s="65"/>
      <c r="F14" s="65"/>
      <c r="AG14" t="s">
        <v>128</v>
      </c>
      <c r="AH14" t="s">
        <v>127</v>
      </c>
      <c r="AI14" t="s">
        <v>196</v>
      </c>
      <c r="AM14" s="61" t="s">
        <v>129</v>
      </c>
      <c r="AN14" s="61" t="s">
        <v>131</v>
      </c>
      <c r="AO14" t="str">
        <f ca="1"/>
        <v>T-CAP 12kW Split 3f</v>
      </c>
      <c r="AP14" s="45"/>
    </row>
    <row r="15" spans="1:43" x14ac:dyDescent="0.25">
      <c r="A15" s="66" t="s">
        <v>133</v>
      </c>
      <c r="B15" s="66"/>
      <c r="C15" s="66"/>
      <c r="D15" s="66"/>
      <c r="E15" s="66"/>
      <c r="F15" s="67"/>
      <c r="G15" s="47" t="str">
        <f>IF($G$9="MONOBLOK","BRAK",VLOOKUP(OFERTA!$G$12,'BAZA PC'!$C$3:$M$126,3,FALSE))</f>
        <v>WH-SDC0309K3E5</v>
      </c>
      <c r="H15" s="47"/>
      <c r="I15" s="47"/>
      <c r="J15" s="47"/>
      <c r="K15" s="47"/>
      <c r="L15" s="47"/>
      <c r="M15" s="47"/>
      <c r="AG15" t="s">
        <v>128</v>
      </c>
      <c r="AH15" t="s">
        <v>127</v>
      </c>
      <c r="AI15" t="s">
        <v>199</v>
      </c>
      <c r="AM15" s="61" t="s">
        <v>121</v>
      </c>
      <c r="AN15" s="61" t="s">
        <v>127</v>
      </c>
      <c r="AO15" t="str">
        <f ca="1"/>
        <v>T-CAP 16kW Split 3f</v>
      </c>
      <c r="AP15" s="45"/>
    </row>
    <row r="16" spans="1:43" x14ac:dyDescent="0.25">
      <c r="A16" s="66"/>
      <c r="B16" s="66"/>
      <c r="C16" s="66"/>
      <c r="D16" s="66"/>
      <c r="E16" s="66"/>
      <c r="F16" s="67"/>
      <c r="G16" s="47"/>
      <c r="H16" s="47"/>
      <c r="I16" s="47"/>
      <c r="J16" s="47"/>
      <c r="K16" s="47"/>
      <c r="L16" s="47"/>
      <c r="M16" s="47"/>
      <c r="AG16" t="s">
        <v>128</v>
      </c>
      <c r="AH16" t="s">
        <v>127</v>
      </c>
      <c r="AI16" t="s">
        <v>202</v>
      </c>
      <c r="AM16" s="64" t="s">
        <v>121</v>
      </c>
      <c r="AN16" s="64" t="s">
        <v>130</v>
      </c>
      <c r="AP16" s="45"/>
    </row>
    <row r="17" spans="1:42" x14ac:dyDescent="0.25">
      <c r="A17" s="66" t="s">
        <v>134</v>
      </c>
      <c r="B17" s="66"/>
      <c r="C17" s="66"/>
      <c r="D17" s="66"/>
      <c r="E17" s="66"/>
      <c r="F17" s="67"/>
      <c r="G17" s="47" t="str">
        <f>VLOOKUP(OFERTA!$G$12,'BAZA PC'!$C$3:$M$126,2,FALSE)</f>
        <v>WH-UDZ07KE5</v>
      </c>
      <c r="H17" s="47"/>
      <c r="I17" s="47"/>
      <c r="J17" s="47"/>
      <c r="K17" s="47"/>
      <c r="L17" s="47"/>
      <c r="M17" s="47"/>
      <c r="AG17" t="s">
        <v>128</v>
      </c>
      <c r="AH17" t="s">
        <v>127</v>
      </c>
      <c r="AI17" t="s">
        <v>205</v>
      </c>
      <c r="AM17" s="61" t="s">
        <v>121</v>
      </c>
      <c r="AN17" s="61" t="s">
        <v>131</v>
      </c>
      <c r="AP17" s="45"/>
    </row>
    <row r="18" spans="1:42" x14ac:dyDescent="0.25">
      <c r="A18" s="66"/>
      <c r="B18" s="66"/>
      <c r="C18" s="66"/>
      <c r="D18" s="66"/>
      <c r="E18" s="66"/>
      <c r="F18" s="67"/>
      <c r="G18" s="47"/>
      <c r="H18" s="47"/>
      <c r="I18" s="47"/>
      <c r="J18" s="47"/>
      <c r="K18" s="47"/>
      <c r="L18" s="47"/>
      <c r="M18" s="47"/>
      <c r="AG18" t="s">
        <v>128</v>
      </c>
      <c r="AH18" t="s">
        <v>127</v>
      </c>
      <c r="AI18" t="s">
        <v>208</v>
      </c>
      <c r="AP18" s="45"/>
    </row>
    <row r="19" spans="1:42" x14ac:dyDescent="0.25">
      <c r="A19" s="66" t="s">
        <v>135</v>
      </c>
      <c r="B19" s="66"/>
      <c r="C19" s="66"/>
      <c r="D19" s="66"/>
      <c r="E19" s="66"/>
      <c r="F19" s="67"/>
      <c r="G19" s="68">
        <f>VLOOKUP(OFERTA!$G$12,'BAZA PC'!$C$3:$M$126,7,FALSE)</f>
        <v>7</v>
      </c>
      <c r="H19" s="69"/>
      <c r="I19" s="69"/>
      <c r="J19" s="70" t="s">
        <v>123</v>
      </c>
      <c r="K19" s="70"/>
      <c r="L19" s="70"/>
      <c r="M19" s="71"/>
      <c r="AG19" t="s">
        <v>128</v>
      </c>
      <c r="AH19" t="s">
        <v>127</v>
      </c>
      <c r="AI19" t="s">
        <v>211</v>
      </c>
      <c r="AP19" s="45"/>
    </row>
    <row r="20" spans="1:42" x14ac:dyDescent="0.25">
      <c r="A20" s="66"/>
      <c r="B20" s="66"/>
      <c r="C20" s="66"/>
      <c r="D20" s="66"/>
      <c r="E20" s="66"/>
      <c r="F20" s="67"/>
      <c r="G20" s="72"/>
      <c r="H20" s="73"/>
      <c r="I20" s="73"/>
      <c r="J20" s="74"/>
      <c r="K20" s="74"/>
      <c r="L20" s="74"/>
      <c r="M20" s="75"/>
      <c r="AG20" t="s">
        <v>128</v>
      </c>
      <c r="AH20" t="s">
        <v>127</v>
      </c>
      <c r="AI20" t="s">
        <v>214</v>
      </c>
      <c r="AP20" s="45"/>
    </row>
    <row r="21" spans="1:42" x14ac:dyDescent="0.25">
      <c r="A21" s="66" t="s">
        <v>136</v>
      </c>
      <c r="B21" s="66"/>
      <c r="C21" s="66"/>
      <c r="D21" s="66"/>
      <c r="E21" s="66"/>
      <c r="F21" s="67"/>
      <c r="G21" s="68">
        <f>VLOOKUP(OFERTA!$G$12,'BAZA PC'!$C$3:$M$126,8,FALSE)</f>
        <v>3</v>
      </c>
      <c r="H21" s="69"/>
      <c r="I21" s="69"/>
      <c r="J21" s="70" t="s">
        <v>123</v>
      </c>
      <c r="K21" s="70"/>
      <c r="L21" s="70"/>
      <c r="M21" s="71"/>
      <c r="AG21" t="s">
        <v>128</v>
      </c>
      <c r="AH21" t="s">
        <v>127</v>
      </c>
      <c r="AI21" t="s">
        <v>217</v>
      </c>
      <c r="AP21" s="45"/>
    </row>
    <row r="22" spans="1:42" x14ac:dyDescent="0.25">
      <c r="A22" s="66"/>
      <c r="B22" s="66"/>
      <c r="C22" s="66"/>
      <c r="D22" s="66"/>
      <c r="E22" s="66"/>
      <c r="F22" s="67"/>
      <c r="G22" s="72"/>
      <c r="H22" s="73"/>
      <c r="I22" s="73"/>
      <c r="J22" s="74"/>
      <c r="K22" s="74"/>
      <c r="L22" s="74"/>
      <c r="M22" s="75"/>
      <c r="AG22" t="s">
        <v>128</v>
      </c>
      <c r="AH22" t="s">
        <v>130</v>
      </c>
      <c r="AI22" t="s">
        <v>220</v>
      </c>
      <c r="AP22" s="45"/>
    </row>
    <row r="23" spans="1:42" x14ac:dyDescent="0.25">
      <c r="A23" s="66" t="s">
        <v>137</v>
      </c>
      <c r="B23" s="66"/>
      <c r="C23" s="66"/>
      <c r="D23" s="66"/>
      <c r="E23" s="66"/>
      <c r="F23" s="67"/>
      <c r="G23" s="68">
        <f>VLOOKUP(OFERTA!$G$12,'BAZA PC'!$C$3:$M$126,10,FALSE)</f>
        <v>1</v>
      </c>
      <c r="H23" s="69"/>
      <c r="I23" s="69"/>
      <c r="J23" s="70" t="s">
        <v>138</v>
      </c>
      <c r="K23" s="70"/>
      <c r="L23" s="70"/>
      <c r="M23" s="71"/>
      <c r="AG23" t="s">
        <v>128</v>
      </c>
      <c r="AH23" t="s">
        <v>130</v>
      </c>
      <c r="AI23" t="s">
        <v>222</v>
      </c>
      <c r="AP23" s="45"/>
    </row>
    <row r="24" spans="1:42" x14ac:dyDescent="0.25">
      <c r="A24" s="66"/>
      <c r="B24" s="66"/>
      <c r="C24" s="66"/>
      <c r="D24" s="66"/>
      <c r="E24" s="66"/>
      <c r="F24" s="67"/>
      <c r="G24" s="72"/>
      <c r="H24" s="73"/>
      <c r="I24" s="73"/>
      <c r="J24" s="74"/>
      <c r="K24" s="74"/>
      <c r="L24" s="74"/>
      <c r="M24" s="75"/>
      <c r="AG24" t="s">
        <v>128</v>
      </c>
      <c r="AH24" t="s">
        <v>130</v>
      </c>
      <c r="AI24" t="s">
        <v>224</v>
      </c>
      <c r="AP24" s="45"/>
    </row>
    <row r="25" spans="1:42" x14ac:dyDescent="0.25">
      <c r="A25" s="66" t="s">
        <v>139</v>
      </c>
      <c r="B25" s="66"/>
      <c r="C25" s="66"/>
      <c r="D25" s="66"/>
      <c r="E25" s="66"/>
      <c r="F25" s="67"/>
      <c r="G25" s="76">
        <f>VLOOKUP(OFERTA!$G$12,'BAZA PC'!$C$3:$M$126,9,FALSE)</f>
        <v>4.9000000000000004</v>
      </c>
      <c r="H25" s="77"/>
      <c r="I25" s="77"/>
      <c r="J25" s="77"/>
      <c r="K25" s="77"/>
      <c r="L25" s="77"/>
      <c r="M25" s="78"/>
      <c r="AG25" t="s">
        <v>128</v>
      </c>
      <c r="AH25" t="s">
        <v>130</v>
      </c>
      <c r="AI25" t="s">
        <v>226</v>
      </c>
      <c r="AP25" s="45"/>
    </row>
    <row r="26" spans="1:42" x14ac:dyDescent="0.25">
      <c r="A26" s="66"/>
      <c r="B26" s="66"/>
      <c r="C26" s="66"/>
      <c r="D26" s="66"/>
      <c r="E26" s="66"/>
      <c r="F26" s="67"/>
      <c r="G26" s="79"/>
      <c r="H26" s="80"/>
      <c r="I26" s="80"/>
      <c r="J26" s="80"/>
      <c r="K26" s="80"/>
      <c r="L26" s="80"/>
      <c r="M26" s="81"/>
      <c r="AG26" t="s">
        <v>128</v>
      </c>
      <c r="AH26" t="s">
        <v>130</v>
      </c>
      <c r="AI26" t="s">
        <v>228</v>
      </c>
      <c r="AP26" s="45"/>
    </row>
    <row r="27" spans="1:42" x14ac:dyDescent="0.25">
      <c r="A27" s="66" t="s">
        <v>140</v>
      </c>
      <c r="B27" s="66"/>
      <c r="C27" s="66"/>
      <c r="D27" s="66"/>
      <c r="E27" s="66"/>
      <c r="F27" s="67"/>
      <c r="G27" s="68">
        <f>VLOOKUP(OFERTA!$G$12,'BAZA PC'!$C$3:$M$126,11,FALSE)</f>
        <v>5</v>
      </c>
      <c r="H27" s="69"/>
      <c r="I27" s="69"/>
      <c r="J27" s="82" t="s">
        <v>141</v>
      </c>
      <c r="K27" s="82"/>
      <c r="L27" s="82"/>
      <c r="M27" s="83"/>
      <c r="AG27" t="s">
        <v>128</v>
      </c>
      <c r="AH27" t="s">
        <v>130</v>
      </c>
      <c r="AI27" t="s">
        <v>230</v>
      </c>
      <c r="AP27" s="45"/>
    </row>
    <row r="28" spans="1:42" x14ac:dyDescent="0.25">
      <c r="A28" s="66"/>
      <c r="B28" s="66"/>
      <c r="C28" s="66"/>
      <c r="D28" s="66"/>
      <c r="E28" s="66"/>
      <c r="F28" s="67"/>
      <c r="G28" s="72"/>
      <c r="H28" s="73"/>
      <c r="I28" s="73"/>
      <c r="J28" s="84"/>
      <c r="K28" s="84"/>
      <c r="L28" s="84"/>
      <c r="M28" s="85"/>
      <c r="AG28" t="s">
        <v>128</v>
      </c>
      <c r="AH28" t="s">
        <v>130</v>
      </c>
      <c r="AI28" t="s">
        <v>232</v>
      </c>
      <c r="AP28" s="45"/>
    </row>
    <row r="29" spans="1:42" x14ac:dyDescent="0.25">
      <c r="AG29" t="s">
        <v>128</v>
      </c>
      <c r="AH29" t="s">
        <v>130</v>
      </c>
      <c r="AI29" t="s">
        <v>233</v>
      </c>
      <c r="AP29" s="45"/>
    </row>
    <row r="30" spans="1:42" x14ac:dyDescent="0.25">
      <c r="AG30" t="s">
        <v>128</v>
      </c>
      <c r="AH30" t="s">
        <v>130</v>
      </c>
      <c r="AI30" t="s">
        <v>234</v>
      </c>
      <c r="AP30" s="52"/>
    </row>
    <row r="31" spans="1:42" x14ac:dyDescent="0.25">
      <c r="AG31" t="s">
        <v>128</v>
      </c>
      <c r="AH31" t="s">
        <v>130</v>
      </c>
      <c r="AI31" t="s">
        <v>236</v>
      </c>
    </row>
    <row r="32" spans="1:42" x14ac:dyDescent="0.25">
      <c r="A32" s="86" t="s">
        <v>142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AG32" t="s">
        <v>128</v>
      </c>
      <c r="AH32" t="s">
        <v>130</v>
      </c>
      <c r="AI32" t="s">
        <v>238</v>
      </c>
    </row>
    <row r="33" spans="1:35" x14ac:dyDescent="0.25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AG33" t="s">
        <v>128</v>
      </c>
      <c r="AH33" t="s">
        <v>130</v>
      </c>
      <c r="AI33" t="s">
        <v>239</v>
      </c>
    </row>
    <row r="34" spans="1:35" x14ac:dyDescent="0.25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AG34" t="s">
        <v>128</v>
      </c>
      <c r="AH34" t="s">
        <v>130</v>
      </c>
      <c r="AI34" t="s">
        <v>240</v>
      </c>
    </row>
    <row r="35" spans="1:35" x14ac:dyDescent="0.25">
      <c r="O35" s="87" t="s">
        <v>143</v>
      </c>
      <c r="P35" s="87"/>
      <c r="Q35" s="87"/>
      <c r="R35" s="87"/>
      <c r="S35" s="88">
        <f>WYKRES!$B$49</f>
        <v>2284.4186354665753</v>
      </c>
      <c r="T35" s="89" t="s">
        <v>144</v>
      </c>
      <c r="U35" s="88">
        <f>S35*$Y$35</f>
        <v>2124.5093309839153</v>
      </c>
      <c r="V35" s="89" t="s">
        <v>145</v>
      </c>
      <c r="W35" s="90" t="s">
        <v>146</v>
      </c>
      <c r="X35" s="90"/>
      <c r="Y35" s="91">
        <v>0.93</v>
      </c>
      <c r="Z35" s="92" t="s">
        <v>145</v>
      </c>
      <c r="AG35" t="s">
        <v>128</v>
      </c>
      <c r="AH35" t="s">
        <v>131</v>
      </c>
      <c r="AI35" t="s">
        <v>241</v>
      </c>
    </row>
    <row r="36" spans="1:35" x14ac:dyDescent="0.25">
      <c r="A36" s="46" t="s">
        <v>147</v>
      </c>
      <c r="B36" s="46"/>
      <c r="C36" s="46"/>
      <c r="D36" s="46"/>
      <c r="E36" s="46"/>
      <c r="F36" s="46"/>
      <c r="G36" s="93"/>
      <c r="H36" s="93"/>
      <c r="I36" s="93"/>
      <c r="J36" s="93"/>
      <c r="K36" s="93"/>
      <c r="L36" s="93"/>
      <c r="M36" s="93"/>
      <c r="O36" s="87" t="s">
        <v>148</v>
      </c>
      <c r="P36" s="87"/>
      <c r="Q36" s="87"/>
      <c r="R36" s="87"/>
      <c r="S36" s="88">
        <f>WYKRES!$B$63</f>
        <v>0</v>
      </c>
      <c r="T36" s="89" t="s">
        <v>144</v>
      </c>
      <c r="U36" s="88">
        <f>S36*$Y$35</f>
        <v>0</v>
      </c>
      <c r="V36" s="89" t="s">
        <v>145</v>
      </c>
      <c r="W36" s="148" t="s">
        <v>139</v>
      </c>
      <c r="X36" s="148"/>
      <c r="Y36" s="149">
        <f>WYKRES!$B$82</f>
        <v>3.555245244039472</v>
      </c>
      <c r="Z36" s="149"/>
      <c r="AA36" s="94"/>
      <c r="AG36" t="s">
        <v>128</v>
      </c>
      <c r="AH36" t="s">
        <v>131</v>
      </c>
      <c r="AI36" t="s">
        <v>244</v>
      </c>
    </row>
    <row r="37" spans="1:35" x14ac:dyDescent="0.25">
      <c r="A37" s="46"/>
      <c r="B37" s="46"/>
      <c r="C37" s="46"/>
      <c r="D37" s="46"/>
      <c r="E37" s="46"/>
      <c r="F37" s="46"/>
      <c r="G37" s="93"/>
      <c r="H37" s="93"/>
      <c r="I37" s="93"/>
      <c r="J37" s="93"/>
      <c r="K37" s="93"/>
      <c r="L37" s="93"/>
      <c r="M37" s="93"/>
      <c r="O37" s="95" t="s">
        <v>149</v>
      </c>
      <c r="P37" s="95"/>
      <c r="Q37" s="95"/>
      <c r="R37" s="95"/>
      <c r="S37" s="88">
        <f>WYKRES!$B$77</f>
        <v>255.4589476697258</v>
      </c>
      <c r="T37" s="89" t="s">
        <v>144</v>
      </c>
      <c r="U37" s="88">
        <f>S37*$Y$35</f>
        <v>237.57682133284501</v>
      </c>
      <c r="V37" s="89" t="s">
        <v>145</v>
      </c>
      <c r="W37" s="94"/>
      <c r="X37" s="94"/>
      <c r="Y37" s="94"/>
      <c r="Z37" s="94"/>
      <c r="AA37" s="94"/>
      <c r="AG37" t="s">
        <v>128</v>
      </c>
      <c r="AH37" t="s">
        <v>131</v>
      </c>
      <c r="AI37" t="s">
        <v>246</v>
      </c>
    </row>
    <row r="38" spans="1:35" x14ac:dyDescent="0.25">
      <c r="O38" s="95" t="s">
        <v>150</v>
      </c>
      <c r="P38" s="95"/>
      <c r="Q38" s="95"/>
      <c r="R38" s="95"/>
      <c r="S38" s="88">
        <f>SUM(S35:S37)</f>
        <v>2539.8775831363009</v>
      </c>
      <c r="T38" s="89" t="s">
        <v>144</v>
      </c>
      <c r="U38" s="88">
        <f>S38*$Y$35</f>
        <v>2362.08615231676</v>
      </c>
      <c r="V38" s="89" t="s">
        <v>145</v>
      </c>
      <c r="W38" s="94"/>
      <c r="X38" s="94"/>
      <c r="Y38" s="94"/>
      <c r="Z38" s="94"/>
      <c r="AA38" s="94"/>
      <c r="AB38" s="1"/>
      <c r="AC38" s="1"/>
      <c r="AG38" t="s">
        <v>128</v>
      </c>
      <c r="AH38" t="s">
        <v>131</v>
      </c>
      <c r="AI38" t="s">
        <v>248</v>
      </c>
    </row>
    <row r="39" spans="1:35" x14ac:dyDescent="0.25">
      <c r="A39" s="46" t="s">
        <v>151</v>
      </c>
      <c r="B39" s="46"/>
      <c r="C39" s="46"/>
      <c r="D39" s="46"/>
      <c r="E39" s="46"/>
      <c r="F39" s="46"/>
      <c r="G39" s="93"/>
      <c r="H39" s="93"/>
      <c r="I39" s="93"/>
      <c r="J39" s="93"/>
      <c r="K39" s="93"/>
      <c r="L39" s="93"/>
      <c r="M39" s="93"/>
      <c r="AB39" s="1"/>
      <c r="AC39" s="1"/>
      <c r="AG39" t="s">
        <v>128</v>
      </c>
      <c r="AH39" t="s">
        <v>131</v>
      </c>
      <c r="AI39" t="s">
        <v>250</v>
      </c>
    </row>
    <row r="40" spans="1:35" x14ac:dyDescent="0.25">
      <c r="A40" s="46"/>
      <c r="B40" s="46"/>
      <c r="C40" s="46"/>
      <c r="D40" s="46"/>
      <c r="E40" s="46"/>
      <c r="F40" s="46"/>
      <c r="G40" s="93"/>
      <c r="H40" s="93"/>
      <c r="I40" s="93"/>
      <c r="J40" s="93"/>
      <c r="K40" s="93"/>
      <c r="L40" s="93"/>
      <c r="M40" s="93"/>
      <c r="O40" s="1"/>
      <c r="P40" s="1"/>
      <c r="Q40" s="1"/>
      <c r="R40" s="1"/>
      <c r="S40" s="1"/>
      <c r="AB40" s="1"/>
      <c r="AC40" s="1"/>
      <c r="AG40" t="s">
        <v>128</v>
      </c>
      <c r="AH40" t="s">
        <v>131</v>
      </c>
      <c r="AI40" t="s">
        <v>252</v>
      </c>
    </row>
    <row r="41" spans="1:35" x14ac:dyDescent="0.25">
      <c r="O41" s="1"/>
      <c r="P41" s="1"/>
      <c r="Q41" s="1"/>
      <c r="R41" s="1"/>
      <c r="S41" s="1"/>
      <c r="AB41" s="96"/>
      <c r="AC41" s="96"/>
      <c r="AG41" t="s">
        <v>128</v>
      </c>
      <c r="AH41" t="s">
        <v>131</v>
      </c>
      <c r="AI41" t="s">
        <v>254</v>
      </c>
    </row>
    <row r="42" spans="1:35" x14ac:dyDescent="0.25">
      <c r="A42" s="46" t="s">
        <v>152</v>
      </c>
      <c r="B42" s="46"/>
      <c r="C42" s="46"/>
      <c r="D42" s="46"/>
      <c r="E42" s="46"/>
      <c r="F42" s="46"/>
      <c r="G42" s="93"/>
      <c r="H42" s="93"/>
      <c r="I42" s="93"/>
      <c r="J42" s="93"/>
      <c r="K42" s="93"/>
      <c r="L42" s="93"/>
      <c r="M42" s="93"/>
      <c r="O42" s="1"/>
      <c r="P42" s="1"/>
      <c r="Q42" s="1"/>
      <c r="R42" s="1"/>
      <c r="S42" s="1"/>
      <c r="AB42" s="1"/>
      <c r="AC42" s="1"/>
      <c r="AG42" t="s">
        <v>128</v>
      </c>
      <c r="AH42" t="s">
        <v>131</v>
      </c>
      <c r="AI42" t="s">
        <v>256</v>
      </c>
    </row>
    <row r="43" spans="1:35" x14ac:dyDescent="0.25">
      <c r="A43" s="46"/>
      <c r="B43" s="46"/>
      <c r="C43" s="46"/>
      <c r="D43" s="46"/>
      <c r="E43" s="46"/>
      <c r="F43" s="46"/>
      <c r="G43" s="93"/>
      <c r="H43" s="93"/>
      <c r="I43" s="93"/>
      <c r="J43" s="93"/>
      <c r="K43" s="93"/>
      <c r="L43" s="93"/>
      <c r="M43" s="93"/>
      <c r="O43" s="1"/>
      <c r="P43" s="1"/>
      <c r="Q43" s="1"/>
      <c r="R43" s="97"/>
      <c r="S43" s="1"/>
      <c r="AG43" t="s">
        <v>128</v>
      </c>
      <c r="AH43" t="s">
        <v>131</v>
      </c>
      <c r="AI43" t="s">
        <v>258</v>
      </c>
    </row>
    <row r="44" spans="1:35" x14ac:dyDescent="0.25">
      <c r="AG44" t="s">
        <v>128</v>
      </c>
      <c r="AH44" t="s">
        <v>131</v>
      </c>
      <c r="AI44" t="s">
        <v>260</v>
      </c>
    </row>
    <row r="45" spans="1:35" x14ac:dyDescent="0.25">
      <c r="A45" s="46" t="s">
        <v>153</v>
      </c>
      <c r="B45" s="46"/>
      <c r="C45" s="46"/>
      <c r="D45" s="46"/>
      <c r="E45" s="46"/>
      <c r="F45" s="46"/>
      <c r="G45" s="93"/>
      <c r="H45" s="93"/>
      <c r="I45" s="93"/>
      <c r="J45" s="93"/>
      <c r="K45" s="93"/>
      <c r="L45" s="93"/>
      <c r="M45" s="93"/>
      <c r="AG45" t="s">
        <v>129</v>
      </c>
      <c r="AH45" t="s">
        <v>127</v>
      </c>
      <c r="AI45" t="s">
        <v>262</v>
      </c>
    </row>
    <row r="46" spans="1:35" x14ac:dyDescent="0.25">
      <c r="A46" s="46"/>
      <c r="B46" s="46"/>
      <c r="C46" s="46"/>
      <c r="D46" s="46"/>
      <c r="E46" s="46"/>
      <c r="F46" s="46"/>
      <c r="G46" s="93"/>
      <c r="H46" s="93"/>
      <c r="I46" s="93"/>
      <c r="J46" s="93"/>
      <c r="K46" s="93"/>
      <c r="L46" s="93"/>
      <c r="M46" s="93"/>
      <c r="AG46" t="s">
        <v>129</v>
      </c>
      <c r="AH46" t="s">
        <v>127</v>
      </c>
      <c r="AI46" t="s">
        <v>265</v>
      </c>
    </row>
    <row r="47" spans="1:35" x14ac:dyDescent="0.25">
      <c r="AG47" t="s">
        <v>129</v>
      </c>
      <c r="AH47" t="s">
        <v>127</v>
      </c>
      <c r="AI47" t="s">
        <v>268</v>
      </c>
    </row>
    <row r="48" spans="1:35" x14ac:dyDescent="0.25">
      <c r="AG48" t="s">
        <v>129</v>
      </c>
      <c r="AH48" t="s">
        <v>127</v>
      </c>
      <c r="AI48" t="s">
        <v>270</v>
      </c>
    </row>
    <row r="49" spans="33:35" x14ac:dyDescent="0.25">
      <c r="AG49" t="s">
        <v>129</v>
      </c>
      <c r="AH49" t="s">
        <v>127</v>
      </c>
      <c r="AI49" t="s">
        <v>272</v>
      </c>
    </row>
    <row r="50" spans="33:35" x14ac:dyDescent="0.25">
      <c r="AG50" t="s">
        <v>129</v>
      </c>
      <c r="AH50" t="s">
        <v>127</v>
      </c>
      <c r="AI50" t="s">
        <v>274</v>
      </c>
    </row>
    <row r="51" spans="33:35" x14ac:dyDescent="0.25">
      <c r="AG51" t="s">
        <v>129</v>
      </c>
      <c r="AH51" t="s">
        <v>127</v>
      </c>
      <c r="AI51" t="s">
        <v>277</v>
      </c>
    </row>
    <row r="52" spans="33:35" x14ac:dyDescent="0.25">
      <c r="AG52" t="s">
        <v>129</v>
      </c>
      <c r="AH52" t="s">
        <v>127</v>
      </c>
      <c r="AI52" t="s">
        <v>279</v>
      </c>
    </row>
    <row r="53" spans="33:35" x14ac:dyDescent="0.25">
      <c r="AG53" t="s">
        <v>129</v>
      </c>
      <c r="AH53" t="s">
        <v>127</v>
      </c>
      <c r="AI53" t="s">
        <v>281</v>
      </c>
    </row>
    <row r="54" spans="33:35" x14ac:dyDescent="0.25">
      <c r="AG54" t="s">
        <v>129</v>
      </c>
      <c r="AH54" t="s">
        <v>127</v>
      </c>
      <c r="AI54" t="s">
        <v>283</v>
      </c>
    </row>
    <row r="55" spans="33:35" x14ac:dyDescent="0.25">
      <c r="AG55" t="s">
        <v>129</v>
      </c>
      <c r="AH55" t="s">
        <v>127</v>
      </c>
      <c r="AI55" t="s">
        <v>285</v>
      </c>
    </row>
    <row r="56" spans="33:35" x14ac:dyDescent="0.25">
      <c r="AG56" t="s">
        <v>129</v>
      </c>
      <c r="AH56" t="s">
        <v>130</v>
      </c>
      <c r="AI56" t="s">
        <v>287</v>
      </c>
    </row>
    <row r="57" spans="33:35" x14ac:dyDescent="0.25">
      <c r="AG57" t="s">
        <v>129</v>
      </c>
      <c r="AH57" t="s">
        <v>130</v>
      </c>
      <c r="AI57" t="s">
        <v>289</v>
      </c>
    </row>
    <row r="58" spans="33:35" x14ac:dyDescent="0.25">
      <c r="AG58" t="s">
        <v>129</v>
      </c>
      <c r="AH58" t="s">
        <v>130</v>
      </c>
      <c r="AI58" t="s">
        <v>291</v>
      </c>
    </row>
    <row r="59" spans="33:35" x14ac:dyDescent="0.25">
      <c r="AG59" t="s">
        <v>129</v>
      </c>
      <c r="AH59" t="s">
        <v>130</v>
      </c>
      <c r="AI59" t="s">
        <v>292</v>
      </c>
    </row>
    <row r="60" spans="33:35" x14ac:dyDescent="0.25">
      <c r="AG60" t="s">
        <v>129</v>
      </c>
      <c r="AH60" t="s">
        <v>130</v>
      </c>
      <c r="AI60" t="s">
        <v>293</v>
      </c>
    </row>
    <row r="61" spans="33:35" x14ac:dyDescent="0.25">
      <c r="AG61" t="s">
        <v>129</v>
      </c>
      <c r="AH61" t="s">
        <v>130</v>
      </c>
      <c r="AI61" t="s">
        <v>294</v>
      </c>
    </row>
    <row r="62" spans="33:35" x14ac:dyDescent="0.25">
      <c r="AG62" t="s">
        <v>129</v>
      </c>
      <c r="AH62" t="s">
        <v>130</v>
      </c>
      <c r="AI62" t="s">
        <v>296</v>
      </c>
    </row>
    <row r="63" spans="33:35" x14ac:dyDescent="0.25">
      <c r="AG63" t="s">
        <v>129</v>
      </c>
      <c r="AH63" t="s">
        <v>130</v>
      </c>
      <c r="AI63" t="s">
        <v>297</v>
      </c>
    </row>
    <row r="64" spans="33:35" x14ac:dyDescent="0.25">
      <c r="AG64" t="s">
        <v>129</v>
      </c>
      <c r="AH64" t="s">
        <v>130</v>
      </c>
      <c r="AI64" t="s">
        <v>298</v>
      </c>
    </row>
    <row r="65" spans="33:35" x14ac:dyDescent="0.25">
      <c r="AG65" t="s">
        <v>129</v>
      </c>
      <c r="AH65" t="s">
        <v>130</v>
      </c>
      <c r="AI65" t="s">
        <v>299</v>
      </c>
    </row>
    <row r="66" spans="33:35" x14ac:dyDescent="0.25">
      <c r="AG66" t="s">
        <v>129</v>
      </c>
      <c r="AH66" t="s">
        <v>130</v>
      </c>
      <c r="AI66" t="s">
        <v>300</v>
      </c>
    </row>
    <row r="67" spans="33:35" x14ac:dyDescent="0.25">
      <c r="AG67" t="s">
        <v>129</v>
      </c>
      <c r="AH67" t="s">
        <v>131</v>
      </c>
      <c r="AI67" t="s">
        <v>301</v>
      </c>
    </row>
    <row r="68" spans="33:35" x14ac:dyDescent="0.25">
      <c r="AG68" t="s">
        <v>129</v>
      </c>
      <c r="AH68" t="s">
        <v>131</v>
      </c>
      <c r="AI68" t="s">
        <v>303</v>
      </c>
    </row>
    <row r="69" spans="33:35" x14ac:dyDescent="0.25">
      <c r="AG69" t="s">
        <v>129</v>
      </c>
      <c r="AH69" t="s">
        <v>131</v>
      </c>
      <c r="AI69" t="s">
        <v>305</v>
      </c>
    </row>
    <row r="70" spans="33:35" x14ac:dyDescent="0.25">
      <c r="AG70" t="s">
        <v>129</v>
      </c>
      <c r="AH70" t="s">
        <v>131</v>
      </c>
      <c r="AI70" t="s">
        <v>307</v>
      </c>
    </row>
    <row r="71" spans="33:35" x14ac:dyDescent="0.25">
      <c r="AG71" t="s">
        <v>129</v>
      </c>
      <c r="AH71" t="s">
        <v>131</v>
      </c>
      <c r="AI71" t="s">
        <v>309</v>
      </c>
    </row>
    <row r="72" spans="33:35" x14ac:dyDescent="0.25">
      <c r="AG72" t="s">
        <v>129</v>
      </c>
      <c r="AH72" t="s">
        <v>131</v>
      </c>
      <c r="AI72" t="s">
        <v>311</v>
      </c>
    </row>
    <row r="73" spans="33:35" x14ac:dyDescent="0.25">
      <c r="AG73" t="s">
        <v>129</v>
      </c>
      <c r="AH73" t="s">
        <v>131</v>
      </c>
      <c r="AI73" t="s">
        <v>313</v>
      </c>
    </row>
    <row r="74" spans="33:35" x14ac:dyDescent="0.25">
      <c r="AG74" t="s">
        <v>129</v>
      </c>
      <c r="AH74" t="s">
        <v>131</v>
      </c>
      <c r="AI74" t="s">
        <v>315</v>
      </c>
    </row>
    <row r="75" spans="33:35" x14ac:dyDescent="0.25">
      <c r="AG75" t="s">
        <v>129</v>
      </c>
      <c r="AH75" t="s">
        <v>131</v>
      </c>
      <c r="AI75" t="s">
        <v>317</v>
      </c>
    </row>
    <row r="76" spans="33:35" x14ac:dyDescent="0.25">
      <c r="AG76" t="s">
        <v>129</v>
      </c>
      <c r="AH76" t="s">
        <v>131</v>
      </c>
      <c r="AI76" t="s">
        <v>319</v>
      </c>
    </row>
    <row r="77" spans="33:35" x14ac:dyDescent="0.25">
      <c r="AG77" t="s">
        <v>121</v>
      </c>
      <c r="AH77" t="s">
        <v>127</v>
      </c>
      <c r="AI77" t="s">
        <v>132</v>
      </c>
    </row>
    <row r="78" spans="33:35" x14ac:dyDescent="0.25">
      <c r="AG78" t="s">
        <v>121</v>
      </c>
      <c r="AH78" t="s">
        <v>127</v>
      </c>
      <c r="AI78" t="s">
        <v>323</v>
      </c>
    </row>
    <row r="79" spans="33:35" x14ac:dyDescent="0.25">
      <c r="AG79" t="s">
        <v>121</v>
      </c>
      <c r="AH79" t="s">
        <v>127</v>
      </c>
      <c r="AI79" t="s">
        <v>326</v>
      </c>
    </row>
    <row r="80" spans="33:35" x14ac:dyDescent="0.25">
      <c r="AG80" t="s">
        <v>121</v>
      </c>
      <c r="AH80" t="s">
        <v>127</v>
      </c>
      <c r="AI80" t="s">
        <v>328</v>
      </c>
    </row>
    <row r="81" spans="33:35" x14ac:dyDescent="0.25">
      <c r="AG81" t="s">
        <v>121</v>
      </c>
      <c r="AH81" t="s">
        <v>127</v>
      </c>
      <c r="AI81" t="s">
        <v>331</v>
      </c>
    </row>
    <row r="82" spans="33:35" x14ac:dyDescent="0.25">
      <c r="AG82" t="s">
        <v>121</v>
      </c>
      <c r="AH82" t="s">
        <v>127</v>
      </c>
      <c r="AI82" t="s">
        <v>334</v>
      </c>
    </row>
    <row r="83" spans="33:35" x14ac:dyDescent="0.25">
      <c r="AG83" t="s">
        <v>121</v>
      </c>
      <c r="AH83" t="s">
        <v>127</v>
      </c>
      <c r="AI83" t="s">
        <v>337</v>
      </c>
    </row>
    <row r="84" spans="33:35" x14ac:dyDescent="0.25">
      <c r="AG84" t="s">
        <v>121</v>
      </c>
      <c r="AH84" t="s">
        <v>127</v>
      </c>
      <c r="AI84" t="s">
        <v>340</v>
      </c>
    </row>
    <row r="85" spans="33:35" x14ac:dyDescent="0.25">
      <c r="AG85" t="s">
        <v>121</v>
      </c>
      <c r="AH85" t="s">
        <v>127</v>
      </c>
      <c r="AI85" t="s">
        <v>342</v>
      </c>
    </row>
    <row r="86" spans="33:35" x14ac:dyDescent="0.25">
      <c r="AG86" t="s">
        <v>121</v>
      </c>
      <c r="AH86" t="s">
        <v>130</v>
      </c>
      <c r="AI86" t="s">
        <v>344</v>
      </c>
    </row>
    <row r="87" spans="33:35" x14ac:dyDescent="0.25">
      <c r="AG87" t="s">
        <v>121</v>
      </c>
      <c r="AH87" t="s">
        <v>130</v>
      </c>
      <c r="AI87" t="s">
        <v>346</v>
      </c>
    </row>
    <row r="88" spans="33:35" x14ac:dyDescent="0.25">
      <c r="AG88" t="s">
        <v>121</v>
      </c>
      <c r="AH88" t="s">
        <v>130</v>
      </c>
      <c r="AI88" t="s">
        <v>348</v>
      </c>
    </row>
    <row r="89" spans="33:35" x14ac:dyDescent="0.25">
      <c r="AG89" t="s">
        <v>121</v>
      </c>
      <c r="AH89" t="s">
        <v>130</v>
      </c>
      <c r="AI89" t="s">
        <v>349</v>
      </c>
    </row>
    <row r="90" spans="33:35" x14ac:dyDescent="0.25">
      <c r="AG90" t="s">
        <v>121</v>
      </c>
      <c r="AH90" t="s">
        <v>130</v>
      </c>
      <c r="AI90" t="s">
        <v>351</v>
      </c>
    </row>
    <row r="91" spans="33:35" x14ac:dyDescent="0.25">
      <c r="AG91" t="s">
        <v>121</v>
      </c>
      <c r="AH91" t="s">
        <v>130</v>
      </c>
      <c r="AI91" t="s">
        <v>352</v>
      </c>
    </row>
    <row r="92" spans="33:35" x14ac:dyDescent="0.25">
      <c r="AG92" t="s">
        <v>121</v>
      </c>
      <c r="AH92" t="s">
        <v>130</v>
      </c>
      <c r="AI92" t="s">
        <v>354</v>
      </c>
    </row>
    <row r="93" spans="33:35" x14ac:dyDescent="0.25">
      <c r="AG93" t="s">
        <v>121</v>
      </c>
      <c r="AH93" t="s">
        <v>130</v>
      </c>
      <c r="AI93" t="s">
        <v>356</v>
      </c>
    </row>
    <row r="94" spans="33:35" x14ac:dyDescent="0.25">
      <c r="AG94" t="s">
        <v>121</v>
      </c>
      <c r="AH94" t="s">
        <v>130</v>
      </c>
      <c r="AI94" t="s">
        <v>358</v>
      </c>
    </row>
    <row r="95" spans="33:35" x14ac:dyDescent="0.25">
      <c r="AG95" t="s">
        <v>121</v>
      </c>
      <c r="AH95" t="s">
        <v>131</v>
      </c>
      <c r="AI95" t="s">
        <v>360</v>
      </c>
    </row>
    <row r="96" spans="33:35" x14ac:dyDescent="0.25">
      <c r="AG96" t="s">
        <v>121</v>
      </c>
      <c r="AH96" t="s">
        <v>131</v>
      </c>
      <c r="AI96" t="s">
        <v>362</v>
      </c>
    </row>
    <row r="97" spans="33:35" x14ac:dyDescent="0.25">
      <c r="AG97" t="s">
        <v>121</v>
      </c>
      <c r="AH97" t="s">
        <v>131</v>
      </c>
      <c r="AI97" t="s">
        <v>364</v>
      </c>
    </row>
    <row r="98" spans="33:35" x14ac:dyDescent="0.25">
      <c r="AG98" t="s">
        <v>121</v>
      </c>
      <c r="AH98" t="s">
        <v>131</v>
      </c>
      <c r="AI98" t="s">
        <v>366</v>
      </c>
    </row>
    <row r="99" spans="33:35" x14ac:dyDescent="0.25">
      <c r="AG99" t="s">
        <v>121</v>
      </c>
      <c r="AH99" t="s">
        <v>131</v>
      </c>
      <c r="AI99" t="s">
        <v>368</v>
      </c>
    </row>
    <row r="100" spans="33:35" x14ac:dyDescent="0.25">
      <c r="AG100" t="s">
        <v>121</v>
      </c>
      <c r="AH100" t="s">
        <v>131</v>
      </c>
      <c r="AI100" t="s">
        <v>370</v>
      </c>
    </row>
    <row r="101" spans="33:35" x14ac:dyDescent="0.25">
      <c r="AG101" t="s">
        <v>121</v>
      </c>
      <c r="AH101" t="s">
        <v>131</v>
      </c>
      <c r="AI101" t="s">
        <v>372</v>
      </c>
    </row>
    <row r="102" spans="33:35" x14ac:dyDescent="0.25">
      <c r="AG102" t="s">
        <v>121</v>
      </c>
      <c r="AH102" t="s">
        <v>131</v>
      </c>
      <c r="AI102" t="s">
        <v>374</v>
      </c>
    </row>
    <row r="103" spans="33:35" x14ac:dyDescent="0.25">
      <c r="AG103" t="s">
        <v>121</v>
      </c>
      <c r="AH103" t="s">
        <v>131</v>
      </c>
      <c r="AI103" t="s">
        <v>376</v>
      </c>
    </row>
    <row r="104" spans="33:35" x14ac:dyDescent="0.25">
      <c r="AG104" t="s">
        <v>121</v>
      </c>
      <c r="AH104" t="s">
        <v>131</v>
      </c>
      <c r="AI104" t="s">
        <v>378</v>
      </c>
    </row>
    <row r="105" spans="33:35" x14ac:dyDescent="0.25">
      <c r="AG105" t="s">
        <v>121</v>
      </c>
      <c r="AH105" t="s">
        <v>131</v>
      </c>
      <c r="AI105" t="s">
        <v>380</v>
      </c>
    </row>
    <row r="106" spans="33:35" x14ac:dyDescent="0.25">
      <c r="AG106">
        <v>0</v>
      </c>
      <c r="AH106">
        <v>0</v>
      </c>
      <c r="AI106">
        <v>0</v>
      </c>
    </row>
    <row r="107" spans="33:35" x14ac:dyDescent="0.25">
      <c r="AG107">
        <v>0</v>
      </c>
      <c r="AH107">
        <v>0</v>
      </c>
      <c r="AI107">
        <v>0</v>
      </c>
    </row>
    <row r="108" spans="33:35" x14ac:dyDescent="0.25">
      <c r="AG108">
        <v>0</v>
      </c>
      <c r="AH108">
        <v>0</v>
      </c>
      <c r="AI108">
        <v>0</v>
      </c>
    </row>
    <row r="109" spans="33:35" x14ac:dyDescent="0.25">
      <c r="AG109">
        <v>0</v>
      </c>
      <c r="AH109">
        <v>0</v>
      </c>
      <c r="AI109">
        <v>0</v>
      </c>
    </row>
    <row r="110" spans="33:35" x14ac:dyDescent="0.25">
      <c r="AG110">
        <v>0</v>
      </c>
      <c r="AH110">
        <v>0</v>
      </c>
      <c r="AI110">
        <v>0</v>
      </c>
    </row>
    <row r="111" spans="33:35" x14ac:dyDescent="0.25">
      <c r="AG111">
        <v>0</v>
      </c>
      <c r="AH111">
        <v>0</v>
      </c>
      <c r="AI111">
        <v>0</v>
      </c>
    </row>
    <row r="112" spans="33:35" x14ac:dyDescent="0.25">
      <c r="AG112">
        <v>0</v>
      </c>
      <c r="AH112">
        <v>0</v>
      </c>
      <c r="AI112">
        <v>0</v>
      </c>
    </row>
    <row r="113" spans="33:35" x14ac:dyDescent="0.25">
      <c r="AG113">
        <v>0</v>
      </c>
      <c r="AH113">
        <v>0</v>
      </c>
      <c r="AI113">
        <v>0</v>
      </c>
    </row>
    <row r="114" spans="33:35" x14ac:dyDescent="0.25">
      <c r="AG114">
        <v>0</v>
      </c>
      <c r="AH114">
        <v>0</v>
      </c>
      <c r="AI114">
        <v>0</v>
      </c>
    </row>
    <row r="115" spans="33:35" x14ac:dyDescent="0.25">
      <c r="AG115">
        <v>0</v>
      </c>
      <c r="AH115">
        <v>0</v>
      </c>
      <c r="AI115">
        <v>0</v>
      </c>
    </row>
    <row r="116" spans="33:35" x14ac:dyDescent="0.25">
      <c r="AG116">
        <v>0</v>
      </c>
      <c r="AH116">
        <v>0</v>
      </c>
      <c r="AI116">
        <v>0</v>
      </c>
    </row>
    <row r="117" spans="33:35" x14ac:dyDescent="0.25">
      <c r="AG117">
        <v>0</v>
      </c>
      <c r="AH117">
        <v>0</v>
      </c>
      <c r="AI117">
        <v>0</v>
      </c>
    </row>
    <row r="118" spans="33:35" x14ac:dyDescent="0.25">
      <c r="AG118">
        <v>0</v>
      </c>
      <c r="AH118">
        <v>0</v>
      </c>
      <c r="AI118">
        <v>0</v>
      </c>
    </row>
    <row r="119" spans="33:35" x14ac:dyDescent="0.25">
      <c r="AG119">
        <v>0</v>
      </c>
      <c r="AH119">
        <v>0</v>
      </c>
      <c r="AI119">
        <v>0</v>
      </c>
    </row>
    <row r="120" spans="33:35" x14ac:dyDescent="0.25">
      <c r="AG120">
        <v>0</v>
      </c>
      <c r="AH120">
        <v>0</v>
      </c>
      <c r="AI120">
        <v>0</v>
      </c>
    </row>
    <row r="121" spans="33:35" x14ac:dyDescent="0.25">
      <c r="AG121">
        <v>0</v>
      </c>
      <c r="AH121">
        <v>0</v>
      </c>
      <c r="AI121">
        <v>0</v>
      </c>
    </row>
    <row r="122" spans="33:35" x14ac:dyDescent="0.25">
      <c r="AG122">
        <v>0</v>
      </c>
      <c r="AH122">
        <v>0</v>
      </c>
      <c r="AI122">
        <v>0</v>
      </c>
    </row>
  </sheetData>
  <mergeCells count="47">
    <mergeCell ref="A45:F46"/>
    <mergeCell ref="G45:M46"/>
    <mergeCell ref="Y36:Z36"/>
    <mergeCell ref="W36:X36"/>
    <mergeCell ref="O38:R38"/>
    <mergeCell ref="A39:F40"/>
    <mergeCell ref="G39:M40"/>
    <mergeCell ref="AB41:AC41"/>
    <mergeCell ref="A42:F43"/>
    <mergeCell ref="G42:M43"/>
    <mergeCell ref="A32:M34"/>
    <mergeCell ref="O35:R35"/>
    <mergeCell ref="A36:F37"/>
    <mergeCell ref="G36:M37"/>
    <mergeCell ref="O36:R36"/>
    <mergeCell ref="O37:R37"/>
    <mergeCell ref="A23:F24"/>
    <mergeCell ref="G23:I24"/>
    <mergeCell ref="J23:M24"/>
    <mergeCell ref="A25:F26"/>
    <mergeCell ref="G25:M26"/>
    <mergeCell ref="A27:F28"/>
    <mergeCell ref="G27:I28"/>
    <mergeCell ref="J27:M28"/>
    <mergeCell ref="A17:F18"/>
    <mergeCell ref="G17:M18"/>
    <mergeCell ref="A19:F20"/>
    <mergeCell ref="G19:I20"/>
    <mergeCell ref="J19:M20"/>
    <mergeCell ref="A21:F22"/>
    <mergeCell ref="G21:I22"/>
    <mergeCell ref="J21:M22"/>
    <mergeCell ref="A9:F10"/>
    <mergeCell ref="G9:M10"/>
    <mergeCell ref="A12:F13"/>
    <mergeCell ref="G12:M13"/>
    <mergeCell ref="A15:F16"/>
    <mergeCell ref="G15:M16"/>
    <mergeCell ref="A2:M4"/>
    <mergeCell ref="AO2:AQ2"/>
    <mergeCell ref="A6:F7"/>
    <mergeCell ref="G6:M7"/>
    <mergeCell ref="O6:T7"/>
    <mergeCell ref="U6:W7"/>
    <mergeCell ref="X6:Z7"/>
    <mergeCell ref="AG7:AI7"/>
    <mergeCell ref="AK7:AM7"/>
  </mergeCells>
  <dataValidations count="3">
    <dataValidation type="list" allowBlank="1" showInputMessage="1" showErrorMessage="1" sqref="G12:M13" xr:uid="{565D786A-5C19-48F3-BE55-F2950E5458E6}">
      <formula1>MODEL</formula1>
    </dataValidation>
    <dataValidation type="list" allowBlank="1" showInputMessage="1" showErrorMessage="1" sqref="G9:M10" xr:uid="{1CBDB133-3751-4048-BFE2-8963FAE720F3}">
      <formula1>TYP</formula1>
    </dataValidation>
    <dataValidation type="list" allowBlank="1" showInputMessage="1" showErrorMessage="1" sqref="G6:M7" xr:uid="{7AC2B613-77C3-40E6-A928-486238EFEE1D}">
      <formula1>PRODUCENT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0A74-EC37-4B02-BEDD-8F13DC56DD74}">
  <dimension ref="A1:AE99"/>
  <sheetViews>
    <sheetView topLeftCell="E66" workbookViewId="0">
      <selection activeCell="O73" sqref="O73"/>
    </sheetView>
  </sheetViews>
  <sheetFormatPr defaultRowHeight="15" x14ac:dyDescent="0.25"/>
  <cols>
    <col min="1" max="1" width="14.28515625" style="98" bestFit="1" customWidth="1"/>
    <col min="2" max="2" width="11.5703125" style="98" bestFit="1" customWidth="1"/>
    <col min="3" max="3" width="30.5703125" style="98" bestFit="1" customWidth="1"/>
    <col min="4" max="4" width="16.85546875" style="98" bestFit="1" customWidth="1"/>
    <col min="5" max="5" width="19.28515625" style="98" bestFit="1" customWidth="1"/>
    <col min="6" max="6" width="23" style="105" bestFit="1" customWidth="1"/>
    <col min="7" max="7" width="12.5703125" style="98" bestFit="1" customWidth="1"/>
    <col min="8" max="8" width="16.42578125" style="98" bestFit="1" customWidth="1"/>
    <col min="9" max="9" width="8" style="98" bestFit="1" customWidth="1"/>
    <col min="10" max="10" width="15.140625" style="98" bestFit="1" customWidth="1"/>
    <col min="11" max="11" width="19.28515625" style="105" bestFit="1" customWidth="1"/>
    <col min="12" max="29" width="6.7109375" style="98" customWidth="1"/>
    <col min="30" max="16384" width="9.140625" style="98"/>
  </cols>
  <sheetData>
    <row r="1" spans="1:31" ht="15.75" thickBot="1" x14ac:dyDescent="0.3">
      <c r="A1" s="99" t="s">
        <v>154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 t="s">
        <v>155</v>
      </c>
      <c r="O1" s="99"/>
      <c r="P1" s="99"/>
      <c r="Q1" s="99"/>
      <c r="R1" s="99"/>
      <c r="S1" s="99"/>
      <c r="T1" s="99"/>
      <c r="U1" s="99"/>
      <c r="V1" s="99"/>
      <c r="W1" s="99" t="s">
        <v>156</v>
      </c>
      <c r="X1" s="99"/>
      <c r="Y1" s="99"/>
      <c r="Z1" s="99"/>
      <c r="AA1" s="99"/>
      <c r="AB1" s="99"/>
      <c r="AC1" s="99"/>
      <c r="AD1" s="99"/>
      <c r="AE1" s="99"/>
    </row>
    <row r="2" spans="1:31" ht="16.5" thickTop="1" thickBot="1" x14ac:dyDescent="0.3">
      <c r="A2" s="100" t="s">
        <v>120</v>
      </c>
      <c r="B2" s="101" t="s">
        <v>124</v>
      </c>
      <c r="C2" s="101" t="s">
        <v>125</v>
      </c>
      <c r="D2" s="102" t="s">
        <v>157</v>
      </c>
      <c r="E2" s="101" t="s">
        <v>158</v>
      </c>
      <c r="F2" s="101" t="s">
        <v>159</v>
      </c>
      <c r="G2" s="101" t="s">
        <v>160</v>
      </c>
      <c r="H2" s="101" t="s">
        <v>161</v>
      </c>
      <c r="I2" s="101" t="s">
        <v>162</v>
      </c>
      <c r="J2" s="101" t="s">
        <v>163</v>
      </c>
      <c r="K2" s="101" t="s">
        <v>139</v>
      </c>
      <c r="L2" s="101" t="s">
        <v>164</v>
      </c>
      <c r="M2" s="103" t="s">
        <v>165</v>
      </c>
      <c r="N2" s="101" t="s">
        <v>166</v>
      </c>
      <c r="O2" s="101" t="s">
        <v>167</v>
      </c>
      <c r="P2" s="101" t="s">
        <v>168</v>
      </c>
      <c r="Q2" s="101" t="s">
        <v>169</v>
      </c>
      <c r="R2" s="101" t="s">
        <v>170</v>
      </c>
      <c r="S2" s="101" t="s">
        <v>171</v>
      </c>
      <c r="T2" s="101" t="s">
        <v>172</v>
      </c>
      <c r="U2" s="101" t="s">
        <v>173</v>
      </c>
      <c r="V2" s="103" t="s">
        <v>174</v>
      </c>
      <c r="W2" s="101" t="s">
        <v>175</v>
      </c>
      <c r="X2" s="101" t="s">
        <v>176</v>
      </c>
      <c r="Y2" s="101" t="s">
        <v>177</v>
      </c>
      <c r="Z2" s="101" t="s">
        <v>178</v>
      </c>
      <c r="AA2" s="101" t="s">
        <v>179</v>
      </c>
      <c r="AB2" s="101" t="s">
        <v>180</v>
      </c>
      <c r="AC2" s="101" t="s">
        <v>181</v>
      </c>
      <c r="AD2" s="101" t="s">
        <v>182</v>
      </c>
      <c r="AE2" s="103" t="s">
        <v>183</v>
      </c>
    </row>
    <row r="3" spans="1:31" ht="15.75" thickTop="1" x14ac:dyDescent="0.25">
      <c r="A3" s="98" t="s">
        <v>128</v>
      </c>
      <c r="B3" s="98" t="s">
        <v>127</v>
      </c>
      <c r="C3" s="98" t="s">
        <v>184</v>
      </c>
      <c r="D3" s="104" t="s">
        <v>185</v>
      </c>
      <c r="E3" s="105" t="s">
        <v>186</v>
      </c>
      <c r="F3" s="105">
        <v>22526</v>
      </c>
      <c r="G3" s="106">
        <v>0.47</v>
      </c>
      <c r="H3" s="105">
        <f>BAZA_PC[[#This Row],[CENA KATALOGOWA]]*(1-BAZA_PC[[#This Row],[RABAT]])</f>
        <v>11938.78</v>
      </c>
      <c r="I3" s="107">
        <v>3</v>
      </c>
      <c r="J3" s="107">
        <v>3</v>
      </c>
      <c r="K3" s="108">
        <v>5.07</v>
      </c>
      <c r="L3" s="98">
        <v>1</v>
      </c>
      <c r="M3" s="109">
        <v>5</v>
      </c>
      <c r="N3" s="105">
        <v>3.2</v>
      </c>
      <c r="O3" s="105">
        <v>3.2</v>
      </c>
      <c r="P3" s="105">
        <v>3.3</v>
      </c>
      <c r="Q3" s="105">
        <f>BAZA_PC[[#This Row],[-7]]+((BAZA_PC[[#This Row],[2]]-BAZA_PC[[#This Row],[-7]])/9*5)</f>
        <v>3.2444444444444445</v>
      </c>
      <c r="R3" s="105">
        <v>3.2</v>
      </c>
      <c r="S3" s="105">
        <v>3.2</v>
      </c>
      <c r="T3" s="105">
        <v>3.2</v>
      </c>
      <c r="U3" s="105">
        <v>3.2</v>
      </c>
      <c r="V3" s="110">
        <v>3.2</v>
      </c>
      <c r="W3" s="105">
        <f>BAZA_PC[[#This Row],[E-15]]-((BAZA_PC[[#This Row],[E-7]]-BAZA_PC[[#This Row],[E-15]])/8*5)</f>
        <v>1.4887500000000002</v>
      </c>
      <c r="X3" s="105">
        <v>1.37</v>
      </c>
      <c r="Y3" s="105">
        <v>1.18</v>
      </c>
      <c r="Z3" s="105">
        <f>BAZA_PC[[#This Row],[E-7]]+((BAZA_PC[[#This Row],[E2]]-BAZA_PC[[#This Row],[E-7]])/9*5)</f>
        <v>1.0133333333333332</v>
      </c>
      <c r="AA3" s="105">
        <v>0.88</v>
      </c>
      <c r="AB3" s="105">
        <v>0.6</v>
      </c>
      <c r="AC3" s="105">
        <v>0.6</v>
      </c>
      <c r="AD3" s="105">
        <v>0.6</v>
      </c>
      <c r="AE3" s="105">
        <v>0.6</v>
      </c>
    </row>
    <row r="4" spans="1:31" x14ac:dyDescent="0.25">
      <c r="A4" s="98" t="s">
        <v>128</v>
      </c>
      <c r="B4" s="98" t="s">
        <v>127</v>
      </c>
      <c r="C4" s="98" t="s">
        <v>187</v>
      </c>
      <c r="D4" s="105" t="s">
        <v>188</v>
      </c>
      <c r="E4" s="105" t="s">
        <v>186</v>
      </c>
      <c r="F4" s="105">
        <v>23461</v>
      </c>
      <c r="G4" s="106">
        <v>0.47</v>
      </c>
      <c r="H4" s="105">
        <f>BAZA_PC[[#This Row],[CENA KATALOGOWA]]*(1-BAZA_PC[[#This Row],[RABAT]])</f>
        <v>12434.33</v>
      </c>
      <c r="I4" s="111">
        <v>5</v>
      </c>
      <c r="J4" s="111">
        <v>3</v>
      </c>
      <c r="K4" s="112">
        <v>5.12</v>
      </c>
      <c r="L4" s="98">
        <v>1</v>
      </c>
      <c r="M4" s="113">
        <v>5</v>
      </c>
      <c r="N4" s="105">
        <v>5</v>
      </c>
      <c r="O4" s="105">
        <v>5</v>
      </c>
      <c r="P4" s="105">
        <v>5</v>
      </c>
      <c r="Q4" s="105">
        <f>BAZA_PC[[#This Row],[-7]]+((BAZA_PC[[#This Row],[2]]-BAZA_PC[[#This Row],[-7]])/9*5)</f>
        <v>5</v>
      </c>
      <c r="R4" s="105">
        <v>5</v>
      </c>
      <c r="S4" s="105">
        <v>5</v>
      </c>
      <c r="T4" s="105">
        <v>5</v>
      </c>
      <c r="U4" s="105">
        <v>5</v>
      </c>
      <c r="V4" s="110">
        <v>5</v>
      </c>
      <c r="W4" s="105">
        <f>BAZA_PC[[#This Row],[E-15]]-((BAZA_PC[[#This Row],[E-7]]-BAZA_PC[[#This Row],[E-15]])/8*5)</f>
        <v>2.3099999999999996</v>
      </c>
      <c r="X4" s="105">
        <v>2.11</v>
      </c>
      <c r="Y4" s="105">
        <v>1.79</v>
      </c>
      <c r="Z4" s="105">
        <f>BAZA_PC[[#This Row],[E-7]]+((BAZA_PC[[#This Row],[E2]]-BAZA_PC[[#This Row],[E-7]])/9*5)</f>
        <v>1.5733333333333333</v>
      </c>
      <c r="AA4" s="105">
        <v>1.4</v>
      </c>
      <c r="AB4" s="105">
        <v>0.98</v>
      </c>
      <c r="AC4" s="105">
        <v>0.98</v>
      </c>
      <c r="AD4" s="105">
        <v>0.98</v>
      </c>
      <c r="AE4" s="105">
        <v>0.98</v>
      </c>
    </row>
    <row r="5" spans="1:31" x14ac:dyDescent="0.25">
      <c r="A5" s="98" t="s">
        <v>128</v>
      </c>
      <c r="B5" s="98" t="s">
        <v>127</v>
      </c>
      <c r="C5" s="98" t="s">
        <v>189</v>
      </c>
      <c r="D5" s="105" t="s">
        <v>190</v>
      </c>
      <c r="E5" s="105" t="s">
        <v>186</v>
      </c>
      <c r="F5" s="105">
        <v>24875</v>
      </c>
      <c r="G5" s="106">
        <v>0.47</v>
      </c>
      <c r="H5" s="105">
        <f>BAZA_PC[[#This Row],[CENA KATALOGOWA]]*(1-BAZA_PC[[#This Row],[RABAT]])</f>
        <v>13183.75</v>
      </c>
      <c r="I5" s="111">
        <v>7</v>
      </c>
      <c r="J5" s="111">
        <v>3</v>
      </c>
      <c r="K5" s="112">
        <v>4.9000000000000004</v>
      </c>
      <c r="L5" s="98">
        <v>1</v>
      </c>
      <c r="M5" s="113">
        <v>5</v>
      </c>
      <c r="N5" s="105">
        <f>BAZA_PC[[#This Row],[-15]]-((BAZA_PC[[#This Row],[-7]]-BAZA_PC[[#This Row],[-15]])/8*5)</f>
        <v>5.5062499999999996</v>
      </c>
      <c r="O5" s="105">
        <v>5.6</v>
      </c>
      <c r="P5" s="105">
        <v>5.75</v>
      </c>
      <c r="Q5" s="105">
        <f>BAZA_PC[[#This Row],[-7]]+((BAZA_PC[[#This Row],[2]]-BAZA_PC[[#This Row],[-7]])/9*5)</f>
        <v>6.3611111111111107</v>
      </c>
      <c r="R5" s="105">
        <v>6.85</v>
      </c>
      <c r="S5" s="105">
        <v>7</v>
      </c>
      <c r="T5" s="105">
        <v>7</v>
      </c>
      <c r="U5" s="105">
        <v>7</v>
      </c>
      <c r="V5" s="110">
        <v>7</v>
      </c>
      <c r="W5" s="105">
        <f>BAZA_PC[[#This Row],[E-15]]-((BAZA_PC[[#This Row],[E-7]]-BAZA_PC[[#This Row],[E-15]])/8*5)</f>
        <v>2.6487499999999997</v>
      </c>
      <c r="X5" s="105">
        <v>2.38</v>
      </c>
      <c r="Y5" s="105">
        <v>1.95</v>
      </c>
      <c r="Z5" s="105">
        <f>BAZA_PC[[#This Row],[E-7]]+((BAZA_PC[[#This Row],[E2]]-BAZA_PC[[#This Row],[E-7]])/9*5)</f>
        <v>1.9777777777777779</v>
      </c>
      <c r="AA5" s="105">
        <v>2</v>
      </c>
      <c r="AB5" s="105">
        <v>1.44</v>
      </c>
      <c r="AC5" s="105">
        <v>1.44</v>
      </c>
      <c r="AD5" s="105">
        <v>1.44</v>
      </c>
      <c r="AE5" s="105">
        <v>1.44</v>
      </c>
    </row>
    <row r="6" spans="1:31" x14ac:dyDescent="0.25">
      <c r="A6" s="98" t="s">
        <v>128</v>
      </c>
      <c r="B6" s="98" t="s">
        <v>127</v>
      </c>
      <c r="C6" s="114" t="s">
        <v>191</v>
      </c>
      <c r="D6" s="105" t="s">
        <v>192</v>
      </c>
      <c r="E6" s="105" t="s">
        <v>186</v>
      </c>
      <c r="F6" s="105">
        <v>27164</v>
      </c>
      <c r="G6" s="106">
        <v>0.47</v>
      </c>
      <c r="H6" s="105">
        <f>BAZA_PC[[#This Row],[CENA KATALOGOWA]]*(1-BAZA_PC[[#This Row],[RABAT]])</f>
        <v>14396.92</v>
      </c>
      <c r="I6" s="111">
        <v>9</v>
      </c>
      <c r="J6" s="111">
        <v>3</v>
      </c>
      <c r="K6" s="112">
        <v>4.4400000000000004</v>
      </c>
      <c r="L6" s="98">
        <v>1</v>
      </c>
      <c r="M6" s="113">
        <v>5</v>
      </c>
      <c r="N6" s="105">
        <f>BAZA_PC[[#This Row],[-15]]-((BAZA_PC[[#This Row],[-7]]-BAZA_PC[[#This Row],[-15]])/8*5)</f>
        <v>8.1187500000000004</v>
      </c>
      <c r="O6" s="105">
        <v>7.4</v>
      </c>
      <c r="P6" s="105">
        <v>6.25</v>
      </c>
      <c r="Q6" s="105">
        <f>BAZA_PC[[#This Row],[-7]]+((BAZA_PC[[#This Row],[2]]-BAZA_PC[[#This Row],[-7]])/9*5)</f>
        <v>6.666666666666667</v>
      </c>
      <c r="R6" s="105">
        <v>7</v>
      </c>
      <c r="S6" s="105">
        <v>9</v>
      </c>
      <c r="T6" s="105">
        <v>9</v>
      </c>
      <c r="U6" s="105">
        <v>9</v>
      </c>
      <c r="V6" s="110">
        <v>9</v>
      </c>
      <c r="W6" s="105">
        <f>BAZA_PC[[#This Row],[E-15]]-((BAZA_PC[[#This Row],[E-7]]-BAZA_PC[[#This Row],[E-15]])/8*5)</f>
        <v>3.8250000000000002</v>
      </c>
      <c r="X6" s="105">
        <v>3.2</v>
      </c>
      <c r="Y6" s="105">
        <v>2.2000000000000002</v>
      </c>
      <c r="Z6" s="105">
        <f>BAZA_PC[[#This Row],[E-7]]+((BAZA_PC[[#This Row],[E2]]-BAZA_PC[[#This Row],[E-7]])/9*5)</f>
        <v>2.1222222222222222</v>
      </c>
      <c r="AA6" s="105">
        <v>2.06</v>
      </c>
      <c r="AB6" s="105">
        <v>1.98</v>
      </c>
      <c r="AC6" s="105">
        <v>1.98</v>
      </c>
      <c r="AD6" s="105">
        <v>1.98</v>
      </c>
      <c r="AE6" s="105">
        <v>1.98</v>
      </c>
    </row>
    <row r="7" spans="1:31" x14ac:dyDescent="0.25">
      <c r="A7" s="98" t="s">
        <v>128</v>
      </c>
      <c r="B7" s="98" t="s">
        <v>127</v>
      </c>
      <c r="C7" s="98" t="s">
        <v>193</v>
      </c>
      <c r="D7" s="98" t="s">
        <v>194</v>
      </c>
      <c r="E7" s="98" t="s">
        <v>195</v>
      </c>
      <c r="F7" s="105">
        <v>31519</v>
      </c>
      <c r="G7" s="106">
        <v>0.47</v>
      </c>
      <c r="H7" s="105">
        <f>BAZA_PC[[#This Row],[CENA KATALOGOWA]]*(1-BAZA_PC[[#This Row],[RABAT]])</f>
        <v>16705.07</v>
      </c>
      <c r="I7" s="111">
        <v>12</v>
      </c>
      <c r="J7" s="111">
        <v>6</v>
      </c>
      <c r="K7" s="112">
        <v>4.82</v>
      </c>
      <c r="L7" s="98">
        <v>1</v>
      </c>
      <c r="M7" s="113">
        <v>5</v>
      </c>
      <c r="N7" s="105">
        <v>7.9</v>
      </c>
      <c r="O7" s="105">
        <v>8.9</v>
      </c>
      <c r="P7" s="105">
        <v>10</v>
      </c>
      <c r="Q7" s="105">
        <f>BAZA_PC[[#This Row],[-7]]+((BAZA_PC[[#This Row],[2]]-BAZA_PC[[#This Row],[-7]])/9*5)</f>
        <v>10.777777777777779</v>
      </c>
      <c r="R7" s="105">
        <v>11.4</v>
      </c>
      <c r="S7" s="105">
        <v>12</v>
      </c>
      <c r="T7" s="105">
        <v>12</v>
      </c>
      <c r="U7" s="105">
        <v>12</v>
      </c>
      <c r="V7" s="110">
        <v>12</v>
      </c>
      <c r="W7" s="105">
        <v>2.1237499999999998</v>
      </c>
      <c r="X7" s="105">
        <v>3.62</v>
      </c>
      <c r="Y7" s="105">
        <v>3.66</v>
      </c>
      <c r="Z7" s="105">
        <f>BAZA_PC[[#This Row],[E-7]]+((BAZA_PC[[#This Row],[E2]]-BAZA_PC[[#This Row],[E-7]])/9*5)</f>
        <v>3.4655555555555555</v>
      </c>
      <c r="AA7" s="105">
        <v>3.31</v>
      </c>
      <c r="AB7" s="105">
        <v>2.5299999999999998</v>
      </c>
      <c r="AC7" s="105">
        <v>0.89230769230769225</v>
      </c>
      <c r="AD7" s="105">
        <v>0.82769230769230773</v>
      </c>
      <c r="AE7" s="105">
        <v>1.66</v>
      </c>
    </row>
    <row r="8" spans="1:31" x14ac:dyDescent="0.25">
      <c r="A8" s="98" t="s">
        <v>128</v>
      </c>
      <c r="B8" s="98" t="s">
        <v>127</v>
      </c>
      <c r="C8" s="98" t="s">
        <v>196</v>
      </c>
      <c r="D8" s="98" t="s">
        <v>197</v>
      </c>
      <c r="E8" s="98" t="s">
        <v>198</v>
      </c>
      <c r="F8" s="105">
        <v>32822</v>
      </c>
      <c r="G8" s="106">
        <v>0.47</v>
      </c>
      <c r="H8" s="105">
        <f>BAZA_PC[[#This Row],[CENA KATALOGOWA]]*(1-BAZA_PC[[#This Row],[RABAT]])</f>
        <v>17395.66</v>
      </c>
      <c r="I8" s="111">
        <v>12</v>
      </c>
      <c r="J8" s="111">
        <v>9</v>
      </c>
      <c r="K8" s="112">
        <v>4.82</v>
      </c>
      <c r="L8" s="98">
        <v>3</v>
      </c>
      <c r="M8" s="113">
        <v>5</v>
      </c>
      <c r="N8" s="105">
        <v>7.9</v>
      </c>
      <c r="O8" s="105">
        <v>8.9</v>
      </c>
      <c r="P8" s="105">
        <v>10</v>
      </c>
      <c r="Q8" s="105">
        <f>BAZA_PC[[#This Row],[-7]]+((BAZA_PC[[#This Row],[2]]-BAZA_PC[[#This Row],[-7]])/9*5)</f>
        <v>10.777777777777779</v>
      </c>
      <c r="R8" s="105">
        <v>11.4</v>
      </c>
      <c r="S8" s="105">
        <v>12</v>
      </c>
      <c r="T8" s="105">
        <v>12</v>
      </c>
      <c r="U8" s="105">
        <v>12</v>
      </c>
      <c r="V8" s="110">
        <v>12</v>
      </c>
      <c r="W8" s="105">
        <v>2.03125</v>
      </c>
      <c r="X8" s="105">
        <v>3.62</v>
      </c>
      <c r="Y8" s="105">
        <v>3.66</v>
      </c>
      <c r="Z8" s="105">
        <f>BAZA_PC[[#This Row],[E-7]]+((BAZA_PC[[#This Row],[E2]]-BAZA_PC[[#This Row],[E-7]])/9*5)</f>
        <v>3.4655555555555555</v>
      </c>
      <c r="AA8" s="105">
        <v>3.31</v>
      </c>
      <c r="AB8" s="105">
        <v>2.5299999999999998</v>
      </c>
      <c r="AC8" s="105">
        <v>1.2507692307692309</v>
      </c>
      <c r="AD8" s="105">
        <v>1.1192307692307693</v>
      </c>
      <c r="AE8" s="105">
        <v>1.66</v>
      </c>
    </row>
    <row r="9" spans="1:31" x14ac:dyDescent="0.25">
      <c r="A9" s="98" t="s">
        <v>128</v>
      </c>
      <c r="B9" s="98" t="s">
        <v>127</v>
      </c>
      <c r="C9" s="98" t="s">
        <v>199</v>
      </c>
      <c r="D9" s="98" t="s">
        <v>200</v>
      </c>
      <c r="E9" s="98" t="s">
        <v>201</v>
      </c>
      <c r="F9" s="105">
        <v>37731</v>
      </c>
      <c r="G9" s="106">
        <v>0.47</v>
      </c>
      <c r="H9" s="105">
        <f>BAZA_PC[[#This Row],[CENA KATALOGOWA]]*(1-BAZA_PC[[#This Row],[RABAT]])</f>
        <v>19997.43</v>
      </c>
      <c r="I9" s="111">
        <v>16</v>
      </c>
      <c r="J9" s="111">
        <v>6</v>
      </c>
      <c r="K9" s="112">
        <v>4.82</v>
      </c>
      <c r="L9" s="98">
        <v>1</v>
      </c>
      <c r="M9" s="113">
        <v>5</v>
      </c>
      <c r="N9" s="105">
        <v>9.1999999999999993</v>
      </c>
      <c r="O9" s="105">
        <v>10.3</v>
      </c>
      <c r="P9" s="105">
        <v>11.4</v>
      </c>
      <c r="Q9" s="105">
        <f>BAZA_PC[[#This Row],[-7]]+((BAZA_PC[[#This Row],[2]]-BAZA_PC[[#This Row],[-7]])/9*5)</f>
        <v>12.28888888888889</v>
      </c>
      <c r="R9" s="105">
        <v>13</v>
      </c>
      <c r="S9" s="105">
        <v>16</v>
      </c>
      <c r="T9" s="105">
        <v>16</v>
      </c>
      <c r="U9" s="105">
        <v>16</v>
      </c>
      <c r="V9" s="110">
        <v>16</v>
      </c>
      <c r="W9" s="105">
        <v>3.8250000000000002</v>
      </c>
      <c r="X9" s="105">
        <v>4.38</v>
      </c>
      <c r="Y9" s="105">
        <v>4.43</v>
      </c>
      <c r="Z9" s="105">
        <f>BAZA_PC[[#This Row],[E-7]]+((BAZA_PC[[#This Row],[E2]]-BAZA_PC[[#This Row],[E-7]])/9*5)</f>
        <v>4.1688888888888886</v>
      </c>
      <c r="AA9" s="105">
        <v>3.96</v>
      </c>
      <c r="AB9" s="105">
        <v>3.74</v>
      </c>
      <c r="AC9" s="105">
        <v>1.733076923076923</v>
      </c>
      <c r="AD9" s="105">
        <v>1.5669230769230769</v>
      </c>
      <c r="AE9" s="105">
        <v>2.69</v>
      </c>
    </row>
    <row r="10" spans="1:31" x14ac:dyDescent="0.25">
      <c r="A10" s="98" t="s">
        <v>128</v>
      </c>
      <c r="B10" s="98" t="s">
        <v>127</v>
      </c>
      <c r="C10" s="98" t="s">
        <v>202</v>
      </c>
      <c r="D10" s="98" t="s">
        <v>203</v>
      </c>
      <c r="E10" s="98" t="s">
        <v>204</v>
      </c>
      <c r="F10" s="105">
        <v>39374</v>
      </c>
      <c r="G10" s="106">
        <v>0.47</v>
      </c>
      <c r="H10" s="105">
        <f>BAZA_PC[[#This Row],[CENA KATALOGOWA]]*(1-BAZA_PC[[#This Row],[RABAT]])</f>
        <v>20868.22</v>
      </c>
      <c r="I10" s="111">
        <v>16</v>
      </c>
      <c r="J10" s="111">
        <v>9</v>
      </c>
      <c r="K10" s="112">
        <v>4.82</v>
      </c>
      <c r="L10" s="98">
        <v>3</v>
      </c>
      <c r="M10" s="113">
        <v>5</v>
      </c>
      <c r="N10" s="105">
        <v>9.1999999999999993</v>
      </c>
      <c r="O10" s="105">
        <v>10.3</v>
      </c>
      <c r="P10" s="105">
        <v>11.4</v>
      </c>
      <c r="Q10" s="105">
        <f>BAZA_PC[[#This Row],[-7]]+((BAZA_PC[[#This Row],[2]]-BAZA_PC[[#This Row],[-7]])/9*5)</f>
        <v>12.28888888888889</v>
      </c>
      <c r="R10" s="105">
        <v>13</v>
      </c>
      <c r="S10" s="105">
        <v>16</v>
      </c>
      <c r="T10" s="105">
        <v>16</v>
      </c>
      <c r="U10" s="105">
        <v>16</v>
      </c>
      <c r="V10" s="110">
        <v>16</v>
      </c>
      <c r="W10" s="105">
        <v>3.24125</v>
      </c>
      <c r="X10" s="105">
        <v>4.38</v>
      </c>
      <c r="Y10" s="105">
        <v>4.43</v>
      </c>
      <c r="Z10" s="105">
        <f>BAZA_PC[[#This Row],[E-7]]+((BAZA_PC[[#This Row],[E2]]-BAZA_PC[[#This Row],[E-7]])/9*5)</f>
        <v>4.1688888888888886</v>
      </c>
      <c r="AA10" s="105">
        <v>3.96</v>
      </c>
      <c r="AB10" s="105">
        <v>3.74</v>
      </c>
      <c r="AC10" s="105">
        <v>1.6215384615384616</v>
      </c>
      <c r="AD10" s="105">
        <v>1.4784615384615385</v>
      </c>
      <c r="AE10" s="105">
        <v>2.69</v>
      </c>
    </row>
    <row r="11" spans="1:31" x14ac:dyDescent="0.25">
      <c r="A11" s="98" t="s">
        <v>128</v>
      </c>
      <c r="B11" s="98" t="s">
        <v>127</v>
      </c>
      <c r="C11" s="98" t="s">
        <v>205</v>
      </c>
      <c r="D11" s="115" t="s">
        <v>206</v>
      </c>
      <c r="E11" s="58" t="s">
        <v>207</v>
      </c>
      <c r="F11" s="116">
        <v>32350</v>
      </c>
      <c r="G11" s="106">
        <v>0.47</v>
      </c>
      <c r="H11" s="105">
        <f>BAZA_PC[[#This Row],[CENA KATALOGOWA]]*(1-BAZA_PC[[#This Row],[RABAT]])</f>
        <v>17145.5</v>
      </c>
      <c r="I11" s="111">
        <v>9</v>
      </c>
      <c r="J11" s="111">
        <v>3</v>
      </c>
      <c r="K11" s="112">
        <v>4.96</v>
      </c>
      <c r="L11" s="98">
        <v>1</v>
      </c>
      <c r="M11" s="113">
        <v>5</v>
      </c>
      <c r="N11" s="105">
        <v>9</v>
      </c>
      <c r="O11" s="105">
        <v>9</v>
      </c>
      <c r="P11" s="105">
        <v>9</v>
      </c>
      <c r="Q11" s="105">
        <v>9</v>
      </c>
      <c r="R11" s="105">
        <v>9</v>
      </c>
      <c r="S11" s="105">
        <v>9</v>
      </c>
      <c r="T11" s="105">
        <v>10.278</v>
      </c>
      <c r="U11" s="105">
        <v>11.044</v>
      </c>
      <c r="V11" s="110">
        <v>12.32</v>
      </c>
      <c r="W11" s="105">
        <v>4.5</v>
      </c>
      <c r="X11" s="105">
        <v>3.51</v>
      </c>
      <c r="Y11" s="105">
        <v>3.16</v>
      </c>
      <c r="Z11" s="105">
        <v>2.798888888888889</v>
      </c>
      <c r="AA11" s="105">
        <v>2.5099999999999998</v>
      </c>
      <c r="AB11" s="105">
        <v>1.86</v>
      </c>
      <c r="AC11" s="105">
        <v>1.81</v>
      </c>
      <c r="AD11" s="105">
        <v>1.76</v>
      </c>
      <c r="AE11" s="105">
        <v>1.71</v>
      </c>
    </row>
    <row r="12" spans="1:31" x14ac:dyDescent="0.25">
      <c r="A12" s="98" t="s">
        <v>128</v>
      </c>
      <c r="B12" s="98" t="s">
        <v>127</v>
      </c>
      <c r="C12" s="98" t="s">
        <v>208</v>
      </c>
      <c r="D12" s="115" t="s">
        <v>209</v>
      </c>
      <c r="E12" s="58" t="s">
        <v>210</v>
      </c>
      <c r="F12" s="105">
        <v>35795</v>
      </c>
      <c r="G12" s="106">
        <v>0.47</v>
      </c>
      <c r="H12" s="105">
        <f>BAZA_PC[[#This Row],[CENA KATALOGOWA]]*(1-BAZA_PC[[#This Row],[RABAT]])</f>
        <v>18971.350000000002</v>
      </c>
      <c r="I12" s="111">
        <v>9</v>
      </c>
      <c r="J12" s="111">
        <v>3</v>
      </c>
      <c r="K12" s="112">
        <v>4.96</v>
      </c>
      <c r="L12" s="98">
        <v>3</v>
      </c>
      <c r="M12" s="113">
        <v>5</v>
      </c>
      <c r="N12" s="105">
        <v>9</v>
      </c>
      <c r="O12" s="105">
        <v>9</v>
      </c>
      <c r="P12" s="105">
        <v>9</v>
      </c>
      <c r="Q12" s="105">
        <v>9</v>
      </c>
      <c r="R12" s="105">
        <v>9</v>
      </c>
      <c r="S12" s="105">
        <v>9</v>
      </c>
      <c r="T12" s="105">
        <v>10.278</v>
      </c>
      <c r="U12" s="105">
        <v>11.044</v>
      </c>
      <c r="V12" s="110">
        <v>12.32</v>
      </c>
      <c r="W12" s="105">
        <v>4.5</v>
      </c>
      <c r="X12" s="105">
        <v>3.51</v>
      </c>
      <c r="Y12" s="105">
        <v>3.16</v>
      </c>
      <c r="Z12" s="105">
        <v>2.798888888888889</v>
      </c>
      <c r="AA12" s="105">
        <v>2.5099999999999998</v>
      </c>
      <c r="AB12" s="105">
        <v>1.86</v>
      </c>
      <c r="AC12" s="105">
        <v>1.81</v>
      </c>
      <c r="AD12" s="105">
        <v>1.76</v>
      </c>
      <c r="AE12" s="105">
        <v>1.71</v>
      </c>
    </row>
    <row r="13" spans="1:31" x14ac:dyDescent="0.25">
      <c r="A13" s="98" t="s">
        <v>128</v>
      </c>
      <c r="B13" s="98" t="s">
        <v>127</v>
      </c>
      <c r="C13" s="98" t="s">
        <v>211</v>
      </c>
      <c r="D13" s="115" t="s">
        <v>212</v>
      </c>
      <c r="E13" s="105" t="s">
        <v>213</v>
      </c>
      <c r="F13" s="105">
        <v>37726</v>
      </c>
      <c r="G13" s="106">
        <v>0.47</v>
      </c>
      <c r="H13" s="105">
        <f>BAZA_PC[[#This Row],[CENA KATALOGOWA]]*(1-BAZA_PC[[#This Row],[RABAT]])</f>
        <v>19994.780000000002</v>
      </c>
      <c r="I13" s="111">
        <v>12</v>
      </c>
      <c r="J13" s="111">
        <v>9</v>
      </c>
      <c r="K13" s="112">
        <v>4.96</v>
      </c>
      <c r="L13" s="98">
        <v>1</v>
      </c>
      <c r="M13" s="113">
        <v>5</v>
      </c>
      <c r="N13" s="105">
        <v>12</v>
      </c>
      <c r="O13" s="105">
        <v>12</v>
      </c>
      <c r="P13" s="105">
        <v>12</v>
      </c>
      <c r="Q13" s="105">
        <v>12</v>
      </c>
      <c r="R13" s="105">
        <v>12</v>
      </c>
      <c r="S13" s="105">
        <v>12</v>
      </c>
      <c r="T13" s="105">
        <v>10.278</v>
      </c>
      <c r="U13" s="105">
        <v>11.044</v>
      </c>
      <c r="V13" s="110">
        <v>12.32</v>
      </c>
      <c r="W13" s="105">
        <v>6.3157894736842106</v>
      </c>
      <c r="X13" s="105">
        <v>4.96</v>
      </c>
      <c r="Y13" s="105">
        <v>4.41</v>
      </c>
      <c r="Z13" s="105">
        <v>3.8988888888888891</v>
      </c>
      <c r="AA13" s="105">
        <v>3.49</v>
      </c>
      <c r="AB13" s="105">
        <v>2.5299999999999998</v>
      </c>
      <c r="AC13" s="105">
        <v>2.2338461538461538</v>
      </c>
      <c r="AD13" s="105">
        <v>2.0561538461538462</v>
      </c>
      <c r="AE13" s="105">
        <v>1.76</v>
      </c>
    </row>
    <row r="14" spans="1:31" x14ac:dyDescent="0.25">
      <c r="A14" s="98" t="s">
        <v>128</v>
      </c>
      <c r="B14" s="98" t="s">
        <v>127</v>
      </c>
      <c r="C14" s="98" t="s">
        <v>214</v>
      </c>
      <c r="D14" s="115" t="s">
        <v>215</v>
      </c>
      <c r="E14" s="105" t="s">
        <v>216</v>
      </c>
      <c r="F14" s="105">
        <v>40971</v>
      </c>
      <c r="G14" s="106">
        <v>0.47</v>
      </c>
      <c r="H14" s="105">
        <f>BAZA_PC[[#This Row],[CENA KATALOGOWA]]*(1-BAZA_PC[[#This Row],[RABAT]])</f>
        <v>21714.63</v>
      </c>
      <c r="I14" s="111">
        <v>12</v>
      </c>
      <c r="J14" s="111">
        <v>9</v>
      </c>
      <c r="K14" s="112">
        <v>4.96</v>
      </c>
      <c r="L14" s="98">
        <v>3</v>
      </c>
      <c r="M14" s="113">
        <v>5</v>
      </c>
      <c r="N14" s="105">
        <v>12</v>
      </c>
      <c r="O14" s="105">
        <v>12</v>
      </c>
      <c r="P14" s="105">
        <v>12</v>
      </c>
      <c r="Q14" s="105">
        <v>12</v>
      </c>
      <c r="R14" s="105">
        <v>12</v>
      </c>
      <c r="S14" s="105">
        <v>12</v>
      </c>
      <c r="T14" s="105">
        <v>10.278</v>
      </c>
      <c r="U14" s="105">
        <v>11.044</v>
      </c>
      <c r="V14" s="110">
        <v>12.32</v>
      </c>
      <c r="W14" s="105">
        <v>6.3157894736842106</v>
      </c>
      <c r="X14" s="105">
        <v>4.96</v>
      </c>
      <c r="Y14" s="105">
        <v>4.41</v>
      </c>
      <c r="Z14" s="105">
        <v>3.8988888888888891</v>
      </c>
      <c r="AA14" s="105">
        <v>3.49</v>
      </c>
      <c r="AB14" s="105">
        <v>2.5299999999999998</v>
      </c>
      <c r="AC14" s="105">
        <v>2.2338461538461538</v>
      </c>
      <c r="AD14" s="105">
        <v>2.0561538461538462</v>
      </c>
      <c r="AE14" s="105">
        <v>1.76</v>
      </c>
    </row>
    <row r="15" spans="1:31" x14ac:dyDescent="0.25">
      <c r="A15" s="98" t="s">
        <v>128</v>
      </c>
      <c r="B15" s="98" t="s">
        <v>127</v>
      </c>
      <c r="C15" s="98" t="s">
        <v>217</v>
      </c>
      <c r="D15" s="115" t="s">
        <v>218</v>
      </c>
      <c r="E15" s="105" t="s">
        <v>219</v>
      </c>
      <c r="F15" s="105">
        <v>44306</v>
      </c>
      <c r="G15" s="106">
        <v>0.47</v>
      </c>
      <c r="H15" s="105">
        <f>BAZA_PC[[#This Row],[CENA KATALOGOWA]]*(1-BAZA_PC[[#This Row],[RABAT]])</f>
        <v>23482.18</v>
      </c>
      <c r="I15" s="111">
        <v>16</v>
      </c>
      <c r="J15" s="111">
        <v>9</v>
      </c>
      <c r="K15" s="112">
        <v>4.08</v>
      </c>
      <c r="L15" s="98">
        <v>3</v>
      </c>
      <c r="M15" s="109">
        <v>5</v>
      </c>
      <c r="N15" s="105">
        <v>16</v>
      </c>
      <c r="O15" s="105">
        <v>16</v>
      </c>
      <c r="P15" s="105">
        <v>16</v>
      </c>
      <c r="Q15" s="105">
        <v>16</v>
      </c>
      <c r="R15" s="105">
        <v>16</v>
      </c>
      <c r="S15" s="105">
        <v>16</v>
      </c>
      <c r="T15" s="105">
        <v>16</v>
      </c>
      <c r="U15" s="105">
        <v>16</v>
      </c>
      <c r="V15" s="110">
        <v>16</v>
      </c>
      <c r="W15" s="105">
        <v>8.8888888888888893</v>
      </c>
      <c r="X15" s="105">
        <v>6.89</v>
      </c>
      <c r="Y15" s="105">
        <v>6.42</v>
      </c>
      <c r="Z15" s="105">
        <v>5.7477777777777774</v>
      </c>
      <c r="AA15" s="105">
        <v>5.21</v>
      </c>
      <c r="AB15" s="105">
        <v>3.18</v>
      </c>
      <c r="AC15" s="105">
        <v>2.9492307692307693</v>
      </c>
      <c r="AD15" s="105">
        <v>2.8107692307692309</v>
      </c>
      <c r="AE15" s="105">
        <v>2.58</v>
      </c>
    </row>
    <row r="16" spans="1:31" x14ac:dyDescent="0.25">
      <c r="A16" s="98" t="s">
        <v>128</v>
      </c>
      <c r="B16" s="117" t="s">
        <v>130</v>
      </c>
      <c r="C16" s="98" t="s">
        <v>220</v>
      </c>
      <c r="D16" s="105" t="s">
        <v>185</v>
      </c>
      <c r="E16" s="105" t="s">
        <v>221</v>
      </c>
      <c r="F16" s="105">
        <v>32413</v>
      </c>
      <c r="G16" s="106">
        <v>0.47</v>
      </c>
      <c r="H16" s="105">
        <f>BAZA_PC[[#This Row],[CENA KATALOGOWA]]*(1-BAZA_PC[[#This Row],[RABAT]])</f>
        <v>17178.89</v>
      </c>
      <c r="I16" s="111">
        <v>3</v>
      </c>
      <c r="J16" s="111">
        <v>3</v>
      </c>
      <c r="K16" s="108">
        <v>5.07</v>
      </c>
      <c r="L16" s="98">
        <v>1</v>
      </c>
      <c r="M16" s="113">
        <v>5</v>
      </c>
      <c r="N16" s="105">
        <f>BAZA_PC[[#This Row],[-15]]-((BAZA_PC[[#This Row],[-7]]-BAZA_PC[[#This Row],[-15]])/8*5)</f>
        <v>3.1375000000000002</v>
      </c>
      <c r="O16" s="105">
        <v>3.2</v>
      </c>
      <c r="P16" s="105">
        <v>3.3</v>
      </c>
      <c r="Q16" s="105">
        <f>BAZA_PC[[#This Row],[-7]]+((BAZA_PC[[#This Row],[2]]-BAZA_PC[[#This Row],[-7]])/9*5)</f>
        <v>3.2444444444444445</v>
      </c>
      <c r="R16" s="105">
        <v>3.2</v>
      </c>
      <c r="S16" s="105">
        <v>3.2</v>
      </c>
      <c r="T16" s="105">
        <v>3.2</v>
      </c>
      <c r="U16" s="105">
        <v>3.2</v>
      </c>
      <c r="V16" s="110">
        <v>3.2</v>
      </c>
      <c r="W16" s="105">
        <f>BAZA_PC[[#This Row],[E-15]]-((BAZA_PC[[#This Row],[E-7]]-BAZA_PC[[#This Row],[E-15]])/8*5)</f>
        <v>1.4887500000000002</v>
      </c>
      <c r="X16" s="105">
        <v>1.37</v>
      </c>
      <c r="Y16" s="105">
        <v>1.18</v>
      </c>
      <c r="Z16" s="105">
        <f>BAZA_PC[[#This Row],[E-7]]+((BAZA_PC[[#This Row],[E2]]-BAZA_PC[[#This Row],[E-7]])/9*5)</f>
        <v>1.0133333333333332</v>
      </c>
      <c r="AA16" s="105">
        <v>0.88</v>
      </c>
      <c r="AB16" s="105">
        <v>0.6</v>
      </c>
      <c r="AC16" s="105">
        <v>0.6</v>
      </c>
      <c r="AD16" s="105">
        <v>0.6</v>
      </c>
      <c r="AE16" s="105">
        <v>0.6</v>
      </c>
    </row>
    <row r="17" spans="1:31" x14ac:dyDescent="0.25">
      <c r="A17" s="98" t="s">
        <v>128</v>
      </c>
      <c r="B17" s="117" t="s">
        <v>130</v>
      </c>
      <c r="C17" s="98" t="s">
        <v>222</v>
      </c>
      <c r="D17" s="105" t="s">
        <v>188</v>
      </c>
      <c r="E17" s="105" t="s">
        <v>223</v>
      </c>
      <c r="F17" s="105">
        <v>33348</v>
      </c>
      <c r="G17" s="106">
        <v>0.47</v>
      </c>
      <c r="H17" s="105">
        <f>BAZA_PC[[#This Row],[CENA KATALOGOWA]]*(1-BAZA_PC[[#This Row],[RABAT]])</f>
        <v>17674.440000000002</v>
      </c>
      <c r="I17" s="111">
        <v>5</v>
      </c>
      <c r="J17" s="111">
        <v>3</v>
      </c>
      <c r="K17" s="112">
        <v>5.12</v>
      </c>
      <c r="L17" s="98">
        <v>1</v>
      </c>
      <c r="M17" s="113">
        <v>5</v>
      </c>
      <c r="N17" s="105">
        <f>BAZA_PC[[#This Row],[-15]]-((BAZA_PC[[#This Row],[-7]]-BAZA_PC[[#This Row],[-15]])/8*5)</f>
        <v>5</v>
      </c>
      <c r="O17" s="105">
        <v>5</v>
      </c>
      <c r="P17" s="105">
        <v>5</v>
      </c>
      <c r="Q17" s="105">
        <f>BAZA_PC[[#This Row],[-7]]+((BAZA_PC[[#This Row],[2]]-BAZA_PC[[#This Row],[-7]])/9*5)</f>
        <v>5</v>
      </c>
      <c r="R17" s="105">
        <v>5</v>
      </c>
      <c r="S17" s="105">
        <v>5</v>
      </c>
      <c r="T17" s="105">
        <v>5</v>
      </c>
      <c r="U17" s="105">
        <v>5</v>
      </c>
      <c r="V17" s="110">
        <v>5</v>
      </c>
      <c r="W17" s="105">
        <f>BAZA_PC[[#This Row],[E-15]]-((BAZA_PC[[#This Row],[E-7]]-BAZA_PC[[#This Row],[E-15]])/8*5)</f>
        <v>2.3099999999999996</v>
      </c>
      <c r="X17" s="105">
        <v>2.11</v>
      </c>
      <c r="Y17" s="105">
        <v>1.79</v>
      </c>
      <c r="Z17" s="105">
        <f>BAZA_PC[[#This Row],[E-7]]+((BAZA_PC[[#This Row],[E2]]-BAZA_PC[[#This Row],[E-7]])/9*5)</f>
        <v>1.5733333333333333</v>
      </c>
      <c r="AA17" s="105">
        <v>1.4</v>
      </c>
      <c r="AB17" s="105">
        <v>0.98</v>
      </c>
      <c r="AC17" s="105">
        <v>0.98</v>
      </c>
      <c r="AD17" s="105">
        <v>0.98</v>
      </c>
      <c r="AE17" s="105">
        <v>0.98</v>
      </c>
    </row>
    <row r="18" spans="1:31" x14ac:dyDescent="0.25">
      <c r="A18" s="98" t="s">
        <v>128</v>
      </c>
      <c r="B18" s="117" t="s">
        <v>130</v>
      </c>
      <c r="C18" s="98" t="s">
        <v>224</v>
      </c>
      <c r="D18" s="105" t="s">
        <v>190</v>
      </c>
      <c r="E18" s="105" t="s">
        <v>225</v>
      </c>
      <c r="F18" s="105">
        <v>34762</v>
      </c>
      <c r="G18" s="106">
        <v>0.47</v>
      </c>
      <c r="H18" s="105">
        <f>BAZA_PC[[#This Row],[CENA KATALOGOWA]]*(1-BAZA_PC[[#This Row],[RABAT]])</f>
        <v>18423.86</v>
      </c>
      <c r="I18" s="111">
        <v>7</v>
      </c>
      <c r="J18" s="111">
        <v>3</v>
      </c>
      <c r="K18" s="112">
        <v>4.9000000000000004</v>
      </c>
      <c r="L18" s="98">
        <v>1</v>
      </c>
      <c r="M18" s="113">
        <v>5</v>
      </c>
      <c r="N18" s="105">
        <f>BAZA_PC[[#This Row],[-15]]-((BAZA_PC[[#This Row],[-7]]-BAZA_PC[[#This Row],[-15]])/8*5)</f>
        <v>5.5062499999999996</v>
      </c>
      <c r="O18" s="105">
        <v>5.6</v>
      </c>
      <c r="P18" s="105">
        <v>5.75</v>
      </c>
      <c r="Q18" s="105">
        <f>BAZA_PC[[#This Row],[-7]]+((BAZA_PC[[#This Row],[2]]-BAZA_PC[[#This Row],[-7]])/9*5)</f>
        <v>6.3611111111111107</v>
      </c>
      <c r="R18" s="105">
        <v>6.85</v>
      </c>
      <c r="S18" s="105">
        <v>7</v>
      </c>
      <c r="T18" s="105">
        <v>7</v>
      </c>
      <c r="U18" s="105">
        <v>7</v>
      </c>
      <c r="V18" s="110">
        <v>7</v>
      </c>
      <c r="W18" s="105">
        <f>BAZA_PC[[#This Row],[E-15]]-((BAZA_PC[[#This Row],[E-7]]-BAZA_PC[[#This Row],[E-15]])/8*5)</f>
        <v>2.6487499999999997</v>
      </c>
      <c r="X18" s="105">
        <v>2.38</v>
      </c>
      <c r="Y18" s="105">
        <v>1.95</v>
      </c>
      <c r="Z18" s="105">
        <f>BAZA_PC[[#This Row],[E-7]]+((BAZA_PC[[#This Row],[E2]]-BAZA_PC[[#This Row],[E-7]])/9*5)</f>
        <v>1.9777777777777779</v>
      </c>
      <c r="AA18" s="105">
        <v>2</v>
      </c>
      <c r="AB18" s="105">
        <v>1.44</v>
      </c>
      <c r="AC18" s="105">
        <v>1.44</v>
      </c>
      <c r="AD18" s="105">
        <v>1.44</v>
      </c>
      <c r="AE18" s="105">
        <v>1.44</v>
      </c>
    </row>
    <row r="19" spans="1:31" x14ac:dyDescent="0.25">
      <c r="A19" s="98" t="s">
        <v>128</v>
      </c>
      <c r="B19" s="117" t="s">
        <v>130</v>
      </c>
      <c r="C19" s="114" t="s">
        <v>226</v>
      </c>
      <c r="D19" s="105" t="s">
        <v>192</v>
      </c>
      <c r="E19" s="105" t="s">
        <v>227</v>
      </c>
      <c r="F19" s="105">
        <v>37051</v>
      </c>
      <c r="G19" s="106">
        <v>0.47</v>
      </c>
      <c r="H19" s="105">
        <f>BAZA_PC[[#This Row],[CENA KATALOGOWA]]*(1-BAZA_PC[[#This Row],[RABAT]])</f>
        <v>19637.030000000002</v>
      </c>
      <c r="I19" s="111">
        <v>9</v>
      </c>
      <c r="J19" s="111">
        <v>3</v>
      </c>
      <c r="K19" s="112">
        <v>4.4400000000000004</v>
      </c>
      <c r="L19" s="98">
        <v>1</v>
      </c>
      <c r="M19" s="113">
        <v>5</v>
      </c>
      <c r="N19" s="105">
        <f>BAZA_PC[[#This Row],[-15]]-((BAZA_PC[[#This Row],[-7]]-BAZA_PC[[#This Row],[-15]])/8*5)</f>
        <v>8.1187500000000004</v>
      </c>
      <c r="O19" s="105">
        <v>7.4</v>
      </c>
      <c r="P19" s="105">
        <v>6.25</v>
      </c>
      <c r="Q19" s="105">
        <f>BAZA_PC[[#This Row],[-7]]+((BAZA_PC[[#This Row],[2]]-BAZA_PC[[#This Row],[-7]])/9*5)</f>
        <v>6.666666666666667</v>
      </c>
      <c r="R19" s="105">
        <v>7</v>
      </c>
      <c r="S19" s="105">
        <v>9</v>
      </c>
      <c r="T19" s="105">
        <v>9</v>
      </c>
      <c r="U19" s="105">
        <v>9</v>
      </c>
      <c r="V19" s="110">
        <v>9</v>
      </c>
      <c r="W19" s="105">
        <f>BAZA_PC[[#This Row],[E-15]]-((BAZA_PC[[#This Row],[E-7]]-BAZA_PC[[#This Row],[E-15]])/8*5)</f>
        <v>3.8250000000000002</v>
      </c>
      <c r="X19" s="105">
        <v>3.2</v>
      </c>
      <c r="Y19" s="105">
        <v>2.2000000000000002</v>
      </c>
      <c r="Z19" s="105">
        <f>BAZA_PC[[#This Row],[E-7]]+((BAZA_PC[[#This Row],[E2]]-BAZA_PC[[#This Row],[E-7]])/9*5)</f>
        <v>2.1222222222222222</v>
      </c>
      <c r="AA19" s="105">
        <v>2.06</v>
      </c>
      <c r="AB19" s="105">
        <v>1.98</v>
      </c>
      <c r="AC19" s="105">
        <v>1.98</v>
      </c>
      <c r="AD19" s="105">
        <v>1.98</v>
      </c>
      <c r="AE19" s="105">
        <v>1.98</v>
      </c>
    </row>
    <row r="20" spans="1:31" x14ac:dyDescent="0.25">
      <c r="A20" s="98" t="s">
        <v>128</v>
      </c>
      <c r="B20" s="117" t="s">
        <v>130</v>
      </c>
      <c r="C20" s="98" t="s">
        <v>228</v>
      </c>
      <c r="D20" s="98" t="s">
        <v>194</v>
      </c>
      <c r="E20" s="105" t="s">
        <v>229</v>
      </c>
      <c r="F20" s="105">
        <v>41562</v>
      </c>
      <c r="G20" s="106">
        <v>0.47</v>
      </c>
      <c r="H20" s="105">
        <f>BAZA_PC[[#This Row],[CENA KATALOGOWA]]*(1-BAZA_PC[[#This Row],[RABAT]])</f>
        <v>22027.86</v>
      </c>
      <c r="I20" s="111">
        <v>12</v>
      </c>
      <c r="J20" s="111">
        <v>6</v>
      </c>
      <c r="K20" s="112">
        <v>4.82</v>
      </c>
      <c r="L20" s="98">
        <v>1</v>
      </c>
      <c r="M20" s="113">
        <v>5</v>
      </c>
      <c r="N20" s="105">
        <v>7.9</v>
      </c>
      <c r="O20" s="105">
        <v>8.9</v>
      </c>
      <c r="P20" s="105">
        <v>10</v>
      </c>
      <c r="Q20" s="105">
        <f>BAZA_PC[[#This Row],[-7]]+((BAZA_PC[[#This Row],[2]]-BAZA_PC[[#This Row],[-7]])/9*5)</f>
        <v>10.777777777777779</v>
      </c>
      <c r="R20" s="105">
        <v>11.4</v>
      </c>
      <c r="S20" s="105">
        <v>12</v>
      </c>
      <c r="T20" s="105">
        <v>12</v>
      </c>
      <c r="U20" s="105">
        <v>12</v>
      </c>
      <c r="V20" s="110">
        <v>12</v>
      </c>
      <c r="W20" s="105">
        <v>3.7287499999999998</v>
      </c>
      <c r="X20" s="105">
        <v>3.62</v>
      </c>
      <c r="Y20" s="105">
        <v>3.66</v>
      </c>
      <c r="Z20" s="105">
        <f>BAZA_PC[[#This Row],[E-7]]+((BAZA_PC[[#This Row],[E2]]-BAZA_PC[[#This Row],[E-7]])/9*5)</f>
        <v>3.4655555555555555</v>
      </c>
      <c r="AA20" s="105">
        <v>3.31</v>
      </c>
      <c r="AB20" s="105">
        <v>2.5299999999999998</v>
      </c>
      <c r="AC20" s="105">
        <v>1.8023076923076924</v>
      </c>
      <c r="AD20" s="105">
        <v>1.7676923076923077</v>
      </c>
      <c r="AE20" s="105">
        <v>1.66</v>
      </c>
    </row>
    <row r="21" spans="1:31" x14ac:dyDescent="0.25">
      <c r="A21" s="98" t="s">
        <v>128</v>
      </c>
      <c r="B21" s="117" t="s">
        <v>130</v>
      </c>
      <c r="C21" s="98" t="s">
        <v>230</v>
      </c>
      <c r="D21" s="98" t="s">
        <v>197</v>
      </c>
      <c r="E21" s="105" t="s">
        <v>231</v>
      </c>
      <c r="F21" s="105">
        <v>42927</v>
      </c>
      <c r="G21" s="106">
        <v>0.47</v>
      </c>
      <c r="H21" s="105">
        <f>BAZA_PC[[#This Row],[CENA KATALOGOWA]]*(1-BAZA_PC[[#This Row],[RABAT]])</f>
        <v>22751.31</v>
      </c>
      <c r="I21" s="111">
        <v>12</v>
      </c>
      <c r="J21" s="111">
        <v>9</v>
      </c>
      <c r="K21" s="112">
        <v>4.82</v>
      </c>
      <c r="L21" s="98">
        <v>3</v>
      </c>
      <c r="M21" s="113">
        <v>5</v>
      </c>
      <c r="N21" s="105">
        <v>7.9</v>
      </c>
      <c r="O21" s="105">
        <v>8.9</v>
      </c>
      <c r="P21" s="105">
        <v>10</v>
      </c>
      <c r="Q21" s="105">
        <f>BAZA_PC[[#This Row],[-7]]+((BAZA_PC[[#This Row],[2]]-BAZA_PC[[#This Row],[-7]])/9*5)</f>
        <v>10.777777777777779</v>
      </c>
      <c r="R21" s="105">
        <v>11.4</v>
      </c>
      <c r="S21" s="105">
        <v>12</v>
      </c>
      <c r="T21" s="105">
        <v>12</v>
      </c>
      <c r="U21" s="105">
        <v>12</v>
      </c>
      <c r="V21" s="110">
        <v>12</v>
      </c>
      <c r="W21" s="105">
        <v>3.7287499999999998</v>
      </c>
      <c r="X21" s="105">
        <v>3.62</v>
      </c>
      <c r="Y21" s="105">
        <v>3.66</v>
      </c>
      <c r="Z21" s="105">
        <f>BAZA_PC[[#This Row],[E-7]]+((BAZA_PC[[#This Row],[E2]]-BAZA_PC[[#This Row],[E-7]])/9*5)</f>
        <v>3.4655555555555555</v>
      </c>
      <c r="AA21" s="105">
        <v>3.31</v>
      </c>
      <c r="AB21" s="105">
        <v>2.5299999999999998</v>
      </c>
      <c r="AC21" s="105">
        <v>1.8023076923076924</v>
      </c>
      <c r="AD21" s="105">
        <v>1.7676923076923077</v>
      </c>
      <c r="AE21" s="105">
        <v>1.66</v>
      </c>
    </row>
    <row r="22" spans="1:31" x14ac:dyDescent="0.25">
      <c r="A22" s="98" t="s">
        <v>128</v>
      </c>
      <c r="B22" s="117" t="s">
        <v>130</v>
      </c>
      <c r="C22" s="98" t="s">
        <v>232</v>
      </c>
      <c r="D22" s="98" t="s">
        <v>200</v>
      </c>
      <c r="E22" s="105" t="s">
        <v>229</v>
      </c>
      <c r="F22" s="105">
        <v>44927</v>
      </c>
      <c r="G22" s="106">
        <v>0.47</v>
      </c>
      <c r="H22" s="105">
        <f>BAZA_PC[[#This Row],[CENA KATALOGOWA]]*(1-BAZA_PC[[#This Row],[RABAT]])</f>
        <v>23811.31</v>
      </c>
      <c r="I22" s="111">
        <v>16</v>
      </c>
      <c r="J22" s="111">
        <v>6</v>
      </c>
      <c r="K22" s="112">
        <v>4.82</v>
      </c>
      <c r="L22" s="98">
        <v>1</v>
      </c>
      <c r="M22" s="113">
        <v>5</v>
      </c>
      <c r="N22" s="105">
        <v>9.1999999999999993</v>
      </c>
      <c r="O22" s="105">
        <v>10.3</v>
      </c>
      <c r="P22" s="105">
        <v>11.4</v>
      </c>
      <c r="Q22" s="105">
        <f>BAZA_PC[[#This Row],[-7]]+((BAZA_PC[[#This Row],[2]]-BAZA_PC[[#This Row],[-7]])/9*5)</f>
        <v>12.28888888888889</v>
      </c>
      <c r="R22" s="105">
        <v>13</v>
      </c>
      <c r="S22" s="105">
        <v>16</v>
      </c>
      <c r="T22" s="105">
        <v>16</v>
      </c>
      <c r="U22" s="105">
        <v>16</v>
      </c>
      <c r="V22" s="110">
        <v>16</v>
      </c>
      <c r="W22" s="105">
        <v>5.30375</v>
      </c>
      <c r="X22" s="105">
        <v>4.38</v>
      </c>
      <c r="Y22" s="105">
        <v>4.43</v>
      </c>
      <c r="Z22" s="105">
        <f>BAZA_PC[[#This Row],[E-7]]+((BAZA_PC[[#This Row],[E2]]-BAZA_PC[[#This Row],[E-7]])/9*5)</f>
        <v>4.1688888888888886</v>
      </c>
      <c r="AA22" s="105">
        <v>3.96</v>
      </c>
      <c r="AB22" s="105">
        <v>3.74</v>
      </c>
      <c r="AC22" s="105">
        <v>2.2338461538461538</v>
      </c>
      <c r="AD22" s="105">
        <v>2.0561538461538462</v>
      </c>
      <c r="AE22" s="105">
        <v>2.69</v>
      </c>
    </row>
    <row r="23" spans="1:31" x14ac:dyDescent="0.25">
      <c r="A23" s="98" t="s">
        <v>128</v>
      </c>
      <c r="B23" s="117" t="s">
        <v>130</v>
      </c>
      <c r="C23" s="98" t="s">
        <v>233</v>
      </c>
      <c r="D23" s="98" t="s">
        <v>203</v>
      </c>
      <c r="E23" s="105" t="s">
        <v>231</v>
      </c>
      <c r="F23" s="105">
        <v>45508</v>
      </c>
      <c r="G23" s="106">
        <v>0.47</v>
      </c>
      <c r="H23" s="105">
        <f>BAZA_PC[[#This Row],[CENA KATALOGOWA]]*(1-BAZA_PC[[#This Row],[RABAT]])</f>
        <v>24119.24</v>
      </c>
      <c r="I23" s="111">
        <v>16</v>
      </c>
      <c r="J23" s="111">
        <v>9</v>
      </c>
      <c r="K23" s="112">
        <v>4.82</v>
      </c>
      <c r="L23" s="98">
        <v>3</v>
      </c>
      <c r="M23" s="113">
        <v>5</v>
      </c>
      <c r="N23" s="105">
        <v>9.1999999999999993</v>
      </c>
      <c r="O23" s="105">
        <v>10.3</v>
      </c>
      <c r="P23" s="105">
        <v>11.4</v>
      </c>
      <c r="Q23" s="105">
        <f>BAZA_PC[[#This Row],[-7]]+((BAZA_PC[[#This Row],[2]]-BAZA_PC[[#This Row],[-7]])/9*5)</f>
        <v>12.28888888888889</v>
      </c>
      <c r="R23" s="105">
        <v>13</v>
      </c>
      <c r="S23" s="105">
        <v>16</v>
      </c>
      <c r="T23" s="105">
        <v>16</v>
      </c>
      <c r="U23" s="105">
        <v>16</v>
      </c>
      <c r="V23" s="110">
        <v>16</v>
      </c>
      <c r="W23" s="105">
        <v>7.1837499999999999</v>
      </c>
      <c r="X23" s="105">
        <v>4.38</v>
      </c>
      <c r="Y23" s="105">
        <v>4.43</v>
      </c>
      <c r="Z23" s="105">
        <f>BAZA_PC[[#This Row],[E-7]]+((BAZA_PC[[#This Row],[E2]]-BAZA_PC[[#This Row],[E-7]])/9*5)</f>
        <v>4.1688888888888886</v>
      </c>
      <c r="AA23" s="105">
        <v>3.96</v>
      </c>
      <c r="AB23" s="105">
        <v>3.74</v>
      </c>
      <c r="AC23" s="105">
        <v>2.9492307692307693</v>
      </c>
      <c r="AD23" s="105">
        <v>2.8107692307692309</v>
      </c>
      <c r="AE23" s="105">
        <v>2.69</v>
      </c>
    </row>
    <row r="24" spans="1:31" x14ac:dyDescent="0.25">
      <c r="A24" s="98" t="s">
        <v>128</v>
      </c>
      <c r="B24" s="117" t="s">
        <v>130</v>
      </c>
      <c r="C24" s="98" t="s">
        <v>234</v>
      </c>
      <c r="D24" s="115" t="s">
        <v>206</v>
      </c>
      <c r="E24" s="105" t="s">
        <v>235</v>
      </c>
      <c r="F24" s="105">
        <v>44018</v>
      </c>
      <c r="G24" s="106">
        <v>0.47</v>
      </c>
      <c r="H24" s="105">
        <f>BAZA_PC[[#This Row],[CENA KATALOGOWA]]*(1-BAZA_PC[[#This Row],[RABAT]])</f>
        <v>23329.54</v>
      </c>
      <c r="I24" s="111">
        <v>9</v>
      </c>
      <c r="J24" s="111">
        <v>3</v>
      </c>
      <c r="K24" s="112">
        <v>4.96</v>
      </c>
      <c r="L24" s="98">
        <v>1</v>
      </c>
      <c r="M24" s="113">
        <v>5</v>
      </c>
      <c r="N24" s="105">
        <v>9</v>
      </c>
      <c r="O24" s="105">
        <v>9</v>
      </c>
      <c r="P24" s="105">
        <v>9</v>
      </c>
      <c r="Q24" s="105">
        <v>9</v>
      </c>
      <c r="R24" s="105">
        <v>9</v>
      </c>
      <c r="S24" s="105">
        <v>9</v>
      </c>
      <c r="T24" s="105">
        <v>10.278</v>
      </c>
      <c r="U24" s="105">
        <v>11.044</v>
      </c>
      <c r="V24" s="110">
        <v>12.32</v>
      </c>
      <c r="W24" s="105">
        <v>4.5</v>
      </c>
      <c r="X24" s="105">
        <v>3.51</v>
      </c>
      <c r="Y24" s="105">
        <v>3.16</v>
      </c>
      <c r="Z24" s="105">
        <v>2.798888888888889</v>
      </c>
      <c r="AA24" s="105">
        <v>2.5099999999999998</v>
      </c>
      <c r="AB24" s="105">
        <v>1.86</v>
      </c>
      <c r="AC24" s="105">
        <v>1.81</v>
      </c>
      <c r="AD24" s="105">
        <v>1.76</v>
      </c>
      <c r="AE24" s="105">
        <v>1.71</v>
      </c>
    </row>
    <row r="25" spans="1:31" x14ac:dyDescent="0.25">
      <c r="A25" s="98" t="s">
        <v>128</v>
      </c>
      <c r="B25" s="117" t="s">
        <v>130</v>
      </c>
      <c r="C25" s="98" t="s">
        <v>236</v>
      </c>
      <c r="D25" s="115" t="s">
        <v>209</v>
      </c>
      <c r="E25" s="105" t="s">
        <v>237</v>
      </c>
      <c r="F25" s="105">
        <v>46283</v>
      </c>
      <c r="G25" s="106">
        <v>0.47</v>
      </c>
      <c r="H25" s="105">
        <f>BAZA_PC[[#This Row],[CENA KATALOGOWA]]*(1-BAZA_PC[[#This Row],[RABAT]])</f>
        <v>24529.99</v>
      </c>
      <c r="I25" s="111">
        <v>9</v>
      </c>
      <c r="J25" s="111">
        <v>3</v>
      </c>
      <c r="K25" s="112">
        <v>4.96</v>
      </c>
      <c r="L25" s="98">
        <v>3</v>
      </c>
      <c r="M25" s="113">
        <v>5</v>
      </c>
      <c r="N25" s="105">
        <v>9</v>
      </c>
      <c r="O25" s="105">
        <v>9</v>
      </c>
      <c r="P25" s="105">
        <v>9</v>
      </c>
      <c r="Q25" s="105">
        <v>9</v>
      </c>
      <c r="R25" s="105">
        <v>9</v>
      </c>
      <c r="S25" s="105">
        <v>9</v>
      </c>
      <c r="T25" s="105">
        <v>10.278</v>
      </c>
      <c r="U25" s="105">
        <v>11.044</v>
      </c>
      <c r="V25" s="110">
        <v>12.32</v>
      </c>
      <c r="W25" s="105">
        <v>4.5</v>
      </c>
      <c r="X25" s="105">
        <v>3.51</v>
      </c>
      <c r="Y25" s="105">
        <v>3.16</v>
      </c>
      <c r="Z25" s="105">
        <v>2.798888888888889</v>
      </c>
      <c r="AA25" s="105">
        <v>2.5099999999999998</v>
      </c>
      <c r="AB25" s="105">
        <v>1.86</v>
      </c>
      <c r="AC25" s="105">
        <v>1.81</v>
      </c>
      <c r="AD25" s="105">
        <v>1.76</v>
      </c>
      <c r="AE25" s="105">
        <v>1.71</v>
      </c>
    </row>
    <row r="26" spans="1:31" x14ac:dyDescent="0.25">
      <c r="A26" s="98" t="s">
        <v>128</v>
      </c>
      <c r="B26" s="117" t="s">
        <v>130</v>
      </c>
      <c r="C26" s="98" t="s">
        <v>238</v>
      </c>
      <c r="D26" s="115" t="s">
        <v>212</v>
      </c>
      <c r="E26" s="105" t="s">
        <v>235</v>
      </c>
      <c r="F26" s="105">
        <v>46991</v>
      </c>
      <c r="G26" s="106">
        <v>0.47</v>
      </c>
      <c r="H26" s="105">
        <f>BAZA_PC[[#This Row],[CENA KATALOGOWA]]*(1-BAZA_PC[[#This Row],[RABAT]])</f>
        <v>24905.23</v>
      </c>
      <c r="I26" s="111">
        <v>12</v>
      </c>
      <c r="J26" s="111">
        <v>9</v>
      </c>
      <c r="K26" s="112">
        <v>4.96</v>
      </c>
      <c r="L26" s="98">
        <v>1</v>
      </c>
      <c r="M26" s="113">
        <v>5</v>
      </c>
      <c r="N26" s="105">
        <v>12</v>
      </c>
      <c r="O26" s="105">
        <v>12</v>
      </c>
      <c r="P26" s="105">
        <v>12</v>
      </c>
      <c r="Q26" s="105">
        <v>12</v>
      </c>
      <c r="R26" s="105">
        <v>12</v>
      </c>
      <c r="S26" s="105">
        <v>12</v>
      </c>
      <c r="T26" s="105">
        <v>10.278</v>
      </c>
      <c r="U26" s="105">
        <v>11.044</v>
      </c>
      <c r="V26" s="110">
        <v>12.32</v>
      </c>
      <c r="W26" s="105">
        <v>6.3157894736842106</v>
      </c>
      <c r="X26" s="105">
        <v>4.96</v>
      </c>
      <c r="Y26" s="105">
        <v>4.41</v>
      </c>
      <c r="Z26" s="105">
        <v>3.8988888888888891</v>
      </c>
      <c r="AA26" s="105">
        <v>3.49</v>
      </c>
      <c r="AB26" s="105">
        <v>2.5299999999999998</v>
      </c>
      <c r="AC26" s="105">
        <v>2.2338461538461538</v>
      </c>
      <c r="AD26" s="105">
        <v>2.0561538461538462</v>
      </c>
      <c r="AE26" s="105">
        <v>1.76</v>
      </c>
    </row>
    <row r="27" spans="1:31" x14ac:dyDescent="0.25">
      <c r="A27" s="98" t="s">
        <v>128</v>
      </c>
      <c r="B27" s="117" t="s">
        <v>130</v>
      </c>
      <c r="C27" s="98" t="s">
        <v>239</v>
      </c>
      <c r="D27" s="115" t="s">
        <v>215</v>
      </c>
      <c r="E27" s="105" t="s">
        <v>237</v>
      </c>
      <c r="F27" s="105">
        <v>48622</v>
      </c>
      <c r="G27" s="106">
        <v>0.47</v>
      </c>
      <c r="H27" s="105">
        <f>BAZA_PC[[#This Row],[CENA KATALOGOWA]]*(1-BAZA_PC[[#This Row],[RABAT]])</f>
        <v>25769.66</v>
      </c>
      <c r="I27" s="111">
        <v>12</v>
      </c>
      <c r="J27" s="111">
        <v>9</v>
      </c>
      <c r="K27" s="112">
        <v>4.96</v>
      </c>
      <c r="L27" s="98">
        <v>3</v>
      </c>
      <c r="M27" s="113">
        <v>5</v>
      </c>
      <c r="N27" s="105">
        <v>12</v>
      </c>
      <c r="O27" s="105">
        <v>12</v>
      </c>
      <c r="P27" s="105">
        <v>12</v>
      </c>
      <c r="Q27" s="105">
        <v>12</v>
      </c>
      <c r="R27" s="105">
        <v>12</v>
      </c>
      <c r="S27" s="105">
        <v>12</v>
      </c>
      <c r="T27" s="105">
        <v>10.278</v>
      </c>
      <c r="U27" s="105">
        <v>11.044</v>
      </c>
      <c r="V27" s="110">
        <v>12.32</v>
      </c>
      <c r="W27" s="105">
        <v>6.3157894736842106</v>
      </c>
      <c r="X27" s="105">
        <v>4.96</v>
      </c>
      <c r="Y27" s="105">
        <v>4.41</v>
      </c>
      <c r="Z27" s="105">
        <v>3.8988888888888891</v>
      </c>
      <c r="AA27" s="105">
        <v>3.49</v>
      </c>
      <c r="AB27" s="105">
        <v>2.5299999999999998</v>
      </c>
      <c r="AC27" s="105">
        <v>2.2338461538461538</v>
      </c>
      <c r="AD27" s="105">
        <v>2.0561538461538462</v>
      </c>
      <c r="AE27" s="105">
        <v>1.76</v>
      </c>
    </row>
    <row r="28" spans="1:31" x14ac:dyDescent="0.25">
      <c r="A28" s="98" t="s">
        <v>128</v>
      </c>
      <c r="B28" s="117" t="s">
        <v>130</v>
      </c>
      <c r="C28" s="98" t="s">
        <v>240</v>
      </c>
      <c r="D28" s="115" t="s">
        <v>218</v>
      </c>
      <c r="E28" s="105" t="s">
        <v>231</v>
      </c>
      <c r="F28" s="105">
        <v>48825</v>
      </c>
      <c r="G28" s="106">
        <v>0.47</v>
      </c>
      <c r="H28" s="105">
        <f>BAZA_PC[[#This Row],[CENA KATALOGOWA]]*(1-BAZA_PC[[#This Row],[RABAT]])</f>
        <v>25877.25</v>
      </c>
      <c r="I28" s="111">
        <v>16</v>
      </c>
      <c r="J28" s="111">
        <v>9</v>
      </c>
      <c r="K28" s="112">
        <v>4.08</v>
      </c>
      <c r="L28" s="98">
        <v>3</v>
      </c>
      <c r="M28" s="113">
        <v>5</v>
      </c>
      <c r="N28" s="105">
        <v>16</v>
      </c>
      <c r="O28" s="105">
        <v>16</v>
      </c>
      <c r="P28" s="105">
        <v>16</v>
      </c>
      <c r="Q28" s="105">
        <v>16</v>
      </c>
      <c r="R28" s="105">
        <v>16</v>
      </c>
      <c r="S28" s="105">
        <v>16</v>
      </c>
      <c r="T28" s="105">
        <v>16</v>
      </c>
      <c r="U28" s="105">
        <v>16</v>
      </c>
      <c r="V28" s="110">
        <v>16</v>
      </c>
      <c r="W28" s="105">
        <v>8.8888888888888893</v>
      </c>
      <c r="X28" s="105">
        <v>6.89</v>
      </c>
      <c r="Y28" s="105">
        <v>6.42</v>
      </c>
      <c r="Z28" s="105">
        <v>5.7477777777777774</v>
      </c>
      <c r="AA28" s="105">
        <v>5.21</v>
      </c>
      <c r="AB28" s="105">
        <v>3.18</v>
      </c>
      <c r="AC28" s="105">
        <v>2.9492307692307693</v>
      </c>
      <c r="AD28" s="105">
        <v>2.8107692307692309</v>
      </c>
      <c r="AE28" s="105">
        <v>2.58</v>
      </c>
    </row>
    <row r="29" spans="1:31" x14ac:dyDescent="0.25">
      <c r="A29" s="98" t="s">
        <v>128</v>
      </c>
      <c r="B29" s="117" t="s">
        <v>131</v>
      </c>
      <c r="C29" s="98" t="s">
        <v>241</v>
      </c>
      <c r="D29" s="98" t="s">
        <v>242</v>
      </c>
      <c r="E29" s="111" t="s">
        <v>243</v>
      </c>
      <c r="F29" s="105">
        <v>21090</v>
      </c>
      <c r="G29" s="106">
        <v>0.47</v>
      </c>
      <c r="H29" s="105">
        <f>BAZA_PC[[#This Row],[CENA KATALOGOWA]]*(1-BAZA_PC[[#This Row],[RABAT]])</f>
        <v>11177.7</v>
      </c>
      <c r="I29" s="111">
        <v>5</v>
      </c>
      <c r="J29" s="111">
        <v>3</v>
      </c>
      <c r="K29" s="112">
        <v>5.12</v>
      </c>
      <c r="L29" s="98">
        <v>1</v>
      </c>
      <c r="M29" s="113">
        <v>5</v>
      </c>
      <c r="N29" s="105">
        <f>BAZA_PC[[#This Row],[-15]]-((BAZA_PC[[#This Row],[-7]]-BAZA_PC[[#This Row],[-15]])/8*5)</f>
        <v>5</v>
      </c>
      <c r="O29" s="105">
        <v>5</v>
      </c>
      <c r="P29" s="105">
        <v>5</v>
      </c>
      <c r="Q29" s="105">
        <f>BAZA_PC[[#This Row],[-7]]+((BAZA_PC[[#This Row],[2]]-BAZA_PC[[#This Row],[-7]])/9*5)</f>
        <v>5</v>
      </c>
      <c r="R29" s="105">
        <v>5</v>
      </c>
      <c r="S29" s="105">
        <v>5</v>
      </c>
      <c r="T29" s="105">
        <v>5</v>
      </c>
      <c r="U29" s="105">
        <v>5</v>
      </c>
      <c r="V29" s="110">
        <v>5</v>
      </c>
      <c r="W29" s="105">
        <f>BAZA_PC[[#This Row],[E-15]]-((BAZA_PC[[#This Row],[E-7]]-BAZA_PC[[#This Row],[E-15]])/8*5)</f>
        <v>2.3099999999999996</v>
      </c>
      <c r="X29" s="105">
        <v>2.11</v>
      </c>
      <c r="Y29" s="105">
        <v>1.79</v>
      </c>
      <c r="Z29" s="105">
        <f>BAZA_PC[[#This Row],[E-7]]+((BAZA_PC[[#This Row],[E2]]-BAZA_PC[[#This Row],[E-7]])/9*5)</f>
        <v>1.5733333333333333</v>
      </c>
      <c r="AA29" s="105">
        <v>1.4</v>
      </c>
      <c r="AB29" s="105">
        <v>0.98</v>
      </c>
      <c r="AC29" s="105">
        <v>0.98</v>
      </c>
      <c r="AD29" s="105">
        <v>0.98</v>
      </c>
      <c r="AE29" s="105">
        <v>0.98</v>
      </c>
    </row>
    <row r="30" spans="1:31" x14ac:dyDescent="0.25">
      <c r="A30" s="98" t="s">
        <v>128</v>
      </c>
      <c r="B30" s="117" t="s">
        <v>131</v>
      </c>
      <c r="C30" s="98" t="s">
        <v>244</v>
      </c>
      <c r="D30" s="98" t="s">
        <v>245</v>
      </c>
      <c r="E30" s="111" t="s">
        <v>243</v>
      </c>
      <c r="F30" s="105">
        <v>22082</v>
      </c>
      <c r="G30" s="106">
        <v>0.47</v>
      </c>
      <c r="H30" s="105">
        <f>BAZA_PC[[#This Row],[CENA KATALOGOWA]]*(1-BAZA_PC[[#This Row],[RABAT]])</f>
        <v>11703.460000000001</v>
      </c>
      <c r="I30" s="111">
        <v>7</v>
      </c>
      <c r="J30" s="111">
        <v>3</v>
      </c>
      <c r="K30" s="112">
        <v>4.9000000000000004</v>
      </c>
      <c r="L30" s="98">
        <v>1</v>
      </c>
      <c r="M30" s="113">
        <v>5</v>
      </c>
      <c r="N30" s="105">
        <f>BAZA_PC[[#This Row],[-15]]-((BAZA_PC[[#This Row],[-7]]-BAZA_PC[[#This Row],[-15]])/8*5)</f>
        <v>5.5062499999999996</v>
      </c>
      <c r="O30" s="105">
        <v>5.6</v>
      </c>
      <c r="P30" s="105">
        <v>5.75</v>
      </c>
      <c r="Q30" s="105">
        <f>BAZA_PC[[#This Row],[-7]]+((BAZA_PC[[#This Row],[2]]-BAZA_PC[[#This Row],[-7]])/9*5)</f>
        <v>6.3611111111111107</v>
      </c>
      <c r="R30" s="105">
        <v>6.85</v>
      </c>
      <c r="S30" s="105">
        <v>7</v>
      </c>
      <c r="T30" s="105">
        <v>7</v>
      </c>
      <c r="U30" s="105">
        <v>7</v>
      </c>
      <c r="V30" s="110">
        <v>7</v>
      </c>
      <c r="W30" s="105">
        <f>BAZA_PC[[#This Row],[E-15]]-((BAZA_PC[[#This Row],[E-7]]-BAZA_PC[[#This Row],[E-15]])/8*5)</f>
        <v>2.6487499999999997</v>
      </c>
      <c r="X30" s="105">
        <v>2.38</v>
      </c>
      <c r="Y30" s="105">
        <v>1.95</v>
      </c>
      <c r="Z30" s="105">
        <f>BAZA_PC[[#This Row],[E-7]]+((BAZA_PC[[#This Row],[E2]]-BAZA_PC[[#This Row],[E-7]])/9*5)</f>
        <v>1.9777777777777779</v>
      </c>
      <c r="AA30" s="105">
        <v>2</v>
      </c>
      <c r="AB30" s="105">
        <v>1.44</v>
      </c>
      <c r="AC30" s="105">
        <v>1.44</v>
      </c>
      <c r="AD30" s="105">
        <v>1.44</v>
      </c>
      <c r="AE30" s="105">
        <v>1.44</v>
      </c>
    </row>
    <row r="31" spans="1:31" x14ac:dyDescent="0.25">
      <c r="A31" s="98" t="s">
        <v>128</v>
      </c>
      <c r="B31" s="117" t="s">
        <v>131</v>
      </c>
      <c r="C31" s="114" t="s">
        <v>246</v>
      </c>
      <c r="D31" s="98" t="s">
        <v>247</v>
      </c>
      <c r="E31" s="111" t="s">
        <v>243</v>
      </c>
      <c r="F31" s="118">
        <v>26589</v>
      </c>
      <c r="G31" s="106">
        <v>0.47</v>
      </c>
      <c r="H31" s="105">
        <f>BAZA_PC[[#This Row],[CENA KATALOGOWA]]*(1-BAZA_PC[[#This Row],[RABAT]])</f>
        <v>14092.17</v>
      </c>
      <c r="I31" s="111">
        <v>9</v>
      </c>
      <c r="J31" s="111">
        <v>3</v>
      </c>
      <c r="K31" s="112">
        <v>4.9000000000000004</v>
      </c>
      <c r="L31" s="98">
        <v>1</v>
      </c>
      <c r="M31" s="113">
        <v>5</v>
      </c>
      <c r="N31" s="105">
        <f>BAZA_PC[[#This Row],[-15]]-((BAZA_PC[[#This Row],[-7]]-BAZA_PC[[#This Row],[-15]])/8*5)</f>
        <v>8.1187500000000004</v>
      </c>
      <c r="O31" s="105">
        <v>7.4</v>
      </c>
      <c r="P31" s="105">
        <v>6.25</v>
      </c>
      <c r="Q31" s="105">
        <f>BAZA_PC[[#This Row],[-7]]+((BAZA_PC[[#This Row],[2]]-BAZA_PC[[#This Row],[-7]])/9*5)</f>
        <v>6.666666666666667</v>
      </c>
      <c r="R31" s="105">
        <v>7</v>
      </c>
      <c r="S31" s="105">
        <v>9</v>
      </c>
      <c r="T31" s="105">
        <v>9</v>
      </c>
      <c r="U31" s="105">
        <v>9</v>
      </c>
      <c r="V31" s="110">
        <v>9</v>
      </c>
      <c r="W31" s="105">
        <f>BAZA_PC[[#This Row],[E-15]]-((BAZA_PC[[#This Row],[E-7]]-BAZA_PC[[#This Row],[E-15]])/8*5)</f>
        <v>3.8250000000000002</v>
      </c>
      <c r="X31" s="105">
        <v>3.2</v>
      </c>
      <c r="Y31" s="105">
        <v>2.2000000000000002</v>
      </c>
      <c r="Z31" s="105">
        <f>BAZA_PC[[#This Row],[E-7]]+((BAZA_PC[[#This Row],[E2]]-BAZA_PC[[#This Row],[E-7]])/9*5)</f>
        <v>2.1222222222222222</v>
      </c>
      <c r="AA31" s="105">
        <v>2.06</v>
      </c>
      <c r="AB31" s="105">
        <v>1.98</v>
      </c>
      <c r="AC31" s="105">
        <v>1.98</v>
      </c>
      <c r="AD31" s="105">
        <v>1.98</v>
      </c>
      <c r="AE31" s="105">
        <v>1.98</v>
      </c>
    </row>
    <row r="32" spans="1:31" x14ac:dyDescent="0.25">
      <c r="A32" s="98" t="s">
        <v>128</v>
      </c>
      <c r="B32" s="117" t="s">
        <v>131</v>
      </c>
      <c r="C32" s="98" t="s">
        <v>248</v>
      </c>
      <c r="D32" s="98" t="s">
        <v>249</v>
      </c>
      <c r="E32" s="111" t="s">
        <v>243</v>
      </c>
      <c r="F32" s="105">
        <v>28978</v>
      </c>
      <c r="G32" s="106">
        <v>0.47</v>
      </c>
      <c r="H32" s="105">
        <f>BAZA_PC[[#This Row],[CENA KATALOGOWA]]*(1-BAZA_PC[[#This Row],[RABAT]])</f>
        <v>15358.34</v>
      </c>
      <c r="I32" s="111">
        <v>12</v>
      </c>
      <c r="J32" s="111">
        <v>6</v>
      </c>
      <c r="K32" s="112">
        <v>4.82</v>
      </c>
      <c r="L32" s="98">
        <v>1</v>
      </c>
      <c r="M32" s="113">
        <v>5</v>
      </c>
      <c r="N32" s="105">
        <v>7.9</v>
      </c>
      <c r="O32" s="105">
        <v>8.9</v>
      </c>
      <c r="P32" s="105">
        <v>10</v>
      </c>
      <c r="Q32" s="105">
        <f>BAZA_PC[[#This Row],[-7]]+((BAZA_PC[[#This Row],[2]]-BAZA_PC[[#This Row],[-7]])/9*5)</f>
        <v>10.777777777777779</v>
      </c>
      <c r="R32" s="105">
        <v>11.4</v>
      </c>
      <c r="S32" s="105">
        <v>12</v>
      </c>
      <c r="T32" s="105">
        <v>12</v>
      </c>
      <c r="U32" s="105">
        <v>12</v>
      </c>
      <c r="V32" s="110">
        <v>12</v>
      </c>
      <c r="W32" s="105">
        <v>4.3487499999999999</v>
      </c>
      <c r="X32" s="105">
        <v>3.62</v>
      </c>
      <c r="Y32" s="105">
        <v>3.66</v>
      </c>
      <c r="Z32" s="105">
        <f>BAZA_PC[[#This Row],[E-7]]+((BAZA_PC[[#This Row],[E2]]-BAZA_PC[[#This Row],[E-7]])/9*5)</f>
        <v>3.4655555555555555</v>
      </c>
      <c r="AA32" s="105">
        <v>3.31</v>
      </c>
      <c r="AB32" s="105">
        <v>2.5299999999999998</v>
      </c>
      <c r="AC32" s="105">
        <v>3.336153846153846</v>
      </c>
      <c r="AD32" s="105">
        <v>3.0938461538461537</v>
      </c>
      <c r="AE32" s="105">
        <v>1.66</v>
      </c>
    </row>
    <row r="33" spans="1:31" x14ac:dyDescent="0.25">
      <c r="A33" s="98" t="s">
        <v>128</v>
      </c>
      <c r="B33" s="117" t="s">
        <v>131</v>
      </c>
      <c r="C33" s="98" t="s">
        <v>250</v>
      </c>
      <c r="D33" s="98" t="s">
        <v>251</v>
      </c>
      <c r="E33" s="111" t="s">
        <v>243</v>
      </c>
      <c r="F33" s="105">
        <v>30946</v>
      </c>
      <c r="G33" s="106">
        <v>0.47</v>
      </c>
      <c r="H33" s="105">
        <f>BAZA_PC[[#This Row],[CENA KATALOGOWA]]*(1-BAZA_PC[[#This Row],[RABAT]])</f>
        <v>16401.38</v>
      </c>
      <c r="I33" s="111">
        <v>16</v>
      </c>
      <c r="J33" s="111">
        <v>6</v>
      </c>
      <c r="K33" s="112">
        <v>4.82</v>
      </c>
      <c r="L33" s="98">
        <v>1</v>
      </c>
      <c r="M33" s="113">
        <v>5</v>
      </c>
      <c r="N33" s="105">
        <v>9.1999999999999993</v>
      </c>
      <c r="O33" s="105">
        <v>10.3</v>
      </c>
      <c r="P33" s="105">
        <v>11.4</v>
      </c>
      <c r="Q33" s="105">
        <f>BAZA_PC[[#This Row],[-7]]+((BAZA_PC[[#This Row],[2]]-BAZA_PC[[#This Row],[-7]])/9*5)</f>
        <v>12.28888888888889</v>
      </c>
      <c r="R33" s="105">
        <v>13</v>
      </c>
      <c r="S33" s="105">
        <v>16</v>
      </c>
      <c r="T33" s="105">
        <v>16</v>
      </c>
      <c r="U33" s="105">
        <v>16</v>
      </c>
      <c r="V33" s="110">
        <v>16</v>
      </c>
      <c r="W33" s="105">
        <v>1.4887500000000002</v>
      </c>
      <c r="X33" s="105">
        <v>4.38</v>
      </c>
      <c r="Y33" s="105">
        <v>4.43</v>
      </c>
      <c r="Z33" s="105">
        <f>BAZA_PC[[#This Row],[E-7]]+((BAZA_PC[[#This Row],[E2]]-BAZA_PC[[#This Row],[E-7]])/9*5)</f>
        <v>4.1688888888888886</v>
      </c>
      <c r="AA33" s="105">
        <v>3.96</v>
      </c>
      <c r="AB33" s="105">
        <v>3.74</v>
      </c>
      <c r="AC33" s="105">
        <v>0.6</v>
      </c>
      <c r="AD33" s="105">
        <v>0.6</v>
      </c>
      <c r="AE33" s="105">
        <v>2.69</v>
      </c>
    </row>
    <row r="34" spans="1:31" x14ac:dyDescent="0.25">
      <c r="A34" s="98" t="s">
        <v>128</v>
      </c>
      <c r="B34" s="117" t="s">
        <v>131</v>
      </c>
      <c r="C34" s="98" t="s">
        <v>252</v>
      </c>
      <c r="D34" s="98" t="s">
        <v>253</v>
      </c>
      <c r="E34" s="111" t="s">
        <v>243</v>
      </c>
      <c r="F34" s="105">
        <v>28437</v>
      </c>
      <c r="G34" s="106">
        <v>0.47</v>
      </c>
      <c r="H34" s="105">
        <f>BAZA_PC[[#This Row],[CENA KATALOGOWA]]*(1-BAZA_PC[[#This Row],[RABAT]])</f>
        <v>15071.61</v>
      </c>
      <c r="I34" s="111">
        <v>9</v>
      </c>
      <c r="J34" s="111">
        <v>3</v>
      </c>
      <c r="K34" s="112">
        <v>4.96</v>
      </c>
      <c r="L34" s="98">
        <v>1</v>
      </c>
      <c r="M34" s="113">
        <v>5</v>
      </c>
      <c r="N34" s="105">
        <v>9</v>
      </c>
      <c r="O34" s="105">
        <v>9</v>
      </c>
      <c r="P34" s="105">
        <v>9</v>
      </c>
      <c r="Q34" s="105">
        <v>9</v>
      </c>
      <c r="R34" s="105">
        <v>9</v>
      </c>
      <c r="S34" s="105">
        <v>9</v>
      </c>
      <c r="T34" s="105">
        <v>10.278</v>
      </c>
      <c r="U34" s="105">
        <v>11.044</v>
      </c>
      <c r="V34" s="110">
        <v>12.32</v>
      </c>
      <c r="W34" s="105">
        <v>4.5</v>
      </c>
      <c r="X34" s="105">
        <v>3.51</v>
      </c>
      <c r="Y34" s="105">
        <v>3.16</v>
      </c>
      <c r="Z34" s="105">
        <v>2.798888888888889</v>
      </c>
      <c r="AA34" s="105">
        <v>2.5099999999999998</v>
      </c>
      <c r="AB34" s="105">
        <v>1.86</v>
      </c>
      <c r="AC34" s="105">
        <v>1.81</v>
      </c>
      <c r="AD34" s="105">
        <v>1.76</v>
      </c>
      <c r="AE34" s="105">
        <v>1.71</v>
      </c>
    </row>
    <row r="35" spans="1:31" x14ac:dyDescent="0.25">
      <c r="A35" s="98" t="s">
        <v>128</v>
      </c>
      <c r="B35" s="117" t="s">
        <v>131</v>
      </c>
      <c r="C35" s="98" t="s">
        <v>254</v>
      </c>
      <c r="D35" s="98" t="s">
        <v>255</v>
      </c>
      <c r="E35" s="111" t="s">
        <v>243</v>
      </c>
      <c r="F35" s="105">
        <v>32354</v>
      </c>
      <c r="G35" s="106">
        <v>0.47</v>
      </c>
      <c r="H35" s="105">
        <f>BAZA_PC[[#This Row],[CENA KATALOGOWA]]*(1-BAZA_PC[[#This Row],[RABAT]])</f>
        <v>17147.620000000003</v>
      </c>
      <c r="I35" s="111">
        <v>9</v>
      </c>
      <c r="J35" s="111">
        <v>3</v>
      </c>
      <c r="K35" s="112">
        <v>4.96</v>
      </c>
      <c r="L35" s="98">
        <v>3</v>
      </c>
      <c r="M35" s="113">
        <v>5</v>
      </c>
      <c r="N35" s="105">
        <v>9</v>
      </c>
      <c r="O35" s="105">
        <v>9</v>
      </c>
      <c r="P35" s="105">
        <v>9</v>
      </c>
      <c r="Q35" s="105">
        <v>9</v>
      </c>
      <c r="R35" s="105">
        <v>9</v>
      </c>
      <c r="S35" s="105">
        <v>9</v>
      </c>
      <c r="T35" s="105">
        <v>10.278</v>
      </c>
      <c r="U35" s="105">
        <v>11.044</v>
      </c>
      <c r="V35" s="110">
        <v>12.32</v>
      </c>
      <c r="W35" s="105">
        <v>4.5</v>
      </c>
      <c r="X35" s="105">
        <v>3.51</v>
      </c>
      <c r="Y35" s="105">
        <v>3.16</v>
      </c>
      <c r="Z35" s="105">
        <v>2.798888888888889</v>
      </c>
      <c r="AA35" s="105">
        <v>2.5099999999999998</v>
      </c>
      <c r="AB35" s="105">
        <v>1.86</v>
      </c>
      <c r="AC35" s="105">
        <v>1.81</v>
      </c>
      <c r="AD35" s="105">
        <v>1.76</v>
      </c>
      <c r="AE35" s="105">
        <v>1.71</v>
      </c>
    </row>
    <row r="36" spans="1:31" x14ac:dyDescent="0.25">
      <c r="A36" s="98" t="s">
        <v>128</v>
      </c>
      <c r="B36" s="117" t="s">
        <v>131</v>
      </c>
      <c r="C36" s="98" t="s">
        <v>256</v>
      </c>
      <c r="D36" s="98" t="s">
        <v>257</v>
      </c>
      <c r="E36" s="111" t="s">
        <v>243</v>
      </c>
      <c r="F36" s="105">
        <v>34118</v>
      </c>
      <c r="G36" s="106">
        <v>0.47</v>
      </c>
      <c r="H36" s="105">
        <f>BAZA_PC[[#This Row],[CENA KATALOGOWA]]*(1-BAZA_PC[[#This Row],[RABAT]])</f>
        <v>18082.54</v>
      </c>
      <c r="I36" s="111">
        <v>12</v>
      </c>
      <c r="J36" s="111">
        <v>6</v>
      </c>
      <c r="K36" s="112">
        <v>4.96</v>
      </c>
      <c r="L36" s="98">
        <v>1</v>
      </c>
      <c r="M36" s="113">
        <v>5</v>
      </c>
      <c r="N36" s="105">
        <v>12</v>
      </c>
      <c r="O36" s="105">
        <v>12</v>
      </c>
      <c r="P36" s="105">
        <v>12</v>
      </c>
      <c r="Q36" s="105">
        <v>12</v>
      </c>
      <c r="R36" s="105">
        <v>12</v>
      </c>
      <c r="S36" s="105">
        <v>12</v>
      </c>
      <c r="T36" s="105">
        <v>10.278</v>
      </c>
      <c r="U36" s="105">
        <v>11.044</v>
      </c>
      <c r="V36" s="110">
        <v>12.32</v>
      </c>
      <c r="W36" s="105">
        <v>6.3157894736842106</v>
      </c>
      <c r="X36" s="105">
        <v>4.96</v>
      </c>
      <c r="Y36" s="105">
        <v>4.41</v>
      </c>
      <c r="Z36" s="105">
        <v>3.8988888888888891</v>
      </c>
      <c r="AA36" s="105">
        <v>3.49</v>
      </c>
      <c r="AB36" s="105">
        <v>2.5299999999999998</v>
      </c>
      <c r="AC36" s="105">
        <v>2.2338461538461538</v>
      </c>
      <c r="AD36" s="105">
        <v>2.0561538461538462</v>
      </c>
      <c r="AE36" s="105">
        <v>1.76</v>
      </c>
    </row>
    <row r="37" spans="1:31" x14ac:dyDescent="0.25">
      <c r="A37" s="98" t="s">
        <v>128</v>
      </c>
      <c r="B37" s="117" t="s">
        <v>131</v>
      </c>
      <c r="C37" s="98" t="s">
        <v>258</v>
      </c>
      <c r="D37" s="98" t="s">
        <v>259</v>
      </c>
      <c r="E37" s="111" t="s">
        <v>243</v>
      </c>
      <c r="F37" s="105">
        <v>39414</v>
      </c>
      <c r="G37" s="106">
        <v>0.47</v>
      </c>
      <c r="H37" s="105">
        <f>BAZA_PC[[#This Row],[CENA KATALOGOWA]]*(1-BAZA_PC[[#This Row],[RABAT]])</f>
        <v>20889.420000000002</v>
      </c>
      <c r="I37" s="111">
        <v>12</v>
      </c>
      <c r="J37" s="111">
        <v>9</v>
      </c>
      <c r="K37" s="112">
        <v>4.96</v>
      </c>
      <c r="L37" s="98">
        <v>3</v>
      </c>
      <c r="M37" s="109">
        <v>5</v>
      </c>
      <c r="N37" s="105">
        <v>12</v>
      </c>
      <c r="O37" s="105">
        <v>12</v>
      </c>
      <c r="P37" s="105">
        <v>12</v>
      </c>
      <c r="Q37" s="105">
        <v>12</v>
      </c>
      <c r="R37" s="105">
        <v>12</v>
      </c>
      <c r="S37" s="105">
        <v>12</v>
      </c>
      <c r="T37" s="105">
        <v>10.278</v>
      </c>
      <c r="U37" s="105">
        <v>11.044</v>
      </c>
      <c r="V37" s="110">
        <v>12.32</v>
      </c>
      <c r="W37" s="105">
        <v>6.3157894736842106</v>
      </c>
      <c r="X37" s="105">
        <v>4.96</v>
      </c>
      <c r="Y37" s="105">
        <v>4.41</v>
      </c>
      <c r="Z37" s="105">
        <v>3.8988888888888891</v>
      </c>
      <c r="AA37" s="105">
        <v>3.49</v>
      </c>
      <c r="AB37" s="105">
        <v>2.5299999999999998</v>
      </c>
      <c r="AC37" s="105">
        <v>2.2338461538461538</v>
      </c>
      <c r="AD37" s="105">
        <v>2.0561538461538462</v>
      </c>
      <c r="AE37" s="105">
        <v>1.76</v>
      </c>
    </row>
    <row r="38" spans="1:31" x14ac:dyDescent="0.25">
      <c r="A38" s="98" t="s">
        <v>128</v>
      </c>
      <c r="B38" s="117" t="s">
        <v>131</v>
      </c>
      <c r="C38" s="98" t="s">
        <v>260</v>
      </c>
      <c r="D38" s="98" t="s">
        <v>261</v>
      </c>
      <c r="E38" s="111" t="s">
        <v>243</v>
      </c>
      <c r="F38" s="105">
        <v>44489</v>
      </c>
      <c r="G38" s="106">
        <v>0.47</v>
      </c>
      <c r="H38" s="105">
        <f>BAZA_PC[[#This Row],[CENA KATALOGOWA]]*(1-BAZA_PC[[#This Row],[RABAT]])</f>
        <v>23579.170000000002</v>
      </c>
      <c r="I38" s="111">
        <v>16</v>
      </c>
      <c r="J38" s="111">
        <v>9</v>
      </c>
      <c r="K38" s="112">
        <v>4.46</v>
      </c>
      <c r="L38" s="98">
        <v>3</v>
      </c>
      <c r="M38" s="113">
        <v>5</v>
      </c>
      <c r="N38" s="105">
        <v>16</v>
      </c>
      <c r="O38" s="105">
        <v>16</v>
      </c>
      <c r="P38" s="105">
        <v>16</v>
      </c>
      <c r="Q38" s="105">
        <v>16</v>
      </c>
      <c r="R38" s="105">
        <v>16</v>
      </c>
      <c r="S38" s="105">
        <v>16</v>
      </c>
      <c r="T38" s="105">
        <v>16</v>
      </c>
      <c r="U38" s="105">
        <v>16</v>
      </c>
      <c r="V38" s="110">
        <v>16</v>
      </c>
      <c r="W38" s="105">
        <v>8.8888888888888893</v>
      </c>
      <c r="X38" s="105">
        <v>6.89</v>
      </c>
      <c r="Y38" s="105">
        <v>6.42</v>
      </c>
      <c r="Z38" s="105">
        <v>5.7477777777777774</v>
      </c>
      <c r="AA38" s="105">
        <v>5.21</v>
      </c>
      <c r="AB38" s="105">
        <v>3.18</v>
      </c>
      <c r="AC38" s="105">
        <v>2.9492307692307693</v>
      </c>
      <c r="AD38" s="105">
        <v>2.8107692307692309</v>
      </c>
      <c r="AE38" s="105">
        <v>2.58</v>
      </c>
    </row>
    <row r="39" spans="1:31" x14ac:dyDescent="0.25">
      <c r="A39" s="111" t="s">
        <v>129</v>
      </c>
      <c r="B39" s="111" t="s">
        <v>127</v>
      </c>
      <c r="C39" s="111" t="s">
        <v>262</v>
      </c>
      <c r="D39" s="111" t="s">
        <v>263</v>
      </c>
      <c r="E39" s="111" t="s">
        <v>264</v>
      </c>
      <c r="F39" s="112">
        <v>20000</v>
      </c>
      <c r="G39" s="119">
        <v>0.5</v>
      </c>
      <c r="H39" s="105">
        <f>BAZA_PC[[#This Row],[CENA KATALOGOWA]]*(1-BAZA_PC[[#This Row],[RABAT]])</f>
        <v>10000</v>
      </c>
      <c r="I39" s="111">
        <v>4</v>
      </c>
      <c r="J39" s="111">
        <v>3</v>
      </c>
      <c r="K39" s="112">
        <v>4.6500000000000004</v>
      </c>
      <c r="L39" s="98">
        <v>1</v>
      </c>
      <c r="M39" s="113">
        <v>5</v>
      </c>
      <c r="N39" s="105">
        <v>4</v>
      </c>
      <c r="O39" s="105">
        <v>4</v>
      </c>
      <c r="P39" s="105">
        <v>4</v>
      </c>
      <c r="Q39" s="105">
        <v>4</v>
      </c>
      <c r="R39" s="105">
        <v>4</v>
      </c>
      <c r="S39" s="105">
        <v>4</v>
      </c>
      <c r="T39" s="105">
        <v>4</v>
      </c>
      <c r="U39" s="105">
        <v>4</v>
      </c>
      <c r="V39" s="110">
        <v>4</v>
      </c>
      <c r="W39" s="105">
        <v>1.84</v>
      </c>
      <c r="X39" s="105">
        <v>1.65</v>
      </c>
      <c r="Y39" s="105">
        <v>1.3</v>
      </c>
      <c r="Z39" s="105">
        <v>1.06</v>
      </c>
      <c r="AA39" s="105">
        <v>1.1000000000000001</v>
      </c>
      <c r="AB39" s="105">
        <v>0.78</v>
      </c>
      <c r="AC39" s="105">
        <v>0.77</v>
      </c>
      <c r="AD39" s="105">
        <v>0.69</v>
      </c>
      <c r="AE39" s="105">
        <v>0.62</v>
      </c>
    </row>
    <row r="40" spans="1:31" x14ac:dyDescent="0.25">
      <c r="A40" s="111" t="s">
        <v>129</v>
      </c>
      <c r="B40" s="111" t="s">
        <v>127</v>
      </c>
      <c r="C40" s="111" t="s">
        <v>265</v>
      </c>
      <c r="D40" s="120" t="s">
        <v>266</v>
      </c>
      <c r="E40" s="111" t="s">
        <v>267</v>
      </c>
      <c r="F40" s="112">
        <v>22200</v>
      </c>
      <c r="G40" s="119">
        <v>0.5</v>
      </c>
      <c r="H40" s="105">
        <f>BAZA_PC[[#This Row],[CENA KATALOGOWA]]*(1-BAZA_PC[[#This Row],[RABAT]])</f>
        <v>11100</v>
      </c>
      <c r="I40" s="111">
        <v>5</v>
      </c>
      <c r="J40" s="111">
        <v>3</v>
      </c>
      <c r="K40" s="112">
        <v>4.6500000000000004</v>
      </c>
      <c r="L40" s="98">
        <v>1</v>
      </c>
      <c r="M40" s="113">
        <v>5</v>
      </c>
      <c r="N40" s="121">
        <v>4.51</v>
      </c>
      <c r="O40" s="112">
        <v>5.12</v>
      </c>
      <c r="P40" s="112">
        <v>5.5</v>
      </c>
      <c r="Q40" s="112">
        <v>5.5</v>
      </c>
      <c r="R40" s="112">
        <v>5.5</v>
      </c>
      <c r="S40" s="112">
        <v>5.5</v>
      </c>
      <c r="T40" s="112">
        <v>5.5</v>
      </c>
      <c r="U40" s="112">
        <v>5.5</v>
      </c>
      <c r="V40" s="122">
        <v>5.5</v>
      </c>
      <c r="W40" s="121">
        <v>2.1800000000000002</v>
      </c>
      <c r="X40" s="121">
        <v>2.23</v>
      </c>
      <c r="Y40" s="121">
        <v>2.04</v>
      </c>
      <c r="Z40" s="121">
        <v>1.76</v>
      </c>
      <c r="AA40" s="121">
        <v>1.57</v>
      </c>
      <c r="AB40" s="121">
        <v>1.1200000000000001</v>
      </c>
      <c r="AC40" s="121">
        <v>1.03</v>
      </c>
      <c r="AD40" s="121">
        <v>0.91</v>
      </c>
      <c r="AE40" s="121">
        <v>0.81</v>
      </c>
    </row>
    <row r="41" spans="1:31" x14ac:dyDescent="0.25">
      <c r="A41" s="111" t="s">
        <v>129</v>
      </c>
      <c r="B41" s="111" t="s">
        <v>127</v>
      </c>
      <c r="C41" s="111" t="s">
        <v>268</v>
      </c>
      <c r="D41" s="111" t="s">
        <v>269</v>
      </c>
      <c r="E41" s="111" t="s">
        <v>264</v>
      </c>
      <c r="F41" s="112">
        <v>20500</v>
      </c>
      <c r="G41" s="119">
        <v>0.5</v>
      </c>
      <c r="H41" s="105">
        <f>BAZA_PC[[#This Row],[CENA KATALOGOWA]]*(1-BAZA_PC[[#This Row],[RABAT]])</f>
        <v>10250</v>
      </c>
      <c r="I41" s="111">
        <v>6</v>
      </c>
      <c r="J41" s="111">
        <v>3</v>
      </c>
      <c r="K41" s="112">
        <v>4.6500000000000004</v>
      </c>
      <c r="L41" s="98">
        <v>1</v>
      </c>
      <c r="M41" s="113">
        <v>5</v>
      </c>
      <c r="N41" s="121">
        <v>4.78</v>
      </c>
      <c r="O41" s="112">
        <v>5.52</v>
      </c>
      <c r="P41" s="112">
        <v>6</v>
      </c>
      <c r="Q41" s="112">
        <v>6</v>
      </c>
      <c r="R41" s="112">
        <v>6</v>
      </c>
      <c r="S41" s="112">
        <v>6</v>
      </c>
      <c r="T41" s="112">
        <v>6</v>
      </c>
      <c r="U41" s="112">
        <v>6</v>
      </c>
      <c r="V41" s="122">
        <v>6</v>
      </c>
      <c r="W41" s="121">
        <v>2.2799999999999998</v>
      </c>
      <c r="X41" s="112">
        <v>2.35</v>
      </c>
      <c r="Y41" s="112">
        <v>2.0099999999999998</v>
      </c>
      <c r="Z41" s="112">
        <v>1.65</v>
      </c>
      <c r="AA41" s="112">
        <v>1.7</v>
      </c>
      <c r="AB41" s="112">
        <v>1.21</v>
      </c>
      <c r="AC41" s="112">
        <v>1.19</v>
      </c>
      <c r="AD41" s="112">
        <v>1.06</v>
      </c>
      <c r="AE41" s="112">
        <v>0.95</v>
      </c>
    </row>
    <row r="42" spans="1:31" x14ac:dyDescent="0.25">
      <c r="A42" s="111" t="s">
        <v>129</v>
      </c>
      <c r="B42" s="111" t="s">
        <v>127</v>
      </c>
      <c r="C42" s="111" t="s">
        <v>270</v>
      </c>
      <c r="D42" s="123" t="s">
        <v>271</v>
      </c>
      <c r="E42" s="111" t="s">
        <v>267</v>
      </c>
      <c r="F42" s="112">
        <v>22600</v>
      </c>
      <c r="G42" s="119">
        <v>0.5</v>
      </c>
      <c r="H42" s="105">
        <f>BAZA_PC[[#This Row],[CENA KATALOGOWA]]*(1-BAZA_PC[[#This Row],[RABAT]])</f>
        <v>11300</v>
      </c>
      <c r="I42" s="111">
        <v>7</v>
      </c>
      <c r="J42" s="111">
        <v>3</v>
      </c>
      <c r="K42" s="112">
        <v>4.6500000000000004</v>
      </c>
      <c r="L42" s="98">
        <v>1</v>
      </c>
      <c r="M42" s="113">
        <v>5</v>
      </c>
      <c r="N42" s="121">
        <v>5.43</v>
      </c>
      <c r="O42" s="112">
        <v>6</v>
      </c>
      <c r="P42" s="112">
        <v>7</v>
      </c>
      <c r="Q42" s="112">
        <v>7</v>
      </c>
      <c r="R42" s="112">
        <v>7</v>
      </c>
      <c r="S42" s="112">
        <v>7</v>
      </c>
      <c r="T42" s="112">
        <v>7</v>
      </c>
      <c r="U42" s="112">
        <v>7</v>
      </c>
      <c r="V42" s="122">
        <v>7</v>
      </c>
      <c r="W42" s="121">
        <v>2.69</v>
      </c>
      <c r="X42" s="121">
        <v>2.67</v>
      </c>
      <c r="Y42" s="121">
        <v>2.57</v>
      </c>
      <c r="Z42" s="121">
        <v>2.2999999999999998</v>
      </c>
      <c r="AA42" s="121">
        <v>2.06</v>
      </c>
      <c r="AB42" s="121">
        <v>1.43</v>
      </c>
      <c r="AC42" s="121">
        <v>1.33</v>
      </c>
      <c r="AD42" s="121">
        <v>1.18</v>
      </c>
      <c r="AE42" s="121">
        <v>1.07</v>
      </c>
    </row>
    <row r="43" spans="1:31" x14ac:dyDescent="0.25">
      <c r="A43" s="111" t="s">
        <v>129</v>
      </c>
      <c r="B43" s="111" t="s">
        <v>127</v>
      </c>
      <c r="C43" s="111" t="s">
        <v>272</v>
      </c>
      <c r="D43" s="123" t="s">
        <v>273</v>
      </c>
      <c r="E43" s="111" t="s">
        <v>267</v>
      </c>
      <c r="F43" s="112">
        <v>23500</v>
      </c>
      <c r="G43" s="119">
        <v>0.5</v>
      </c>
      <c r="H43" s="105">
        <f>BAZA_PC[[#This Row],[CENA KATALOGOWA]]*(1-BAZA_PC[[#This Row],[RABAT]])</f>
        <v>11750</v>
      </c>
      <c r="I43" s="111">
        <v>9</v>
      </c>
      <c r="J43" s="111">
        <v>3</v>
      </c>
      <c r="K43" s="112">
        <v>4.6500000000000004</v>
      </c>
      <c r="L43" s="98">
        <v>1</v>
      </c>
      <c r="M43" s="113">
        <v>5</v>
      </c>
      <c r="N43" s="121">
        <v>7</v>
      </c>
      <c r="O43" s="112">
        <v>7.8</v>
      </c>
      <c r="P43" s="112">
        <v>9</v>
      </c>
      <c r="Q43" s="112">
        <v>9</v>
      </c>
      <c r="R43" s="112">
        <v>9</v>
      </c>
      <c r="S43" s="112">
        <v>9</v>
      </c>
      <c r="T43" s="112">
        <v>9</v>
      </c>
      <c r="U43" s="112">
        <v>9</v>
      </c>
      <c r="V43" s="122">
        <v>9</v>
      </c>
      <c r="W43" s="121">
        <v>3.57</v>
      </c>
      <c r="X43" s="121">
        <v>3.51</v>
      </c>
      <c r="Y43" s="121">
        <v>3.32</v>
      </c>
      <c r="Z43" s="121">
        <v>3.03</v>
      </c>
      <c r="AA43" s="121">
        <v>2.69</v>
      </c>
      <c r="AB43" s="121">
        <v>1.94</v>
      </c>
      <c r="AC43" s="121">
        <v>1.81</v>
      </c>
      <c r="AD43" s="121">
        <v>1.64</v>
      </c>
      <c r="AE43" s="121">
        <v>1.49</v>
      </c>
    </row>
    <row r="44" spans="1:31" x14ac:dyDescent="0.25">
      <c r="A44" s="111" t="s">
        <v>129</v>
      </c>
      <c r="B44" s="111" t="s">
        <v>127</v>
      </c>
      <c r="C44" s="111" t="s">
        <v>274</v>
      </c>
      <c r="D44" s="123" t="s">
        <v>275</v>
      </c>
      <c r="E44" s="111" t="s">
        <v>276</v>
      </c>
      <c r="F44" s="112">
        <v>28200</v>
      </c>
      <c r="G44" s="119">
        <v>0.5</v>
      </c>
      <c r="H44" s="105">
        <f>BAZA_PC[[#This Row],[CENA KATALOGOWA]]*(1-BAZA_PC[[#This Row],[RABAT]])</f>
        <v>14100</v>
      </c>
      <c r="I44" s="111">
        <v>12</v>
      </c>
      <c r="J44" s="111">
        <v>6</v>
      </c>
      <c r="K44" s="112">
        <v>4.5999999999999996</v>
      </c>
      <c r="L44" s="98">
        <v>1</v>
      </c>
      <c r="M44" s="113">
        <v>5</v>
      </c>
      <c r="N44" s="121">
        <v>10</v>
      </c>
      <c r="O44" s="112">
        <v>11.5</v>
      </c>
      <c r="P44" s="112">
        <v>12</v>
      </c>
      <c r="Q44" s="112">
        <v>12</v>
      </c>
      <c r="R44" s="112">
        <v>12</v>
      </c>
      <c r="S44" s="112">
        <v>12</v>
      </c>
      <c r="T44" s="112">
        <v>12</v>
      </c>
      <c r="U44" s="112">
        <v>12</v>
      </c>
      <c r="V44" s="122">
        <v>12</v>
      </c>
      <c r="W44" s="121">
        <v>4.6900000000000004</v>
      </c>
      <c r="X44" s="121">
        <v>4.79</v>
      </c>
      <c r="Y44" s="121">
        <v>4</v>
      </c>
      <c r="Z44" s="121">
        <v>3.48</v>
      </c>
      <c r="AA44" s="121">
        <v>3.11</v>
      </c>
      <c r="AB44" s="121">
        <v>2.38</v>
      </c>
      <c r="AC44" s="121">
        <v>2.27</v>
      </c>
      <c r="AD44" s="121">
        <v>2.04</v>
      </c>
      <c r="AE44" s="121">
        <v>1.83</v>
      </c>
    </row>
    <row r="45" spans="1:31" x14ac:dyDescent="0.25">
      <c r="A45" s="111" t="s">
        <v>129</v>
      </c>
      <c r="B45" s="111" t="s">
        <v>127</v>
      </c>
      <c r="C45" s="111" t="s">
        <v>277</v>
      </c>
      <c r="D45" s="123" t="s">
        <v>278</v>
      </c>
      <c r="E45" s="111" t="s">
        <v>276</v>
      </c>
      <c r="F45" s="112">
        <v>29400</v>
      </c>
      <c r="G45" s="119">
        <v>0.5</v>
      </c>
      <c r="H45" s="105">
        <f>BAZA_PC[[#This Row],[CENA KATALOGOWA]]*(1-BAZA_PC[[#This Row],[RABAT]])</f>
        <v>14700</v>
      </c>
      <c r="I45" s="111">
        <v>12</v>
      </c>
      <c r="J45" s="111">
        <v>6</v>
      </c>
      <c r="K45" s="112">
        <v>4.5999999999999996</v>
      </c>
      <c r="L45" s="98">
        <v>3</v>
      </c>
      <c r="M45" s="113">
        <v>5</v>
      </c>
      <c r="N45" s="121">
        <v>10</v>
      </c>
      <c r="O45" s="112">
        <v>11.5</v>
      </c>
      <c r="P45" s="112">
        <v>12</v>
      </c>
      <c r="Q45" s="112">
        <v>12</v>
      </c>
      <c r="R45" s="112">
        <v>12</v>
      </c>
      <c r="S45" s="112">
        <v>12</v>
      </c>
      <c r="T45" s="112">
        <v>12</v>
      </c>
      <c r="U45" s="112">
        <v>12</v>
      </c>
      <c r="V45" s="122">
        <v>12</v>
      </c>
      <c r="W45" s="121">
        <v>4.6900000000000004</v>
      </c>
      <c r="X45" s="121">
        <v>4.79</v>
      </c>
      <c r="Y45" s="121">
        <v>4</v>
      </c>
      <c r="Z45" s="121">
        <v>3.48</v>
      </c>
      <c r="AA45" s="121">
        <v>3.11</v>
      </c>
      <c r="AB45" s="121">
        <v>2.38</v>
      </c>
      <c r="AC45" s="121">
        <v>2.27</v>
      </c>
      <c r="AD45" s="121">
        <v>2.04</v>
      </c>
      <c r="AE45" s="121">
        <v>1.83</v>
      </c>
    </row>
    <row r="46" spans="1:31" x14ac:dyDescent="0.25">
      <c r="A46" s="111" t="s">
        <v>129</v>
      </c>
      <c r="B46" s="111" t="s">
        <v>127</v>
      </c>
      <c r="C46" s="111" t="s">
        <v>279</v>
      </c>
      <c r="D46" s="123" t="s">
        <v>280</v>
      </c>
      <c r="E46" s="111" t="s">
        <v>276</v>
      </c>
      <c r="F46" s="112">
        <v>30100</v>
      </c>
      <c r="G46" s="119">
        <v>0.5</v>
      </c>
      <c r="H46" s="105">
        <f>BAZA_PC[[#This Row],[CENA KATALOGOWA]]*(1-BAZA_PC[[#This Row],[RABAT]])</f>
        <v>15050</v>
      </c>
      <c r="I46" s="111">
        <v>14</v>
      </c>
      <c r="J46" s="111">
        <v>6</v>
      </c>
      <c r="K46" s="112">
        <v>4.57</v>
      </c>
      <c r="L46" s="98">
        <v>1</v>
      </c>
      <c r="M46" s="113">
        <v>5</v>
      </c>
      <c r="N46" s="121">
        <v>11.25</v>
      </c>
      <c r="O46" s="112">
        <v>12.9</v>
      </c>
      <c r="P46" s="112">
        <v>14</v>
      </c>
      <c r="Q46" s="112">
        <v>14</v>
      </c>
      <c r="R46" s="112">
        <v>14</v>
      </c>
      <c r="S46" s="112">
        <v>14</v>
      </c>
      <c r="T46" s="112">
        <v>14</v>
      </c>
      <c r="U46" s="112">
        <v>14</v>
      </c>
      <c r="V46" s="122">
        <v>14</v>
      </c>
      <c r="W46" s="121">
        <v>5.49</v>
      </c>
      <c r="X46" s="112">
        <v>5.61</v>
      </c>
      <c r="Y46" s="112">
        <v>4.75</v>
      </c>
      <c r="Z46" s="112">
        <v>4.1900000000000004</v>
      </c>
      <c r="AA46" s="112">
        <v>3.76</v>
      </c>
      <c r="AB46" s="112">
        <v>2.86</v>
      </c>
      <c r="AC46" s="112">
        <v>2.83</v>
      </c>
      <c r="AD46" s="112">
        <v>2.4500000000000002</v>
      </c>
      <c r="AE46" s="112">
        <v>2.2000000000000002</v>
      </c>
    </row>
    <row r="47" spans="1:31" x14ac:dyDescent="0.25">
      <c r="A47" s="111" t="s">
        <v>129</v>
      </c>
      <c r="B47" s="111" t="s">
        <v>127</v>
      </c>
      <c r="C47" s="111" t="s">
        <v>281</v>
      </c>
      <c r="D47" s="123" t="s">
        <v>282</v>
      </c>
      <c r="E47" s="111" t="s">
        <v>276</v>
      </c>
      <c r="F47" s="112">
        <v>31500</v>
      </c>
      <c r="G47" s="119">
        <v>0.5</v>
      </c>
      <c r="H47" s="105">
        <f>BAZA_PC[[#This Row],[CENA KATALOGOWA]]*(1-BAZA_PC[[#This Row],[RABAT]])</f>
        <v>15750</v>
      </c>
      <c r="I47" s="111">
        <v>14</v>
      </c>
      <c r="J47" s="111">
        <v>6</v>
      </c>
      <c r="K47" s="112">
        <v>4.57</v>
      </c>
      <c r="L47" s="98">
        <v>3</v>
      </c>
      <c r="M47" s="113">
        <v>5</v>
      </c>
      <c r="N47" s="121">
        <v>11.25</v>
      </c>
      <c r="O47" s="112">
        <v>12.9</v>
      </c>
      <c r="P47" s="112">
        <v>14</v>
      </c>
      <c r="Q47" s="112">
        <v>14</v>
      </c>
      <c r="R47" s="112">
        <v>14</v>
      </c>
      <c r="S47" s="112">
        <v>14</v>
      </c>
      <c r="T47" s="112">
        <v>14</v>
      </c>
      <c r="U47" s="112">
        <v>14</v>
      </c>
      <c r="V47" s="122">
        <v>14</v>
      </c>
      <c r="W47" s="121">
        <v>5.49</v>
      </c>
      <c r="X47" s="112">
        <v>5.61</v>
      </c>
      <c r="Y47" s="112">
        <v>4.75</v>
      </c>
      <c r="Z47" s="112">
        <v>4.1900000000000004</v>
      </c>
      <c r="AA47" s="112">
        <v>3.76</v>
      </c>
      <c r="AB47" s="112">
        <v>2.86</v>
      </c>
      <c r="AC47" s="112">
        <v>2.83</v>
      </c>
      <c r="AD47" s="112">
        <v>2.4500000000000002</v>
      </c>
      <c r="AE47" s="112">
        <v>2.2000000000000002</v>
      </c>
    </row>
    <row r="48" spans="1:31" x14ac:dyDescent="0.25">
      <c r="A48" s="111" t="s">
        <v>129</v>
      </c>
      <c r="B48" s="111" t="s">
        <v>127</v>
      </c>
      <c r="C48" s="111" t="s">
        <v>283</v>
      </c>
      <c r="D48" s="123" t="s">
        <v>284</v>
      </c>
      <c r="E48" s="111" t="s">
        <v>276</v>
      </c>
      <c r="F48" s="112">
        <v>32600</v>
      </c>
      <c r="G48" s="119">
        <v>0.5</v>
      </c>
      <c r="H48" s="105">
        <f>BAZA_PC[[#This Row],[CENA KATALOGOWA]]*(1-BAZA_PC[[#This Row],[RABAT]])</f>
        <v>16300</v>
      </c>
      <c r="I48" s="111">
        <v>16</v>
      </c>
      <c r="J48" s="111">
        <v>6</v>
      </c>
      <c r="K48" s="112">
        <v>4.55</v>
      </c>
      <c r="L48" s="98">
        <v>1</v>
      </c>
      <c r="M48" s="113">
        <v>5</v>
      </c>
      <c r="N48" s="121">
        <v>12.54</v>
      </c>
      <c r="O48" s="112">
        <v>14.39</v>
      </c>
      <c r="P48" s="112">
        <v>16</v>
      </c>
      <c r="Q48" s="112">
        <v>16</v>
      </c>
      <c r="R48" s="112">
        <v>16</v>
      </c>
      <c r="S48" s="112">
        <v>16</v>
      </c>
      <c r="T48" s="112">
        <v>16</v>
      </c>
      <c r="U48" s="112">
        <v>16</v>
      </c>
      <c r="V48" s="122">
        <v>16</v>
      </c>
      <c r="W48" s="121">
        <v>5.75</v>
      </c>
      <c r="X48" s="112">
        <v>6.37</v>
      </c>
      <c r="Y48" s="112">
        <v>5.71</v>
      </c>
      <c r="Z48" s="112">
        <v>5.0199999999999996</v>
      </c>
      <c r="AA48" s="112">
        <v>4.6900000000000004</v>
      </c>
      <c r="AB48" s="112">
        <v>3.33</v>
      </c>
      <c r="AC48" s="112">
        <v>3.15</v>
      </c>
      <c r="AD48" s="112">
        <v>2.68</v>
      </c>
      <c r="AE48" s="112">
        <v>2.33</v>
      </c>
    </row>
    <row r="49" spans="1:31" x14ac:dyDescent="0.25">
      <c r="A49" s="111" t="s">
        <v>129</v>
      </c>
      <c r="B49" s="111" t="s">
        <v>127</v>
      </c>
      <c r="C49" s="111" t="s">
        <v>285</v>
      </c>
      <c r="D49" s="120" t="s">
        <v>286</v>
      </c>
      <c r="E49" s="111" t="s">
        <v>276</v>
      </c>
      <c r="F49" s="112">
        <v>34000</v>
      </c>
      <c r="G49" s="119">
        <v>0.5</v>
      </c>
      <c r="H49" s="105">
        <f>BAZA_PC[[#This Row],[CENA KATALOGOWA]]*(1-BAZA_PC[[#This Row],[RABAT]])</f>
        <v>17000</v>
      </c>
      <c r="I49" s="111">
        <v>16</v>
      </c>
      <c r="J49" s="111">
        <v>6</v>
      </c>
      <c r="K49" s="112">
        <v>4.55</v>
      </c>
      <c r="L49" s="98">
        <v>3</v>
      </c>
      <c r="M49" s="109">
        <v>5</v>
      </c>
      <c r="N49" s="121">
        <v>12.54</v>
      </c>
      <c r="O49" s="112">
        <v>14.39</v>
      </c>
      <c r="P49" s="112">
        <v>16</v>
      </c>
      <c r="Q49" s="112">
        <v>16</v>
      </c>
      <c r="R49" s="112">
        <v>16</v>
      </c>
      <c r="S49" s="112">
        <v>16</v>
      </c>
      <c r="T49" s="112">
        <v>16</v>
      </c>
      <c r="U49" s="112">
        <v>16</v>
      </c>
      <c r="V49" s="122">
        <v>16</v>
      </c>
      <c r="W49" s="121">
        <v>5.75</v>
      </c>
      <c r="X49" s="112">
        <v>6.37</v>
      </c>
      <c r="Y49" s="112">
        <v>5.71</v>
      </c>
      <c r="Z49" s="112">
        <v>5.0199999999999996</v>
      </c>
      <c r="AA49" s="112">
        <v>4.6900000000000004</v>
      </c>
      <c r="AB49" s="112">
        <v>3.33</v>
      </c>
      <c r="AC49" s="112">
        <v>3.15</v>
      </c>
      <c r="AD49" s="112">
        <v>2.68</v>
      </c>
      <c r="AE49" s="112">
        <v>2.33</v>
      </c>
    </row>
    <row r="50" spans="1:31" x14ac:dyDescent="0.25">
      <c r="A50" s="111" t="s">
        <v>129</v>
      </c>
      <c r="B50" s="111" t="s">
        <v>130</v>
      </c>
      <c r="C50" s="111" t="s">
        <v>287</v>
      </c>
      <c r="D50" s="111" t="s">
        <v>263</v>
      </c>
      <c r="E50" s="111" t="s">
        <v>288</v>
      </c>
      <c r="F50" s="112">
        <v>31000</v>
      </c>
      <c r="G50" s="119">
        <v>0.5</v>
      </c>
      <c r="H50" s="105">
        <f>BAZA_PC[[#This Row],[CENA KATALOGOWA]]*(1-BAZA_PC[[#This Row],[RABAT]])</f>
        <v>15500</v>
      </c>
      <c r="I50" s="111">
        <v>4</v>
      </c>
      <c r="J50" s="111">
        <v>3</v>
      </c>
      <c r="K50" s="112">
        <v>4.6500000000000004</v>
      </c>
      <c r="L50" s="98">
        <v>1</v>
      </c>
      <c r="M50" s="113">
        <v>5</v>
      </c>
      <c r="N50" s="105">
        <v>4</v>
      </c>
      <c r="O50" s="105">
        <v>4</v>
      </c>
      <c r="P50" s="105">
        <v>4</v>
      </c>
      <c r="Q50" s="105">
        <v>4</v>
      </c>
      <c r="R50" s="105">
        <v>4</v>
      </c>
      <c r="S50" s="105">
        <v>4</v>
      </c>
      <c r="T50" s="105">
        <v>4</v>
      </c>
      <c r="U50" s="105">
        <v>4</v>
      </c>
      <c r="V50" s="110">
        <v>4</v>
      </c>
      <c r="W50" s="105">
        <v>1.84</v>
      </c>
      <c r="X50" s="105">
        <v>1.65</v>
      </c>
      <c r="Y50" s="105">
        <v>1.3</v>
      </c>
      <c r="Z50" s="105">
        <v>1.06</v>
      </c>
      <c r="AA50" s="105">
        <v>1.1000000000000001</v>
      </c>
      <c r="AB50" s="105">
        <v>0.78</v>
      </c>
      <c r="AC50" s="105">
        <v>0.77</v>
      </c>
      <c r="AD50" s="105">
        <v>0.69</v>
      </c>
      <c r="AE50" s="105">
        <v>0.62</v>
      </c>
    </row>
    <row r="51" spans="1:31" x14ac:dyDescent="0.25">
      <c r="A51" s="111" t="s">
        <v>129</v>
      </c>
      <c r="B51" s="111" t="s">
        <v>130</v>
      </c>
      <c r="C51" s="111" t="s">
        <v>289</v>
      </c>
      <c r="D51" s="120" t="s">
        <v>266</v>
      </c>
      <c r="E51" s="111" t="s">
        <v>290</v>
      </c>
      <c r="F51" s="112">
        <v>34400</v>
      </c>
      <c r="G51" s="119">
        <v>0.5</v>
      </c>
      <c r="H51" s="105">
        <f>BAZA_PC[[#This Row],[CENA KATALOGOWA]]*(1-BAZA_PC[[#This Row],[RABAT]])</f>
        <v>17200</v>
      </c>
      <c r="I51" s="111">
        <v>5</v>
      </c>
      <c r="J51" s="111">
        <v>3</v>
      </c>
      <c r="K51" s="112">
        <v>4.6500000000000004</v>
      </c>
      <c r="L51" s="98">
        <v>1</v>
      </c>
      <c r="M51" s="113">
        <v>5</v>
      </c>
      <c r="N51" s="121">
        <v>4.51</v>
      </c>
      <c r="O51" s="112">
        <v>5.12</v>
      </c>
      <c r="P51" s="112">
        <v>5.5</v>
      </c>
      <c r="Q51" s="112">
        <v>5.5</v>
      </c>
      <c r="R51" s="112">
        <v>5.5</v>
      </c>
      <c r="S51" s="112">
        <v>5.5</v>
      </c>
      <c r="T51" s="112">
        <v>5.5</v>
      </c>
      <c r="U51" s="112">
        <v>5.5</v>
      </c>
      <c r="V51" s="122">
        <v>5.5</v>
      </c>
      <c r="W51" s="121">
        <v>2.1800000000000002</v>
      </c>
      <c r="X51" s="121">
        <v>2.23</v>
      </c>
      <c r="Y51" s="121">
        <v>2.04</v>
      </c>
      <c r="Z51" s="121">
        <v>1.76</v>
      </c>
      <c r="AA51" s="121">
        <v>1.57</v>
      </c>
      <c r="AB51" s="121">
        <v>1.1200000000000001</v>
      </c>
      <c r="AC51" s="121">
        <v>1.03</v>
      </c>
      <c r="AD51" s="121">
        <v>0.91</v>
      </c>
      <c r="AE51" s="121">
        <v>0.81</v>
      </c>
    </row>
    <row r="52" spans="1:31" x14ac:dyDescent="0.25">
      <c r="A52" s="111" t="s">
        <v>129</v>
      </c>
      <c r="B52" s="111" t="s">
        <v>130</v>
      </c>
      <c r="C52" s="111" t="s">
        <v>291</v>
      </c>
      <c r="D52" s="111" t="s">
        <v>269</v>
      </c>
      <c r="E52" s="111" t="s">
        <v>288</v>
      </c>
      <c r="F52" s="112">
        <v>31500</v>
      </c>
      <c r="G52" s="119">
        <v>0.5</v>
      </c>
      <c r="H52" s="105">
        <f>BAZA_PC[[#This Row],[CENA KATALOGOWA]]*(1-BAZA_PC[[#This Row],[RABAT]])</f>
        <v>15750</v>
      </c>
      <c r="I52" s="111">
        <v>6</v>
      </c>
      <c r="J52" s="111">
        <v>3</v>
      </c>
      <c r="K52" s="112">
        <v>4.6500000000000004</v>
      </c>
      <c r="L52" s="98">
        <v>1</v>
      </c>
      <c r="M52" s="113">
        <v>5</v>
      </c>
      <c r="N52" s="121">
        <v>4.78</v>
      </c>
      <c r="O52" s="112">
        <v>5.52</v>
      </c>
      <c r="P52" s="112">
        <v>6</v>
      </c>
      <c r="Q52" s="112">
        <v>6</v>
      </c>
      <c r="R52" s="112">
        <v>6</v>
      </c>
      <c r="S52" s="112">
        <v>6</v>
      </c>
      <c r="T52" s="112">
        <v>6</v>
      </c>
      <c r="U52" s="112">
        <v>6</v>
      </c>
      <c r="V52" s="122">
        <v>6</v>
      </c>
      <c r="W52" s="121">
        <v>2.2799999999999998</v>
      </c>
      <c r="X52" s="112">
        <v>2.35</v>
      </c>
      <c r="Y52" s="112">
        <v>2.0099999999999998</v>
      </c>
      <c r="Z52" s="112">
        <v>1.65</v>
      </c>
      <c r="AA52" s="112">
        <v>1.7</v>
      </c>
      <c r="AB52" s="112">
        <v>1.21</v>
      </c>
      <c r="AC52" s="112">
        <v>1.19</v>
      </c>
      <c r="AD52" s="112">
        <v>1.06</v>
      </c>
      <c r="AE52" s="112">
        <v>0.95</v>
      </c>
    </row>
    <row r="53" spans="1:31" x14ac:dyDescent="0.25">
      <c r="A53" s="111" t="s">
        <v>129</v>
      </c>
      <c r="B53" s="111" t="s">
        <v>130</v>
      </c>
      <c r="C53" s="111" t="s">
        <v>292</v>
      </c>
      <c r="D53" s="123" t="s">
        <v>271</v>
      </c>
      <c r="E53" s="111" t="s">
        <v>290</v>
      </c>
      <c r="F53" s="112">
        <v>34800</v>
      </c>
      <c r="G53" s="119">
        <v>0.5</v>
      </c>
      <c r="H53" s="105">
        <f>BAZA_PC[[#This Row],[CENA KATALOGOWA]]*(1-BAZA_PC[[#This Row],[RABAT]])</f>
        <v>17400</v>
      </c>
      <c r="I53" s="111">
        <v>7</v>
      </c>
      <c r="J53" s="111">
        <v>3</v>
      </c>
      <c r="K53" s="112">
        <v>4.6500000000000004</v>
      </c>
      <c r="L53" s="98">
        <v>1</v>
      </c>
      <c r="M53" s="113">
        <v>5</v>
      </c>
      <c r="N53" s="121">
        <v>5.43</v>
      </c>
      <c r="O53" s="112">
        <v>6</v>
      </c>
      <c r="P53" s="112">
        <v>7</v>
      </c>
      <c r="Q53" s="112">
        <v>7</v>
      </c>
      <c r="R53" s="112">
        <v>7</v>
      </c>
      <c r="S53" s="112">
        <v>7</v>
      </c>
      <c r="T53" s="112">
        <v>7</v>
      </c>
      <c r="U53" s="112">
        <v>7</v>
      </c>
      <c r="V53" s="122">
        <v>7</v>
      </c>
      <c r="W53" s="121">
        <v>2.69</v>
      </c>
      <c r="X53" s="121">
        <v>2.67</v>
      </c>
      <c r="Y53" s="121">
        <v>2.57</v>
      </c>
      <c r="Z53" s="121">
        <v>2.2999999999999998</v>
      </c>
      <c r="AA53" s="121">
        <v>2.06</v>
      </c>
      <c r="AB53" s="121">
        <v>1.43</v>
      </c>
      <c r="AC53" s="121">
        <v>1.33</v>
      </c>
      <c r="AD53" s="121">
        <v>1.18</v>
      </c>
      <c r="AE53" s="121">
        <v>1.07</v>
      </c>
    </row>
    <row r="54" spans="1:31" x14ac:dyDescent="0.25">
      <c r="A54" s="111" t="s">
        <v>129</v>
      </c>
      <c r="B54" s="111" t="s">
        <v>130</v>
      </c>
      <c r="C54" s="111" t="s">
        <v>293</v>
      </c>
      <c r="D54" s="123" t="s">
        <v>273</v>
      </c>
      <c r="E54" s="111" t="s">
        <v>290</v>
      </c>
      <c r="F54" s="112">
        <v>35700</v>
      </c>
      <c r="G54" s="119">
        <v>0.5</v>
      </c>
      <c r="H54" s="105">
        <f>BAZA_PC[[#This Row],[CENA KATALOGOWA]]*(1-BAZA_PC[[#This Row],[RABAT]])</f>
        <v>17850</v>
      </c>
      <c r="I54" s="111">
        <v>9</v>
      </c>
      <c r="J54" s="111">
        <v>3</v>
      </c>
      <c r="K54" s="112">
        <v>4.6500000000000004</v>
      </c>
      <c r="L54" s="98">
        <v>1</v>
      </c>
      <c r="M54" s="113">
        <v>5</v>
      </c>
      <c r="N54" s="121">
        <v>7</v>
      </c>
      <c r="O54" s="112">
        <v>7.8</v>
      </c>
      <c r="P54" s="112">
        <v>9</v>
      </c>
      <c r="Q54" s="112">
        <v>9</v>
      </c>
      <c r="R54" s="112">
        <v>9</v>
      </c>
      <c r="S54" s="112">
        <v>9</v>
      </c>
      <c r="T54" s="112">
        <v>9</v>
      </c>
      <c r="U54" s="112">
        <v>9</v>
      </c>
      <c r="V54" s="122">
        <v>9</v>
      </c>
      <c r="W54" s="121">
        <v>3.57</v>
      </c>
      <c r="X54" s="121">
        <v>3.51</v>
      </c>
      <c r="Y54" s="121">
        <v>3.32</v>
      </c>
      <c r="Z54" s="121">
        <v>3.03</v>
      </c>
      <c r="AA54" s="121">
        <v>2.69</v>
      </c>
      <c r="AB54" s="121">
        <v>1.94</v>
      </c>
      <c r="AC54" s="121">
        <v>1.81</v>
      </c>
      <c r="AD54" s="121">
        <v>1.64</v>
      </c>
      <c r="AE54" s="121">
        <v>1.49</v>
      </c>
    </row>
    <row r="55" spans="1:31" x14ac:dyDescent="0.25">
      <c r="A55" s="111" t="s">
        <v>129</v>
      </c>
      <c r="B55" s="111" t="s">
        <v>130</v>
      </c>
      <c r="C55" s="111" t="s">
        <v>294</v>
      </c>
      <c r="D55" s="123" t="s">
        <v>275</v>
      </c>
      <c r="E55" s="111" t="s">
        <v>295</v>
      </c>
      <c r="F55" s="112">
        <v>46000</v>
      </c>
      <c r="G55" s="119">
        <v>0.5</v>
      </c>
      <c r="H55" s="105">
        <f>BAZA_PC[[#This Row],[CENA KATALOGOWA]]*(1-BAZA_PC[[#This Row],[RABAT]])</f>
        <v>23000</v>
      </c>
      <c r="I55" s="111">
        <v>12</v>
      </c>
      <c r="J55" s="111">
        <v>6</v>
      </c>
      <c r="K55" s="112">
        <v>4.5999999999999996</v>
      </c>
      <c r="L55" s="98">
        <v>1</v>
      </c>
      <c r="M55" s="113">
        <v>5</v>
      </c>
      <c r="N55" s="121">
        <v>10</v>
      </c>
      <c r="O55" s="112">
        <v>11.5</v>
      </c>
      <c r="P55" s="112">
        <v>12</v>
      </c>
      <c r="Q55" s="112">
        <v>12</v>
      </c>
      <c r="R55" s="112">
        <v>12</v>
      </c>
      <c r="S55" s="112">
        <v>12</v>
      </c>
      <c r="T55" s="112">
        <v>12</v>
      </c>
      <c r="U55" s="112">
        <v>12</v>
      </c>
      <c r="V55" s="122">
        <v>12</v>
      </c>
      <c r="W55" s="121">
        <v>4.6900000000000004</v>
      </c>
      <c r="X55" s="121">
        <v>4.79</v>
      </c>
      <c r="Y55" s="121">
        <v>4</v>
      </c>
      <c r="Z55" s="121">
        <v>3.48</v>
      </c>
      <c r="AA55" s="121">
        <v>3.11</v>
      </c>
      <c r="AB55" s="121">
        <v>2.38</v>
      </c>
      <c r="AC55" s="121">
        <v>2.27</v>
      </c>
      <c r="AD55" s="121">
        <v>2.04</v>
      </c>
      <c r="AE55" s="121">
        <v>1.83</v>
      </c>
    </row>
    <row r="56" spans="1:31" x14ac:dyDescent="0.25">
      <c r="A56" s="111" t="s">
        <v>129</v>
      </c>
      <c r="B56" s="111" t="s">
        <v>130</v>
      </c>
      <c r="C56" s="111" t="s">
        <v>296</v>
      </c>
      <c r="D56" s="123" t="s">
        <v>278</v>
      </c>
      <c r="E56" s="111" t="s">
        <v>295</v>
      </c>
      <c r="F56" s="112">
        <v>47200</v>
      </c>
      <c r="G56" s="119">
        <v>0.5</v>
      </c>
      <c r="H56" s="105">
        <f>BAZA_PC[[#This Row],[CENA KATALOGOWA]]*(1-BAZA_PC[[#This Row],[RABAT]])</f>
        <v>23600</v>
      </c>
      <c r="I56" s="111">
        <v>12</v>
      </c>
      <c r="J56" s="111">
        <v>6</v>
      </c>
      <c r="K56" s="112">
        <v>4.5999999999999996</v>
      </c>
      <c r="L56" s="98">
        <v>3</v>
      </c>
      <c r="M56" s="113">
        <v>5</v>
      </c>
      <c r="N56" s="121">
        <v>10</v>
      </c>
      <c r="O56" s="112">
        <v>11.5</v>
      </c>
      <c r="P56" s="112">
        <v>12</v>
      </c>
      <c r="Q56" s="112">
        <v>12</v>
      </c>
      <c r="R56" s="112">
        <v>12</v>
      </c>
      <c r="S56" s="112">
        <v>12</v>
      </c>
      <c r="T56" s="112">
        <v>12</v>
      </c>
      <c r="U56" s="112">
        <v>12</v>
      </c>
      <c r="V56" s="122">
        <v>12</v>
      </c>
      <c r="W56" s="121">
        <v>4.6900000000000004</v>
      </c>
      <c r="X56" s="121">
        <v>4.79</v>
      </c>
      <c r="Y56" s="121">
        <v>4</v>
      </c>
      <c r="Z56" s="121">
        <v>3.48</v>
      </c>
      <c r="AA56" s="121">
        <v>3.11</v>
      </c>
      <c r="AB56" s="121">
        <v>2.38</v>
      </c>
      <c r="AC56" s="121">
        <v>2.27</v>
      </c>
      <c r="AD56" s="121">
        <v>2.04</v>
      </c>
      <c r="AE56" s="121">
        <v>1.83</v>
      </c>
    </row>
    <row r="57" spans="1:31" x14ac:dyDescent="0.25">
      <c r="A57" s="111" t="s">
        <v>129</v>
      </c>
      <c r="B57" s="111" t="s">
        <v>130</v>
      </c>
      <c r="C57" s="111" t="s">
        <v>297</v>
      </c>
      <c r="D57" s="123" t="s">
        <v>280</v>
      </c>
      <c r="E57" s="111" t="s">
        <v>295</v>
      </c>
      <c r="F57" s="112">
        <v>47900</v>
      </c>
      <c r="G57" s="119">
        <v>0.5</v>
      </c>
      <c r="H57" s="105">
        <f>BAZA_PC[[#This Row],[CENA KATALOGOWA]]*(1-BAZA_PC[[#This Row],[RABAT]])</f>
        <v>23950</v>
      </c>
      <c r="I57" s="111">
        <v>14</v>
      </c>
      <c r="J57" s="111">
        <v>6</v>
      </c>
      <c r="K57" s="112">
        <v>4.57</v>
      </c>
      <c r="L57" s="98">
        <v>1</v>
      </c>
      <c r="M57" s="113">
        <v>5</v>
      </c>
      <c r="N57" s="121">
        <v>11.25</v>
      </c>
      <c r="O57" s="112">
        <v>12.9</v>
      </c>
      <c r="P57" s="112">
        <v>14</v>
      </c>
      <c r="Q57" s="112">
        <v>14</v>
      </c>
      <c r="R57" s="112">
        <v>14</v>
      </c>
      <c r="S57" s="112">
        <v>14</v>
      </c>
      <c r="T57" s="112">
        <v>14</v>
      </c>
      <c r="U57" s="112">
        <v>14</v>
      </c>
      <c r="V57" s="122">
        <v>14</v>
      </c>
      <c r="W57" s="121">
        <v>5.49</v>
      </c>
      <c r="X57" s="112">
        <v>5.61</v>
      </c>
      <c r="Y57" s="112">
        <v>4.75</v>
      </c>
      <c r="Z57" s="112">
        <v>4.1900000000000004</v>
      </c>
      <c r="AA57" s="112">
        <v>3.76</v>
      </c>
      <c r="AB57" s="112">
        <v>2.86</v>
      </c>
      <c r="AC57" s="112">
        <v>2.83</v>
      </c>
      <c r="AD57" s="112">
        <v>2.4500000000000002</v>
      </c>
      <c r="AE57" s="112">
        <v>2.2000000000000002</v>
      </c>
    </row>
    <row r="58" spans="1:31" x14ac:dyDescent="0.25">
      <c r="A58" s="111" t="s">
        <v>129</v>
      </c>
      <c r="B58" s="111" t="s">
        <v>130</v>
      </c>
      <c r="C58" s="111" t="s">
        <v>298</v>
      </c>
      <c r="D58" s="123" t="s">
        <v>282</v>
      </c>
      <c r="E58" s="111" t="s">
        <v>295</v>
      </c>
      <c r="F58" s="112">
        <v>49300</v>
      </c>
      <c r="G58" s="119">
        <v>0.5</v>
      </c>
      <c r="H58" s="105">
        <f>BAZA_PC[[#This Row],[CENA KATALOGOWA]]*(1-BAZA_PC[[#This Row],[RABAT]])</f>
        <v>24650</v>
      </c>
      <c r="I58" s="111">
        <v>14</v>
      </c>
      <c r="J58" s="111">
        <v>6</v>
      </c>
      <c r="K58" s="112">
        <v>4.57</v>
      </c>
      <c r="L58" s="98">
        <v>3</v>
      </c>
      <c r="M58" s="113">
        <v>5</v>
      </c>
      <c r="N58" s="121">
        <v>11.25</v>
      </c>
      <c r="O58" s="112">
        <v>12.9</v>
      </c>
      <c r="P58" s="112">
        <v>14</v>
      </c>
      <c r="Q58" s="112">
        <v>14</v>
      </c>
      <c r="R58" s="112">
        <v>14</v>
      </c>
      <c r="S58" s="112">
        <v>14</v>
      </c>
      <c r="T58" s="112">
        <v>14</v>
      </c>
      <c r="U58" s="112">
        <v>14</v>
      </c>
      <c r="V58" s="122">
        <v>14</v>
      </c>
      <c r="W58" s="121">
        <v>5.49</v>
      </c>
      <c r="X58" s="112">
        <v>5.61</v>
      </c>
      <c r="Y58" s="112">
        <v>4.75</v>
      </c>
      <c r="Z58" s="112">
        <v>4.1900000000000004</v>
      </c>
      <c r="AA58" s="112">
        <v>3.76</v>
      </c>
      <c r="AB58" s="112">
        <v>2.86</v>
      </c>
      <c r="AC58" s="112">
        <v>2.83</v>
      </c>
      <c r="AD58" s="112">
        <v>2.4500000000000002</v>
      </c>
      <c r="AE58" s="112">
        <v>2.2000000000000002</v>
      </c>
    </row>
    <row r="59" spans="1:31" x14ac:dyDescent="0.25">
      <c r="A59" s="111" t="s">
        <v>129</v>
      </c>
      <c r="B59" s="111" t="s">
        <v>130</v>
      </c>
      <c r="C59" s="111" t="s">
        <v>299</v>
      </c>
      <c r="D59" s="123" t="s">
        <v>284</v>
      </c>
      <c r="E59" s="111" t="s">
        <v>295</v>
      </c>
      <c r="F59" s="112">
        <v>50400</v>
      </c>
      <c r="G59" s="119">
        <v>0.5</v>
      </c>
      <c r="H59" s="105">
        <f>BAZA_PC[[#This Row],[CENA KATALOGOWA]]*(1-BAZA_PC[[#This Row],[RABAT]])</f>
        <v>25200</v>
      </c>
      <c r="I59" s="111">
        <v>16</v>
      </c>
      <c r="J59" s="111">
        <v>6</v>
      </c>
      <c r="K59" s="112">
        <v>4.55</v>
      </c>
      <c r="L59" s="98">
        <v>1</v>
      </c>
      <c r="M59" s="113">
        <v>5</v>
      </c>
      <c r="N59" s="121">
        <v>12.54</v>
      </c>
      <c r="O59" s="112">
        <v>14.39</v>
      </c>
      <c r="P59" s="112">
        <v>16</v>
      </c>
      <c r="Q59" s="112">
        <v>16</v>
      </c>
      <c r="R59" s="112">
        <v>16</v>
      </c>
      <c r="S59" s="112">
        <v>16</v>
      </c>
      <c r="T59" s="112">
        <v>16</v>
      </c>
      <c r="U59" s="112">
        <v>16</v>
      </c>
      <c r="V59" s="122">
        <v>16</v>
      </c>
      <c r="W59" s="121">
        <v>5.75</v>
      </c>
      <c r="X59" s="112">
        <v>6.37</v>
      </c>
      <c r="Y59" s="112">
        <v>5.71</v>
      </c>
      <c r="Z59" s="112">
        <v>5.0199999999999996</v>
      </c>
      <c r="AA59" s="112">
        <v>4.6900000000000004</v>
      </c>
      <c r="AB59" s="112">
        <v>3.33</v>
      </c>
      <c r="AC59" s="112">
        <v>3.15</v>
      </c>
      <c r="AD59" s="112">
        <v>2.68</v>
      </c>
      <c r="AE59" s="112">
        <v>2.33</v>
      </c>
    </row>
    <row r="60" spans="1:31" x14ac:dyDescent="0.25">
      <c r="A60" s="111" t="s">
        <v>129</v>
      </c>
      <c r="B60" s="111" t="s">
        <v>130</v>
      </c>
      <c r="C60" s="111" t="s">
        <v>300</v>
      </c>
      <c r="D60" s="120" t="s">
        <v>286</v>
      </c>
      <c r="E60" s="111" t="s">
        <v>295</v>
      </c>
      <c r="F60" s="112">
        <v>51800</v>
      </c>
      <c r="G60" s="119">
        <v>0.5</v>
      </c>
      <c r="H60" s="105">
        <f>BAZA_PC[[#This Row],[CENA KATALOGOWA]]*(1-BAZA_PC[[#This Row],[RABAT]])</f>
        <v>25900</v>
      </c>
      <c r="I60" s="111">
        <v>16</v>
      </c>
      <c r="J60" s="111">
        <v>6</v>
      </c>
      <c r="K60" s="112">
        <v>4.55</v>
      </c>
      <c r="L60" s="98">
        <v>3</v>
      </c>
      <c r="M60" s="113">
        <v>5</v>
      </c>
      <c r="N60" s="121">
        <v>12.54</v>
      </c>
      <c r="O60" s="112">
        <v>14.39</v>
      </c>
      <c r="P60" s="112">
        <v>16</v>
      </c>
      <c r="Q60" s="112">
        <v>16</v>
      </c>
      <c r="R60" s="112">
        <v>16</v>
      </c>
      <c r="S60" s="112">
        <v>16</v>
      </c>
      <c r="T60" s="112">
        <v>16</v>
      </c>
      <c r="U60" s="112">
        <v>16</v>
      </c>
      <c r="V60" s="122">
        <v>16</v>
      </c>
      <c r="W60" s="121">
        <v>5.75</v>
      </c>
      <c r="X60" s="112">
        <v>6.37</v>
      </c>
      <c r="Y60" s="112">
        <v>5.71</v>
      </c>
      <c r="Z60" s="112">
        <v>5.0199999999999996</v>
      </c>
      <c r="AA60" s="112">
        <v>4.6900000000000004</v>
      </c>
      <c r="AB60" s="112">
        <v>3.33</v>
      </c>
      <c r="AC60" s="112">
        <v>3.15</v>
      </c>
      <c r="AD60" s="112">
        <v>2.68</v>
      </c>
      <c r="AE60" s="112">
        <v>2.33</v>
      </c>
    </row>
    <row r="61" spans="1:31" x14ac:dyDescent="0.25">
      <c r="A61" s="111" t="s">
        <v>129</v>
      </c>
      <c r="B61" s="111" t="s">
        <v>131</v>
      </c>
      <c r="C61" s="111" t="s">
        <v>301</v>
      </c>
      <c r="D61" s="111" t="s">
        <v>302</v>
      </c>
      <c r="E61" s="111" t="s">
        <v>243</v>
      </c>
      <c r="F61" s="112">
        <v>23800</v>
      </c>
      <c r="G61" s="119">
        <v>0.5</v>
      </c>
      <c r="H61" s="105">
        <f>BAZA_PC[[#This Row],[CENA KATALOGOWA]]*(1-BAZA_PC[[#This Row],[RABAT]])</f>
        <v>11900</v>
      </c>
      <c r="I61" s="111">
        <v>5</v>
      </c>
      <c r="J61" s="111">
        <v>3</v>
      </c>
      <c r="K61" s="112">
        <v>4.46</v>
      </c>
      <c r="L61" s="98">
        <v>1</v>
      </c>
      <c r="M61" s="113">
        <v>5</v>
      </c>
      <c r="N61" s="121">
        <v>5.5</v>
      </c>
      <c r="O61" s="112">
        <v>5.5</v>
      </c>
      <c r="P61" s="112">
        <v>5.5</v>
      </c>
      <c r="Q61" s="112">
        <v>5.5</v>
      </c>
      <c r="R61" s="112">
        <v>5.5</v>
      </c>
      <c r="S61" s="112">
        <v>5.5</v>
      </c>
      <c r="T61" s="112">
        <v>5.5</v>
      </c>
      <c r="U61" s="112">
        <v>5.5</v>
      </c>
      <c r="V61" s="122">
        <v>5.5</v>
      </c>
      <c r="W61" s="121">
        <v>2.31</v>
      </c>
      <c r="X61" s="112">
        <v>2.2000000000000002</v>
      </c>
      <c r="Y61" s="112">
        <v>1.72</v>
      </c>
      <c r="Z61" s="112">
        <v>1.45</v>
      </c>
      <c r="AA61" s="112">
        <v>1.31</v>
      </c>
      <c r="AB61" s="112">
        <v>1.71</v>
      </c>
      <c r="AC61" s="112">
        <v>1.02</v>
      </c>
      <c r="AD61" s="112">
        <v>0.93</v>
      </c>
      <c r="AE61" s="112">
        <v>0.86</v>
      </c>
    </row>
    <row r="62" spans="1:31" x14ac:dyDescent="0.25">
      <c r="A62" s="111" t="s">
        <v>129</v>
      </c>
      <c r="B62" s="111" t="s">
        <v>131</v>
      </c>
      <c r="C62" s="111" t="s">
        <v>303</v>
      </c>
      <c r="D62" s="111" t="s">
        <v>304</v>
      </c>
      <c r="E62" s="111" t="s">
        <v>243</v>
      </c>
      <c r="F62" s="112">
        <v>24900</v>
      </c>
      <c r="G62" s="119">
        <v>0.5</v>
      </c>
      <c r="H62" s="105">
        <f>BAZA_PC[[#This Row],[CENA KATALOGOWA]]*(1-BAZA_PC[[#This Row],[RABAT]])</f>
        <v>12450</v>
      </c>
      <c r="I62" s="111">
        <v>7</v>
      </c>
      <c r="J62" s="111">
        <v>3</v>
      </c>
      <c r="K62" s="112">
        <v>4.4800000000000004</v>
      </c>
      <c r="L62" s="98">
        <v>1</v>
      </c>
      <c r="M62" s="109">
        <v>5</v>
      </c>
      <c r="N62" s="121">
        <v>6.43</v>
      </c>
      <c r="O62" s="112">
        <v>7</v>
      </c>
      <c r="P62" s="112">
        <v>7</v>
      </c>
      <c r="Q62" s="112">
        <v>7</v>
      </c>
      <c r="R62" s="112">
        <v>7</v>
      </c>
      <c r="S62" s="112">
        <v>7</v>
      </c>
      <c r="T62" s="112">
        <v>7</v>
      </c>
      <c r="U62" s="112">
        <v>7</v>
      </c>
      <c r="V62" s="122">
        <v>7</v>
      </c>
      <c r="W62" s="121">
        <v>2.75</v>
      </c>
      <c r="X62" s="121">
        <v>2.86</v>
      </c>
      <c r="Y62" s="121">
        <v>2.2200000000000002</v>
      </c>
      <c r="Z62" s="121">
        <v>1.85</v>
      </c>
      <c r="AA62" s="121">
        <v>1.67</v>
      </c>
      <c r="AB62" s="121">
        <v>1.49</v>
      </c>
      <c r="AC62" s="121">
        <v>1.3</v>
      </c>
      <c r="AD62" s="121">
        <v>1.19</v>
      </c>
      <c r="AE62" s="121">
        <v>1.1000000000000001</v>
      </c>
    </row>
    <row r="63" spans="1:31" x14ac:dyDescent="0.25">
      <c r="A63" s="111" t="s">
        <v>129</v>
      </c>
      <c r="B63" s="111" t="s">
        <v>131</v>
      </c>
      <c r="C63" s="111" t="s">
        <v>305</v>
      </c>
      <c r="D63" s="111" t="s">
        <v>306</v>
      </c>
      <c r="E63" s="111" t="s">
        <v>243</v>
      </c>
      <c r="F63" s="112">
        <v>27700</v>
      </c>
      <c r="G63" s="119">
        <v>0.5</v>
      </c>
      <c r="H63" s="105">
        <f>BAZA_PC[[#This Row],[CENA KATALOGOWA]]*(1-BAZA_PC[[#This Row],[RABAT]])</f>
        <v>13850</v>
      </c>
      <c r="I63" s="111">
        <v>9</v>
      </c>
      <c r="J63" s="111">
        <v>3</v>
      </c>
      <c r="K63" s="112">
        <v>4.55</v>
      </c>
      <c r="L63" s="98">
        <v>1</v>
      </c>
      <c r="M63" s="113">
        <v>5</v>
      </c>
      <c r="N63" s="121">
        <v>7.6</v>
      </c>
      <c r="O63" s="112">
        <v>9</v>
      </c>
      <c r="P63" s="112">
        <v>9</v>
      </c>
      <c r="Q63" s="112">
        <v>9</v>
      </c>
      <c r="R63" s="112">
        <v>9</v>
      </c>
      <c r="S63" s="112">
        <v>9</v>
      </c>
      <c r="T63" s="112">
        <v>9</v>
      </c>
      <c r="U63" s="112">
        <v>9</v>
      </c>
      <c r="V63" s="122">
        <v>9</v>
      </c>
      <c r="W63" s="121">
        <v>3.29</v>
      </c>
      <c r="X63" s="121">
        <v>3.75</v>
      </c>
      <c r="Y63" s="121">
        <v>2.9</v>
      </c>
      <c r="Z63" s="121">
        <v>2.4300000000000002</v>
      </c>
      <c r="AA63" s="121">
        <v>2.2000000000000002</v>
      </c>
      <c r="AB63" s="121">
        <v>1.96</v>
      </c>
      <c r="AC63" s="121">
        <v>1.71</v>
      </c>
      <c r="AD63" s="121">
        <v>1.56</v>
      </c>
      <c r="AE63" s="121">
        <v>1.44</v>
      </c>
    </row>
    <row r="64" spans="1:31" x14ac:dyDescent="0.25">
      <c r="A64" s="111" t="s">
        <v>129</v>
      </c>
      <c r="B64" s="111" t="s">
        <v>131</v>
      </c>
      <c r="C64" s="111" t="s">
        <v>307</v>
      </c>
      <c r="D64" s="111" t="s">
        <v>308</v>
      </c>
      <c r="E64" s="111" t="s">
        <v>243</v>
      </c>
      <c r="F64" s="112">
        <v>29700</v>
      </c>
      <c r="G64" s="119">
        <v>0.5</v>
      </c>
      <c r="H64" s="105">
        <f>BAZA_PC[[#This Row],[CENA KATALOGOWA]]*(1-BAZA_PC[[#This Row],[RABAT]])</f>
        <v>14850</v>
      </c>
      <c r="I64" s="111">
        <v>9</v>
      </c>
      <c r="J64" s="111">
        <v>3</v>
      </c>
      <c r="K64" s="112">
        <v>4.55</v>
      </c>
      <c r="L64" s="98">
        <v>3</v>
      </c>
      <c r="M64" s="113">
        <v>5</v>
      </c>
      <c r="N64" s="121">
        <v>7.6</v>
      </c>
      <c r="O64" s="112">
        <v>9</v>
      </c>
      <c r="P64" s="112">
        <v>9</v>
      </c>
      <c r="Q64" s="112">
        <v>9</v>
      </c>
      <c r="R64" s="112">
        <v>9</v>
      </c>
      <c r="S64" s="112">
        <v>9</v>
      </c>
      <c r="T64" s="112">
        <v>9</v>
      </c>
      <c r="U64" s="112">
        <v>9</v>
      </c>
      <c r="V64" s="122">
        <v>9</v>
      </c>
      <c r="W64" s="121">
        <v>3.29</v>
      </c>
      <c r="X64" s="121">
        <v>3.75</v>
      </c>
      <c r="Y64" s="121">
        <v>2.9</v>
      </c>
      <c r="Z64" s="121">
        <v>2.4300000000000002</v>
      </c>
      <c r="AA64" s="121">
        <v>2.2000000000000002</v>
      </c>
      <c r="AB64" s="121">
        <v>1.96</v>
      </c>
      <c r="AC64" s="121">
        <v>1.71</v>
      </c>
      <c r="AD64" s="121">
        <v>1.56</v>
      </c>
      <c r="AE64" s="121">
        <v>1.44</v>
      </c>
    </row>
    <row r="65" spans="1:31" x14ac:dyDescent="0.25">
      <c r="A65" s="111" t="s">
        <v>129</v>
      </c>
      <c r="B65" s="111" t="s">
        <v>131</v>
      </c>
      <c r="C65" s="111" t="s">
        <v>309</v>
      </c>
      <c r="D65" s="111" t="s">
        <v>310</v>
      </c>
      <c r="E65" s="111" t="s">
        <v>243</v>
      </c>
      <c r="F65" s="112">
        <v>31000</v>
      </c>
      <c r="G65" s="119">
        <v>0.5</v>
      </c>
      <c r="H65" s="105">
        <f>BAZA_PC[[#This Row],[CENA KATALOGOWA]]*(1-BAZA_PC[[#This Row],[RABAT]])</f>
        <v>15500</v>
      </c>
      <c r="I65" s="111">
        <v>12</v>
      </c>
      <c r="J65" s="111">
        <v>6</v>
      </c>
      <c r="K65" s="112">
        <v>4.67</v>
      </c>
      <c r="L65" s="98">
        <v>1</v>
      </c>
      <c r="M65" s="113">
        <v>5</v>
      </c>
      <c r="N65" s="121">
        <v>10.75</v>
      </c>
      <c r="O65" s="112">
        <v>12</v>
      </c>
      <c r="P65" s="112">
        <v>12</v>
      </c>
      <c r="Q65" s="112">
        <v>12</v>
      </c>
      <c r="R65" s="112">
        <v>12</v>
      </c>
      <c r="S65" s="112">
        <v>12</v>
      </c>
      <c r="T65" s="112">
        <v>12</v>
      </c>
      <c r="U65" s="112">
        <v>12</v>
      </c>
      <c r="V65" s="122">
        <v>12</v>
      </c>
      <c r="W65" s="121">
        <v>4.3499999999999996</v>
      </c>
      <c r="X65" s="112">
        <v>4.71</v>
      </c>
      <c r="Y65" s="112">
        <v>3.53</v>
      </c>
      <c r="Z65" s="112">
        <v>3.17</v>
      </c>
      <c r="AA65" s="112">
        <v>2.86</v>
      </c>
      <c r="AB65" s="112">
        <v>2.4500000000000002</v>
      </c>
      <c r="AC65" s="112">
        <v>2.1800000000000002</v>
      </c>
      <c r="AD65" s="112">
        <v>2</v>
      </c>
      <c r="AE65" s="112">
        <v>1.85</v>
      </c>
    </row>
    <row r="66" spans="1:31" x14ac:dyDescent="0.25">
      <c r="A66" s="111" t="s">
        <v>129</v>
      </c>
      <c r="B66" s="111" t="s">
        <v>131</v>
      </c>
      <c r="C66" s="111" t="s">
        <v>311</v>
      </c>
      <c r="D66" s="111" t="s">
        <v>312</v>
      </c>
      <c r="E66" s="111" t="s">
        <v>243</v>
      </c>
      <c r="F66" s="112">
        <v>33600</v>
      </c>
      <c r="G66" s="119">
        <v>0.5</v>
      </c>
      <c r="H66" s="105">
        <f>BAZA_PC[[#This Row],[CENA KATALOGOWA]]*(1-BAZA_PC[[#This Row],[RABAT]])</f>
        <v>16800</v>
      </c>
      <c r="I66" s="111">
        <v>12</v>
      </c>
      <c r="J66" s="111">
        <v>6</v>
      </c>
      <c r="K66" s="112">
        <v>4.67</v>
      </c>
      <c r="L66" s="98">
        <v>3</v>
      </c>
      <c r="M66" s="113">
        <v>5</v>
      </c>
      <c r="N66" s="121">
        <v>10.75</v>
      </c>
      <c r="O66" s="112">
        <v>12</v>
      </c>
      <c r="P66" s="112">
        <v>12</v>
      </c>
      <c r="Q66" s="112">
        <v>12</v>
      </c>
      <c r="R66" s="112">
        <v>12</v>
      </c>
      <c r="S66" s="112">
        <v>12</v>
      </c>
      <c r="T66" s="112">
        <v>12</v>
      </c>
      <c r="U66" s="112">
        <v>12</v>
      </c>
      <c r="V66" s="122">
        <v>12</v>
      </c>
      <c r="W66" s="121">
        <v>4.3499999999999996</v>
      </c>
      <c r="X66" s="112">
        <v>4.71</v>
      </c>
      <c r="Y66" s="112">
        <v>3.53</v>
      </c>
      <c r="Z66" s="112">
        <v>3.17</v>
      </c>
      <c r="AA66" s="112">
        <v>2.86</v>
      </c>
      <c r="AB66" s="112">
        <v>2.4500000000000002</v>
      </c>
      <c r="AC66" s="112">
        <v>2.1800000000000002</v>
      </c>
      <c r="AD66" s="112">
        <v>2</v>
      </c>
      <c r="AE66" s="112">
        <v>1.85</v>
      </c>
    </row>
    <row r="67" spans="1:31" x14ac:dyDescent="0.25">
      <c r="A67" s="111" t="s">
        <v>129</v>
      </c>
      <c r="B67" s="111" t="s">
        <v>131</v>
      </c>
      <c r="C67" s="111" t="s">
        <v>313</v>
      </c>
      <c r="D67" s="111" t="s">
        <v>314</v>
      </c>
      <c r="E67" s="111" t="s">
        <v>243</v>
      </c>
      <c r="F67" s="112">
        <v>33000</v>
      </c>
      <c r="G67" s="119">
        <v>0.5</v>
      </c>
      <c r="H67" s="105">
        <f>BAZA_PC[[#This Row],[CENA KATALOGOWA]]*(1-BAZA_PC[[#This Row],[RABAT]])</f>
        <v>16500</v>
      </c>
      <c r="I67" s="111">
        <v>14</v>
      </c>
      <c r="J67" s="111">
        <v>6</v>
      </c>
      <c r="K67" s="112">
        <v>4.62</v>
      </c>
      <c r="L67" s="98">
        <v>1</v>
      </c>
      <c r="M67" s="113">
        <v>5</v>
      </c>
      <c r="N67" s="121">
        <v>12</v>
      </c>
      <c r="O67" s="112">
        <v>14</v>
      </c>
      <c r="P67" s="112">
        <v>14</v>
      </c>
      <c r="Q67" s="112">
        <v>14</v>
      </c>
      <c r="R67" s="112">
        <v>14</v>
      </c>
      <c r="S67" s="112">
        <v>14</v>
      </c>
      <c r="T67" s="112">
        <v>14</v>
      </c>
      <c r="U67" s="112">
        <v>14</v>
      </c>
      <c r="V67" s="122">
        <v>14</v>
      </c>
      <c r="W67" s="121">
        <v>4.96</v>
      </c>
      <c r="X67" s="112">
        <v>5.6</v>
      </c>
      <c r="Y67" s="112">
        <v>4.1900000000000004</v>
      </c>
      <c r="Z67" s="112">
        <v>3.63</v>
      </c>
      <c r="AA67" s="112">
        <v>3.27</v>
      </c>
      <c r="AB67" s="112">
        <v>2.92</v>
      </c>
      <c r="AC67" s="112">
        <v>2.6</v>
      </c>
      <c r="AD67" s="112">
        <v>2.38</v>
      </c>
      <c r="AE67" s="112">
        <v>2.19</v>
      </c>
    </row>
    <row r="68" spans="1:31" x14ac:dyDescent="0.25">
      <c r="A68" s="111" t="s">
        <v>129</v>
      </c>
      <c r="B68" s="111" t="s">
        <v>131</v>
      </c>
      <c r="C68" s="111" t="s">
        <v>315</v>
      </c>
      <c r="D68" s="111" t="s">
        <v>316</v>
      </c>
      <c r="E68" s="111" t="s">
        <v>243</v>
      </c>
      <c r="F68" s="112">
        <v>36500</v>
      </c>
      <c r="G68" s="119">
        <v>0.5</v>
      </c>
      <c r="H68" s="105">
        <f>BAZA_PC[[#This Row],[CENA KATALOGOWA]]*(1-BAZA_PC[[#This Row],[RABAT]])</f>
        <v>18250</v>
      </c>
      <c r="I68" s="111">
        <v>14</v>
      </c>
      <c r="J68" s="111">
        <v>6</v>
      </c>
      <c r="K68" s="112">
        <v>4.62</v>
      </c>
      <c r="L68" s="98">
        <v>3</v>
      </c>
      <c r="M68" s="113">
        <v>5</v>
      </c>
      <c r="N68" s="121">
        <v>12</v>
      </c>
      <c r="O68" s="112">
        <v>14</v>
      </c>
      <c r="P68" s="112">
        <v>14</v>
      </c>
      <c r="Q68" s="112">
        <v>14</v>
      </c>
      <c r="R68" s="112">
        <v>14</v>
      </c>
      <c r="S68" s="112">
        <v>14</v>
      </c>
      <c r="T68" s="112">
        <v>14</v>
      </c>
      <c r="U68" s="112">
        <v>14</v>
      </c>
      <c r="V68" s="122">
        <v>14</v>
      </c>
      <c r="W68" s="121">
        <v>4.96</v>
      </c>
      <c r="X68" s="112">
        <v>5.6</v>
      </c>
      <c r="Y68" s="112">
        <v>4.1900000000000004</v>
      </c>
      <c r="Z68" s="112">
        <v>3.63</v>
      </c>
      <c r="AA68" s="112">
        <v>3.27</v>
      </c>
      <c r="AB68" s="112">
        <v>2.92</v>
      </c>
      <c r="AC68" s="112">
        <v>2.6</v>
      </c>
      <c r="AD68" s="112">
        <v>2.38</v>
      </c>
      <c r="AE68" s="112">
        <v>2.19</v>
      </c>
    </row>
    <row r="69" spans="1:31" x14ac:dyDescent="0.25">
      <c r="A69" s="111" t="s">
        <v>129</v>
      </c>
      <c r="B69" s="111" t="s">
        <v>131</v>
      </c>
      <c r="C69" s="111" t="s">
        <v>317</v>
      </c>
      <c r="D69" s="111" t="s">
        <v>318</v>
      </c>
      <c r="E69" s="111" t="s">
        <v>243</v>
      </c>
      <c r="F69" s="112">
        <v>36900</v>
      </c>
      <c r="G69" s="119">
        <v>0.5</v>
      </c>
      <c r="H69" s="105">
        <f>BAZA_PC[[#This Row],[CENA KATALOGOWA]]*(1-BAZA_PC[[#This Row],[RABAT]])</f>
        <v>18450</v>
      </c>
      <c r="I69" s="111">
        <v>16</v>
      </c>
      <c r="J69" s="111">
        <v>6</v>
      </c>
      <c r="K69" s="112">
        <v>4.53</v>
      </c>
      <c r="L69" s="98">
        <v>1</v>
      </c>
      <c r="M69" s="113">
        <v>5</v>
      </c>
      <c r="N69" s="121">
        <v>13.25</v>
      </c>
      <c r="O69" s="112">
        <v>14.4</v>
      </c>
      <c r="P69" s="112">
        <v>16</v>
      </c>
      <c r="Q69" s="112">
        <v>16</v>
      </c>
      <c r="R69" s="112">
        <v>16</v>
      </c>
      <c r="S69" s="112">
        <v>16</v>
      </c>
      <c r="T69" s="112">
        <v>16</v>
      </c>
      <c r="U69" s="112">
        <v>16</v>
      </c>
      <c r="V69" s="122">
        <v>16</v>
      </c>
      <c r="W69" s="121">
        <v>5.71</v>
      </c>
      <c r="X69" s="112">
        <v>5.88</v>
      </c>
      <c r="Y69" s="112">
        <v>4.8899999999999997</v>
      </c>
      <c r="Z69" s="112">
        <v>5.76</v>
      </c>
      <c r="AA69" s="112">
        <v>3.82</v>
      </c>
      <c r="AB69" s="112">
        <v>3.4</v>
      </c>
      <c r="AC69" s="112">
        <v>3.05</v>
      </c>
      <c r="AD69" s="112">
        <v>2.79</v>
      </c>
      <c r="AE69" s="112">
        <v>2.5299999999999998</v>
      </c>
    </row>
    <row r="70" spans="1:31" x14ac:dyDescent="0.25">
      <c r="A70" s="111" t="s">
        <v>129</v>
      </c>
      <c r="B70" s="111" t="s">
        <v>131</v>
      </c>
      <c r="C70" s="111" t="s">
        <v>319</v>
      </c>
      <c r="D70" s="111" t="s">
        <v>320</v>
      </c>
      <c r="E70" s="111" t="s">
        <v>243</v>
      </c>
      <c r="F70" s="112">
        <v>38600</v>
      </c>
      <c r="G70" s="119">
        <v>0.5</v>
      </c>
      <c r="H70" s="105">
        <f>BAZA_PC[[#This Row],[CENA KATALOGOWA]]*(1-BAZA_PC[[#This Row],[RABAT]])</f>
        <v>19300</v>
      </c>
      <c r="I70" s="111">
        <v>16</v>
      </c>
      <c r="J70" s="111">
        <v>6</v>
      </c>
      <c r="K70" s="112">
        <v>4.53</v>
      </c>
      <c r="L70" s="98">
        <v>3</v>
      </c>
      <c r="M70" s="113">
        <v>5</v>
      </c>
      <c r="N70" s="121">
        <v>13.25</v>
      </c>
      <c r="O70" s="112">
        <v>14.4</v>
      </c>
      <c r="P70" s="112">
        <v>16</v>
      </c>
      <c r="Q70" s="112">
        <v>16</v>
      </c>
      <c r="R70" s="112">
        <v>16</v>
      </c>
      <c r="S70" s="112">
        <v>16</v>
      </c>
      <c r="T70" s="112">
        <v>16</v>
      </c>
      <c r="U70" s="112">
        <v>16</v>
      </c>
      <c r="V70" s="122">
        <v>16</v>
      </c>
      <c r="W70" s="121">
        <v>5.71</v>
      </c>
      <c r="X70" s="112">
        <v>5.88</v>
      </c>
      <c r="Y70" s="112">
        <v>4.8899999999999997</v>
      </c>
      <c r="Z70" s="112">
        <v>5.76</v>
      </c>
      <c r="AA70" s="112">
        <v>3.82</v>
      </c>
      <c r="AB70" s="112">
        <v>3.4</v>
      </c>
      <c r="AC70" s="112">
        <v>3.05</v>
      </c>
      <c r="AD70" s="112">
        <v>2.79</v>
      </c>
      <c r="AE70" s="112">
        <v>2.5299999999999998</v>
      </c>
    </row>
    <row r="71" spans="1:31" x14ac:dyDescent="0.25">
      <c r="A71" s="111" t="s">
        <v>121</v>
      </c>
      <c r="B71" s="111" t="s">
        <v>127</v>
      </c>
      <c r="C71" s="111" t="s">
        <v>132</v>
      </c>
      <c r="D71" s="111" t="s">
        <v>321</v>
      </c>
      <c r="E71" s="111" t="s">
        <v>322</v>
      </c>
      <c r="F71" s="112">
        <f>15340+9550</f>
        <v>24890</v>
      </c>
      <c r="G71" s="124">
        <f>1-BAZA_PC[[#This Row],[CENA ZAKUPU]]/BAZA_PC[[#This Row],[CENA KATALOGOWA]]</f>
        <v>0.30000000000000004</v>
      </c>
      <c r="H71" s="112">
        <v>17423</v>
      </c>
      <c r="I71" s="111">
        <v>4</v>
      </c>
      <c r="J71" s="111">
        <v>6</v>
      </c>
      <c r="K71" s="112">
        <v>4.4800000000000004</v>
      </c>
      <c r="L71" s="98">
        <v>1</v>
      </c>
      <c r="M71" s="113">
        <v>5</v>
      </c>
      <c r="N71" s="121">
        <v>4.29</v>
      </c>
      <c r="O71" s="112">
        <v>4.71</v>
      </c>
      <c r="P71" s="112">
        <v>5.38</v>
      </c>
      <c r="Q71" s="112">
        <v>5.43</v>
      </c>
      <c r="R71" s="112">
        <v>5.46</v>
      </c>
      <c r="S71" s="112">
        <v>6.41</v>
      </c>
      <c r="T71" s="112">
        <v>6.07</v>
      </c>
      <c r="U71" s="112">
        <v>5.72</v>
      </c>
      <c r="V71" s="122">
        <v>5.15</v>
      </c>
      <c r="W71" s="121">
        <v>2.4500000000000002</v>
      </c>
      <c r="X71" s="112">
        <v>2.2400000000000002</v>
      </c>
      <c r="Y71" s="112">
        <v>1.91</v>
      </c>
      <c r="Z71" s="112">
        <v>1.68</v>
      </c>
      <c r="AA71" s="112">
        <v>1.49</v>
      </c>
      <c r="AB71" s="112">
        <v>1.3</v>
      </c>
      <c r="AC71" s="112">
        <v>1.01</v>
      </c>
      <c r="AD71" s="112">
        <v>0.86</v>
      </c>
      <c r="AE71" s="112">
        <v>0.63</v>
      </c>
    </row>
    <row r="72" spans="1:31" x14ac:dyDescent="0.25">
      <c r="A72" s="111" t="s">
        <v>121</v>
      </c>
      <c r="B72" s="111" t="s">
        <v>127</v>
      </c>
      <c r="C72" s="111" t="s">
        <v>323</v>
      </c>
      <c r="D72" s="111" t="s">
        <v>324</v>
      </c>
      <c r="E72" s="111" t="s">
        <v>325</v>
      </c>
      <c r="F72" s="112">
        <f>17250+11690</f>
        <v>28940</v>
      </c>
      <c r="G72" s="124">
        <f>1-BAZA_PC[[#This Row],[CENA ZAKUPU]]/BAZA_PC[[#This Row],[CENA KATALOGOWA]]</f>
        <v>0.30000000000000004</v>
      </c>
      <c r="H72" s="112">
        <v>20258</v>
      </c>
      <c r="I72" s="111">
        <v>6</v>
      </c>
      <c r="J72" s="111">
        <v>6</v>
      </c>
      <c r="K72" s="112">
        <v>4.47</v>
      </c>
      <c r="L72" s="98">
        <v>1</v>
      </c>
      <c r="M72" s="113">
        <v>5</v>
      </c>
      <c r="N72" s="121">
        <v>5.13</v>
      </c>
      <c r="O72" s="112">
        <v>5.56</v>
      </c>
      <c r="P72" s="112">
        <v>6.25</v>
      </c>
      <c r="Q72" s="112">
        <v>6.2</v>
      </c>
      <c r="R72" s="112">
        <v>6.17</v>
      </c>
      <c r="S72" s="112">
        <v>7.74</v>
      </c>
      <c r="T72" s="112">
        <v>7.52</v>
      </c>
      <c r="U72" s="112">
        <v>7.25</v>
      </c>
      <c r="V72" s="122">
        <v>6.79</v>
      </c>
      <c r="W72" s="121">
        <v>2.82</v>
      </c>
      <c r="X72" s="112">
        <v>2.6</v>
      </c>
      <c r="Y72" s="112">
        <v>2.25</v>
      </c>
      <c r="Z72" s="112">
        <v>1.97</v>
      </c>
      <c r="AA72" s="112">
        <v>1.74</v>
      </c>
      <c r="AB72" s="112">
        <v>1.63</v>
      </c>
      <c r="AC72" s="112">
        <v>1.27</v>
      </c>
      <c r="AD72" s="112">
        <v>1.1299999999999999</v>
      </c>
      <c r="AE72" s="112">
        <v>0.89</v>
      </c>
    </row>
    <row r="73" spans="1:31" x14ac:dyDescent="0.25">
      <c r="A73" s="111" t="s">
        <v>121</v>
      </c>
      <c r="B73" s="111" t="s">
        <v>127</v>
      </c>
      <c r="C73" s="111" t="s">
        <v>326</v>
      </c>
      <c r="D73" s="111" t="s">
        <v>327</v>
      </c>
      <c r="E73" s="111" t="s">
        <v>325</v>
      </c>
      <c r="F73" s="112">
        <f>17250+14330</f>
        <v>31580</v>
      </c>
      <c r="G73" s="124">
        <f>1-BAZA_PC[[#This Row],[CENA ZAKUPU]]/BAZA_PC[[#This Row],[CENA KATALOGOWA]]</f>
        <v>0.30000000000000004</v>
      </c>
      <c r="H73" s="112">
        <v>22106</v>
      </c>
      <c r="I73" s="111">
        <v>8</v>
      </c>
      <c r="J73" s="111">
        <v>6</v>
      </c>
      <c r="K73" s="112">
        <v>4.5599999999999996</v>
      </c>
      <c r="L73" s="98">
        <v>1</v>
      </c>
      <c r="M73" s="113">
        <v>5</v>
      </c>
      <c r="N73" s="121">
        <v>6.14</v>
      </c>
      <c r="O73" s="112">
        <v>6.58</v>
      </c>
      <c r="P73" s="112">
        <v>7.28</v>
      </c>
      <c r="Q73" s="112">
        <v>7.24</v>
      </c>
      <c r="R73" s="112">
        <v>7.22</v>
      </c>
      <c r="S73" s="112">
        <v>9.3699999999999992</v>
      </c>
      <c r="T73" s="112">
        <v>9.2100000000000009</v>
      </c>
      <c r="U73" s="112">
        <v>8.82</v>
      </c>
      <c r="V73" s="122">
        <v>8.16</v>
      </c>
      <c r="W73" s="121">
        <v>3.43</v>
      </c>
      <c r="X73" s="112">
        <v>3.16</v>
      </c>
      <c r="Y73" s="112">
        <v>2.73</v>
      </c>
      <c r="Z73" s="112">
        <v>2.41</v>
      </c>
      <c r="AA73" s="112">
        <v>2.16</v>
      </c>
      <c r="AB73" s="112">
        <v>2.08</v>
      </c>
      <c r="AC73" s="112">
        <v>1.71</v>
      </c>
      <c r="AD73" s="112">
        <v>1.5</v>
      </c>
      <c r="AE73" s="112">
        <v>1.1399999999999999</v>
      </c>
    </row>
    <row r="74" spans="1:31" x14ac:dyDescent="0.25">
      <c r="A74" s="111" t="s">
        <v>121</v>
      </c>
      <c r="B74" s="111" t="s">
        <v>127</v>
      </c>
      <c r="C74" s="111" t="s">
        <v>328</v>
      </c>
      <c r="D74" s="111" t="s">
        <v>329</v>
      </c>
      <c r="E74" s="111" t="s">
        <v>330</v>
      </c>
      <c r="F74" s="112">
        <f>16160+20080</f>
        <v>36240</v>
      </c>
      <c r="G74" s="124">
        <f>1-BAZA_PC[[#This Row],[CENA ZAKUPU]]/BAZA_PC[[#This Row],[CENA KATALOGOWA]]</f>
        <v>0.30000000000000004</v>
      </c>
      <c r="H74" s="112">
        <v>25368</v>
      </c>
      <c r="I74" s="111">
        <v>11</v>
      </c>
      <c r="J74" s="111">
        <v>6</v>
      </c>
      <c r="K74" s="112">
        <v>4.63</v>
      </c>
      <c r="L74" s="98">
        <v>1</v>
      </c>
      <c r="M74" s="113">
        <v>5</v>
      </c>
      <c r="N74" s="121">
        <v>6.82</v>
      </c>
      <c r="O74" s="112">
        <v>7.67</v>
      </c>
      <c r="P74" s="112">
        <v>9.02</v>
      </c>
      <c r="Q74" s="112">
        <v>9.43</v>
      </c>
      <c r="R74" s="112">
        <v>9.76</v>
      </c>
      <c r="S74" s="112">
        <v>12.44</v>
      </c>
      <c r="T74" s="112">
        <v>10.16</v>
      </c>
      <c r="U74" s="112">
        <v>10.27</v>
      </c>
      <c r="V74" s="122">
        <v>10.45</v>
      </c>
      <c r="W74" s="121">
        <v>3.05</v>
      </c>
      <c r="X74" s="112">
        <v>3.04</v>
      </c>
      <c r="Y74" s="112">
        <v>3.02</v>
      </c>
      <c r="Z74" s="112">
        <v>2.83</v>
      </c>
      <c r="AA74" s="112">
        <v>2.68</v>
      </c>
      <c r="AB74" s="112">
        <v>2.57</v>
      </c>
      <c r="AC74" s="112">
        <v>1.74</v>
      </c>
      <c r="AD74" s="112">
        <v>1.56</v>
      </c>
      <c r="AE74" s="112">
        <v>1.27</v>
      </c>
    </row>
    <row r="75" spans="1:31" x14ac:dyDescent="0.25">
      <c r="A75" s="111" t="s">
        <v>121</v>
      </c>
      <c r="B75" s="111" t="s">
        <v>127</v>
      </c>
      <c r="C75" s="111" t="s">
        <v>331</v>
      </c>
      <c r="D75" s="111" t="s">
        <v>332</v>
      </c>
      <c r="E75" s="111" t="s">
        <v>333</v>
      </c>
      <c r="F75" s="112">
        <f>17280+20360</f>
        <v>37640</v>
      </c>
      <c r="G75" s="124">
        <f>1-BAZA_PC[[#This Row],[CENA ZAKUPU]]/BAZA_PC[[#This Row],[CENA KATALOGOWA]]</f>
        <v>0.30000000000000004</v>
      </c>
      <c r="H75" s="112">
        <v>26348</v>
      </c>
      <c r="I75" s="111">
        <v>11</v>
      </c>
      <c r="J75" s="111">
        <v>9</v>
      </c>
      <c r="K75" s="112">
        <v>4.63</v>
      </c>
      <c r="L75" s="98">
        <v>3</v>
      </c>
      <c r="M75" s="109">
        <v>5</v>
      </c>
      <c r="N75" s="121">
        <v>6.82</v>
      </c>
      <c r="O75" s="112">
        <v>7.67</v>
      </c>
      <c r="P75" s="112">
        <v>9.02</v>
      </c>
      <c r="Q75" s="112">
        <v>9.43</v>
      </c>
      <c r="R75" s="112">
        <v>9.76</v>
      </c>
      <c r="S75" s="112">
        <v>12.44</v>
      </c>
      <c r="T75" s="112">
        <v>10.16</v>
      </c>
      <c r="U75" s="112">
        <v>10.27</v>
      </c>
      <c r="V75" s="122">
        <v>10.45</v>
      </c>
      <c r="W75" s="121">
        <v>3.05</v>
      </c>
      <c r="X75" s="112">
        <v>3.04</v>
      </c>
      <c r="Y75" s="112">
        <v>3.02</v>
      </c>
      <c r="Z75" s="112">
        <v>2.83</v>
      </c>
      <c r="AA75" s="112">
        <v>2.68</v>
      </c>
      <c r="AB75" s="112">
        <v>2.57</v>
      </c>
      <c r="AC75" s="112">
        <v>1.74</v>
      </c>
      <c r="AD75" s="112">
        <v>1.56</v>
      </c>
      <c r="AE75" s="112">
        <v>1.27</v>
      </c>
    </row>
    <row r="76" spans="1:31" x14ac:dyDescent="0.25">
      <c r="A76" s="111" t="s">
        <v>121</v>
      </c>
      <c r="B76" s="111" t="s">
        <v>127</v>
      </c>
      <c r="C76" s="111" t="s">
        <v>334</v>
      </c>
      <c r="D76" s="111" t="s">
        <v>335</v>
      </c>
      <c r="E76" s="111" t="s">
        <v>336</v>
      </c>
      <c r="F76" s="112">
        <f>18330+22250</f>
        <v>40580</v>
      </c>
      <c r="G76" s="124">
        <f>1-BAZA_PC[[#This Row],[CENA ZAKUPU]]/BAZA_PC[[#This Row],[CENA KATALOGOWA]]</f>
        <v>0.30000000000000004</v>
      </c>
      <c r="H76" s="112">
        <v>28406</v>
      </c>
      <c r="I76" s="111">
        <v>14</v>
      </c>
      <c r="J76" s="111">
        <v>6</v>
      </c>
      <c r="K76" s="112">
        <v>4.5999999999999996</v>
      </c>
      <c r="L76" s="98">
        <v>1</v>
      </c>
      <c r="M76" s="113">
        <v>5</v>
      </c>
      <c r="N76" s="121">
        <v>7.25</v>
      </c>
      <c r="O76" s="112">
        <v>8.0399999999999991</v>
      </c>
      <c r="P76" s="112">
        <v>9.2899999999999991</v>
      </c>
      <c r="Q76" s="112">
        <v>10.210000000000001</v>
      </c>
      <c r="R76" s="112">
        <v>10.95</v>
      </c>
      <c r="S76" s="112">
        <v>13.38</v>
      </c>
      <c r="T76" s="112">
        <v>11.39</v>
      </c>
      <c r="U76" s="112">
        <v>12.18</v>
      </c>
      <c r="V76" s="122">
        <v>13.5</v>
      </c>
      <c r="W76" s="121">
        <v>3.25</v>
      </c>
      <c r="X76" s="112">
        <v>3.23</v>
      </c>
      <c r="Y76" s="112">
        <v>3.19</v>
      </c>
      <c r="Z76" s="112">
        <v>3.15</v>
      </c>
      <c r="AA76" s="112">
        <v>3.12</v>
      </c>
      <c r="AB76" s="112">
        <v>2.83</v>
      </c>
      <c r="AC76" s="112">
        <v>2</v>
      </c>
      <c r="AD76" s="112">
        <v>1.94</v>
      </c>
      <c r="AE76" s="112">
        <v>1.85</v>
      </c>
    </row>
    <row r="77" spans="1:31" x14ac:dyDescent="0.25">
      <c r="A77" s="111" t="s">
        <v>121</v>
      </c>
      <c r="B77" s="111" t="s">
        <v>127</v>
      </c>
      <c r="C77" s="111" t="s">
        <v>337</v>
      </c>
      <c r="D77" s="111" t="s">
        <v>338</v>
      </c>
      <c r="E77" s="111" t="s">
        <v>339</v>
      </c>
      <c r="F77" s="112">
        <f>20190+25060</f>
        <v>45250</v>
      </c>
      <c r="G77" s="124">
        <f>1-BAZA_PC[[#This Row],[CENA ZAKUPU]]/BAZA_PC[[#This Row],[CENA KATALOGOWA]]</f>
        <v>0.30000000000000004</v>
      </c>
      <c r="H77" s="112">
        <v>31675</v>
      </c>
      <c r="I77" s="111">
        <v>14</v>
      </c>
      <c r="J77" s="111">
        <v>9</v>
      </c>
      <c r="K77" s="112">
        <v>4.5999999999999996</v>
      </c>
      <c r="L77" s="98">
        <v>3</v>
      </c>
      <c r="M77" s="113">
        <v>5</v>
      </c>
      <c r="N77" s="121">
        <v>7.25</v>
      </c>
      <c r="O77" s="112">
        <v>8.0399999999999991</v>
      </c>
      <c r="P77" s="112">
        <v>9.2899999999999991</v>
      </c>
      <c r="Q77" s="112">
        <v>10.210000000000001</v>
      </c>
      <c r="R77" s="112">
        <v>10.95</v>
      </c>
      <c r="S77" s="112">
        <v>13.38</v>
      </c>
      <c r="T77" s="112">
        <v>11.39</v>
      </c>
      <c r="U77" s="112">
        <v>12.18</v>
      </c>
      <c r="V77" s="122">
        <v>13.5</v>
      </c>
      <c r="W77" s="121">
        <v>3.25</v>
      </c>
      <c r="X77" s="112">
        <v>3.23</v>
      </c>
      <c r="Y77" s="112">
        <v>3.19</v>
      </c>
      <c r="Z77" s="112">
        <v>3.15</v>
      </c>
      <c r="AA77" s="112">
        <v>3.12</v>
      </c>
      <c r="AB77" s="112">
        <v>2.83</v>
      </c>
      <c r="AC77" s="112">
        <v>2</v>
      </c>
      <c r="AD77" s="112">
        <v>1.94</v>
      </c>
      <c r="AE77" s="112">
        <v>1.85</v>
      </c>
    </row>
    <row r="78" spans="1:31" x14ac:dyDescent="0.25">
      <c r="A78" s="111" t="s">
        <v>121</v>
      </c>
      <c r="B78" s="111" t="s">
        <v>127</v>
      </c>
      <c r="C78" s="111" t="s">
        <v>340</v>
      </c>
      <c r="D78" s="111" t="s">
        <v>341</v>
      </c>
      <c r="E78" s="111" t="s">
        <v>336</v>
      </c>
      <c r="F78" s="112">
        <f>18330+25100</f>
        <v>43430</v>
      </c>
      <c r="G78" s="124">
        <f>1-BAZA_PC[[#This Row],[CENA ZAKUPU]]/BAZA_PC[[#This Row],[CENA KATALOGOWA]]</f>
        <v>0.30000000000000004</v>
      </c>
      <c r="H78" s="112">
        <v>30401</v>
      </c>
      <c r="I78" s="111">
        <v>16</v>
      </c>
      <c r="J78" s="111">
        <v>6</v>
      </c>
      <c r="K78" s="112">
        <v>4.6100000000000003</v>
      </c>
      <c r="L78" s="98">
        <v>1</v>
      </c>
      <c r="M78" s="113">
        <v>5</v>
      </c>
      <c r="N78" s="121">
        <v>9.16</v>
      </c>
      <c r="O78" s="112">
        <v>9.81</v>
      </c>
      <c r="P78" s="112">
        <v>10.84</v>
      </c>
      <c r="Q78" s="112">
        <v>11.44</v>
      </c>
      <c r="R78" s="112">
        <v>11.92</v>
      </c>
      <c r="S78" s="112">
        <v>15.96</v>
      </c>
      <c r="T78" s="112">
        <v>14.47</v>
      </c>
      <c r="U78" s="112">
        <v>14.37</v>
      </c>
      <c r="V78" s="122">
        <v>14.19</v>
      </c>
      <c r="W78" s="121">
        <v>4.28</v>
      </c>
      <c r="X78" s="112">
        <v>4.1900000000000004</v>
      </c>
      <c r="Y78" s="112">
        <v>4.0599999999999996</v>
      </c>
      <c r="Z78" s="112">
        <v>3.81</v>
      </c>
      <c r="AA78" s="112">
        <v>3.61</v>
      </c>
      <c r="AB78" s="112">
        <v>3.45</v>
      </c>
      <c r="AC78" s="112">
        <v>2.5299999999999998</v>
      </c>
      <c r="AD78" s="112">
        <v>2.5099999999999998</v>
      </c>
      <c r="AE78" s="112">
        <v>2.46</v>
      </c>
    </row>
    <row r="79" spans="1:31" x14ac:dyDescent="0.25">
      <c r="A79" s="111" t="s">
        <v>121</v>
      </c>
      <c r="B79" s="111" t="s">
        <v>127</v>
      </c>
      <c r="C79" s="111" t="s">
        <v>342</v>
      </c>
      <c r="D79" s="111" t="s">
        <v>343</v>
      </c>
      <c r="E79" s="111" t="s">
        <v>339</v>
      </c>
      <c r="F79" s="112">
        <f>20190+28240</f>
        <v>48430</v>
      </c>
      <c r="G79" s="124">
        <f>1-BAZA_PC[[#This Row],[CENA ZAKUPU]]/BAZA_PC[[#This Row],[CENA KATALOGOWA]]</f>
        <v>0.30000000000000004</v>
      </c>
      <c r="H79" s="112">
        <v>33901</v>
      </c>
      <c r="I79" s="111">
        <v>16</v>
      </c>
      <c r="J79" s="111">
        <v>9</v>
      </c>
      <c r="K79" s="112">
        <v>4.6100000000000003</v>
      </c>
      <c r="L79" s="98">
        <v>3</v>
      </c>
      <c r="M79" s="113">
        <v>5</v>
      </c>
      <c r="N79" s="121">
        <v>9.16</v>
      </c>
      <c r="O79" s="112">
        <v>9.81</v>
      </c>
      <c r="P79" s="112">
        <v>10.84</v>
      </c>
      <c r="Q79" s="112">
        <v>11.44</v>
      </c>
      <c r="R79" s="112">
        <v>11.92</v>
      </c>
      <c r="S79" s="112">
        <v>15.96</v>
      </c>
      <c r="T79" s="112">
        <v>14.47</v>
      </c>
      <c r="U79" s="112">
        <v>14.37</v>
      </c>
      <c r="V79" s="122">
        <v>14.19</v>
      </c>
      <c r="W79" s="121">
        <v>4.28</v>
      </c>
      <c r="X79" s="112">
        <v>4.1900000000000004</v>
      </c>
      <c r="Y79" s="112">
        <v>4.0599999999999996</v>
      </c>
      <c r="Z79" s="112">
        <v>3.81</v>
      </c>
      <c r="AA79" s="112">
        <v>3.61</v>
      </c>
      <c r="AB79" s="112">
        <v>3.45</v>
      </c>
      <c r="AC79" s="112">
        <v>2.5299999999999998</v>
      </c>
      <c r="AD79" s="112">
        <v>2.5099999999999998</v>
      </c>
      <c r="AE79" s="112">
        <v>2.46</v>
      </c>
    </row>
    <row r="80" spans="1:31" x14ac:dyDescent="0.25">
      <c r="A80" s="111" t="s">
        <v>121</v>
      </c>
      <c r="B80" s="111" t="s">
        <v>130</v>
      </c>
      <c r="C80" s="111" t="s">
        <v>344</v>
      </c>
      <c r="D80" s="111" t="s">
        <v>321</v>
      </c>
      <c r="E80" s="111" t="s">
        <v>345</v>
      </c>
      <c r="F80" s="112">
        <f>22190+9550</f>
        <v>31740</v>
      </c>
      <c r="G80" s="124">
        <f>1-BAZA_PC[[#This Row],[CENA ZAKUPU]]/BAZA_PC[[#This Row],[CENA KATALOGOWA]]</f>
        <v>0.30000000000000004</v>
      </c>
      <c r="H80" s="112">
        <v>22218</v>
      </c>
      <c r="I80" s="111">
        <v>4</v>
      </c>
      <c r="J80" s="111">
        <v>6</v>
      </c>
      <c r="K80" s="112">
        <v>4.4800000000000004</v>
      </c>
      <c r="L80" s="98">
        <v>1</v>
      </c>
      <c r="M80" s="113">
        <v>5</v>
      </c>
      <c r="N80" s="121">
        <v>4.29</v>
      </c>
      <c r="O80" s="112">
        <v>4.71</v>
      </c>
      <c r="P80" s="112">
        <v>5.38</v>
      </c>
      <c r="Q80" s="112">
        <v>5.43</v>
      </c>
      <c r="R80" s="112">
        <v>5.46</v>
      </c>
      <c r="S80" s="112">
        <v>6.41</v>
      </c>
      <c r="T80" s="112">
        <v>6.07</v>
      </c>
      <c r="U80" s="112">
        <v>5.72</v>
      </c>
      <c r="V80" s="122">
        <v>5.15</v>
      </c>
      <c r="W80" s="121">
        <v>2.4500000000000002</v>
      </c>
      <c r="X80" s="112">
        <v>2.2400000000000002</v>
      </c>
      <c r="Y80" s="112">
        <v>1.91</v>
      </c>
      <c r="Z80" s="112">
        <v>1.68</v>
      </c>
      <c r="AA80" s="112">
        <v>1.49</v>
      </c>
      <c r="AB80" s="112">
        <v>1.3</v>
      </c>
      <c r="AC80" s="112">
        <v>1.01</v>
      </c>
      <c r="AD80" s="112">
        <v>0.86</v>
      </c>
      <c r="AE80" s="112">
        <v>0.63</v>
      </c>
    </row>
    <row r="81" spans="1:31" x14ac:dyDescent="0.25">
      <c r="A81" s="111" t="s">
        <v>121</v>
      </c>
      <c r="B81" s="111" t="s">
        <v>130</v>
      </c>
      <c r="C81" s="111" t="s">
        <v>346</v>
      </c>
      <c r="D81" s="111" t="s">
        <v>324</v>
      </c>
      <c r="E81" s="111" t="s">
        <v>347</v>
      </c>
      <c r="F81" s="112">
        <f>23540+11690</f>
        <v>35230</v>
      </c>
      <c r="G81" s="124">
        <f>1-BAZA_PC[[#This Row],[CENA ZAKUPU]]/BAZA_PC[[#This Row],[CENA KATALOGOWA]]</f>
        <v>0.30000000000000004</v>
      </c>
      <c r="H81" s="112">
        <v>24661</v>
      </c>
      <c r="I81" s="111">
        <v>6</v>
      </c>
      <c r="J81" s="111">
        <v>6</v>
      </c>
      <c r="K81" s="112">
        <v>4.47</v>
      </c>
      <c r="L81" s="98">
        <v>1</v>
      </c>
      <c r="M81" s="113">
        <v>5</v>
      </c>
      <c r="N81" s="121">
        <v>5.13</v>
      </c>
      <c r="O81" s="112">
        <v>5.56</v>
      </c>
      <c r="P81" s="112">
        <v>6.25</v>
      </c>
      <c r="Q81" s="112">
        <v>6.2</v>
      </c>
      <c r="R81" s="112">
        <v>6.17</v>
      </c>
      <c r="S81" s="112">
        <v>7.74</v>
      </c>
      <c r="T81" s="112">
        <v>7.52</v>
      </c>
      <c r="U81" s="112">
        <v>7.25</v>
      </c>
      <c r="V81" s="122">
        <v>6.79</v>
      </c>
      <c r="W81" s="121">
        <v>2.82</v>
      </c>
      <c r="X81" s="112">
        <v>2.6</v>
      </c>
      <c r="Y81" s="112">
        <v>2.25</v>
      </c>
      <c r="Z81" s="112">
        <v>1.97</v>
      </c>
      <c r="AA81" s="112">
        <v>1.74</v>
      </c>
      <c r="AB81" s="112">
        <v>1.63</v>
      </c>
      <c r="AC81" s="112">
        <v>1.27</v>
      </c>
      <c r="AD81" s="112">
        <v>1.1299999999999999</v>
      </c>
      <c r="AE81" s="112">
        <v>0.89</v>
      </c>
    </row>
    <row r="82" spans="1:31" x14ac:dyDescent="0.25">
      <c r="A82" s="111" t="s">
        <v>121</v>
      </c>
      <c r="B82" s="111" t="s">
        <v>130</v>
      </c>
      <c r="C82" s="111" t="s">
        <v>348</v>
      </c>
      <c r="D82" s="111" t="s">
        <v>327</v>
      </c>
      <c r="E82" s="111" t="s">
        <v>347</v>
      </c>
      <c r="F82" s="112">
        <f>23540+14330</f>
        <v>37870</v>
      </c>
      <c r="G82" s="124">
        <f>1-BAZA_PC[[#This Row],[CENA ZAKUPU]]/BAZA_PC[[#This Row],[CENA KATALOGOWA]]</f>
        <v>0.30000000000000004</v>
      </c>
      <c r="H82" s="112">
        <v>26509</v>
      </c>
      <c r="I82" s="111">
        <v>8</v>
      </c>
      <c r="J82" s="111">
        <v>6</v>
      </c>
      <c r="K82" s="112">
        <v>4.5599999999999996</v>
      </c>
      <c r="L82" s="98">
        <v>1</v>
      </c>
      <c r="M82" s="113">
        <v>5</v>
      </c>
      <c r="N82" s="121">
        <v>6.14</v>
      </c>
      <c r="O82" s="112">
        <v>6.58</v>
      </c>
      <c r="P82" s="112">
        <v>7.28</v>
      </c>
      <c r="Q82" s="112">
        <v>7.24</v>
      </c>
      <c r="R82" s="112">
        <v>7.22</v>
      </c>
      <c r="S82" s="112">
        <v>9.3699999999999992</v>
      </c>
      <c r="T82" s="112">
        <v>9.2100000000000009</v>
      </c>
      <c r="U82" s="112">
        <v>8.82</v>
      </c>
      <c r="V82" s="122">
        <v>8.16</v>
      </c>
      <c r="W82" s="121">
        <v>3.43</v>
      </c>
      <c r="X82" s="112">
        <v>3.16</v>
      </c>
      <c r="Y82" s="112">
        <v>2.73</v>
      </c>
      <c r="Z82" s="112">
        <v>2.41</v>
      </c>
      <c r="AA82" s="112">
        <v>2.16</v>
      </c>
      <c r="AB82" s="112">
        <v>2.08</v>
      </c>
      <c r="AC82" s="112">
        <v>1.71</v>
      </c>
      <c r="AD82" s="112">
        <v>1.5</v>
      </c>
      <c r="AE82" s="112">
        <v>1.1399999999999999</v>
      </c>
    </row>
    <row r="83" spans="1:31" x14ac:dyDescent="0.25">
      <c r="A83" s="111" t="s">
        <v>121</v>
      </c>
      <c r="B83" s="111" t="s">
        <v>130</v>
      </c>
      <c r="C83" s="111" t="s">
        <v>349</v>
      </c>
      <c r="D83" s="111" t="s">
        <v>329</v>
      </c>
      <c r="E83" s="111" t="s">
        <v>350</v>
      </c>
      <c r="F83" s="112">
        <f>24230+20080</f>
        <v>44310</v>
      </c>
      <c r="G83" s="124">
        <f>1-BAZA_PC[[#This Row],[CENA ZAKUPU]]/BAZA_PC[[#This Row],[CENA KATALOGOWA]]</f>
        <v>0.3257503949447077</v>
      </c>
      <c r="H83" s="112">
        <v>29876</v>
      </c>
      <c r="I83" s="111">
        <v>11</v>
      </c>
      <c r="J83" s="111">
        <v>6</v>
      </c>
      <c r="K83" s="112">
        <v>4.63</v>
      </c>
      <c r="L83" s="98">
        <v>1</v>
      </c>
      <c r="M83" s="113">
        <v>5</v>
      </c>
      <c r="N83" s="121">
        <v>6.82</v>
      </c>
      <c r="O83" s="112">
        <v>7.67</v>
      </c>
      <c r="P83" s="112">
        <v>9.02</v>
      </c>
      <c r="Q83" s="112">
        <v>9.43</v>
      </c>
      <c r="R83" s="112">
        <v>9.76</v>
      </c>
      <c r="S83" s="112">
        <v>12.44</v>
      </c>
      <c r="T83" s="112">
        <v>10.16</v>
      </c>
      <c r="U83" s="112">
        <v>10.27</v>
      </c>
      <c r="V83" s="122">
        <v>10.45</v>
      </c>
      <c r="W83" s="121">
        <v>3.05</v>
      </c>
      <c r="X83" s="112">
        <v>3.04</v>
      </c>
      <c r="Y83" s="112">
        <v>3.02</v>
      </c>
      <c r="Z83" s="112">
        <v>2.83</v>
      </c>
      <c r="AA83" s="112">
        <v>2.68</v>
      </c>
      <c r="AB83" s="112">
        <v>2.57</v>
      </c>
      <c r="AC83" s="112">
        <v>1.74</v>
      </c>
      <c r="AD83" s="112">
        <v>1.56</v>
      </c>
      <c r="AE83" s="112">
        <v>1.27</v>
      </c>
    </row>
    <row r="84" spans="1:31" x14ac:dyDescent="0.25">
      <c r="A84" s="111" t="s">
        <v>121</v>
      </c>
      <c r="B84" s="111" t="s">
        <v>130</v>
      </c>
      <c r="C84" s="111" t="s">
        <v>351</v>
      </c>
      <c r="D84" s="111" t="s">
        <v>332</v>
      </c>
      <c r="E84" s="111" t="s">
        <v>350</v>
      </c>
      <c r="F84" s="112">
        <f>24230+20360</f>
        <v>44590</v>
      </c>
      <c r="G84" s="124">
        <f>1-BAZA_PC[[#This Row],[CENA ZAKUPU]]/BAZA_PC[[#This Row],[CENA KATALOGOWA]]</f>
        <v>0.32558869701726845</v>
      </c>
      <c r="H84" s="112">
        <v>30072</v>
      </c>
      <c r="I84" s="111">
        <v>11</v>
      </c>
      <c r="J84" s="111">
        <v>9</v>
      </c>
      <c r="K84" s="112">
        <v>4.63</v>
      </c>
      <c r="L84" s="98">
        <v>3</v>
      </c>
      <c r="M84" s="113">
        <v>5</v>
      </c>
      <c r="N84" s="121">
        <v>6.82</v>
      </c>
      <c r="O84" s="112">
        <v>7.67</v>
      </c>
      <c r="P84" s="112">
        <v>9.02</v>
      </c>
      <c r="Q84" s="112">
        <v>9.43</v>
      </c>
      <c r="R84" s="112">
        <v>9.76</v>
      </c>
      <c r="S84" s="112">
        <v>12.44</v>
      </c>
      <c r="T84" s="112">
        <v>10.16</v>
      </c>
      <c r="U84" s="112">
        <v>10.27</v>
      </c>
      <c r="V84" s="122">
        <v>10.45</v>
      </c>
      <c r="W84" s="121">
        <v>3.05</v>
      </c>
      <c r="X84" s="112">
        <v>3.04</v>
      </c>
      <c r="Y84" s="112">
        <v>3.02</v>
      </c>
      <c r="Z84" s="112">
        <v>2.83</v>
      </c>
      <c r="AA84" s="112">
        <v>2.68</v>
      </c>
      <c r="AB84" s="112">
        <v>2.57</v>
      </c>
      <c r="AC84" s="112">
        <v>1.74</v>
      </c>
      <c r="AD84" s="112">
        <v>1.56</v>
      </c>
      <c r="AE84" s="112">
        <v>1.27</v>
      </c>
    </row>
    <row r="85" spans="1:31" x14ac:dyDescent="0.25">
      <c r="A85" s="111" t="s">
        <v>121</v>
      </c>
      <c r="B85" s="111" t="s">
        <v>130</v>
      </c>
      <c r="C85" s="111" t="s">
        <v>352</v>
      </c>
      <c r="D85" s="111" t="s">
        <v>335</v>
      </c>
      <c r="E85" s="111" t="s">
        <v>353</v>
      </c>
      <c r="F85" s="112">
        <f>26160+22250</f>
        <v>48410</v>
      </c>
      <c r="G85" s="124">
        <f>1-BAZA_PC[[#This Row],[CENA ZAKUPU]]/BAZA_PC[[#This Row],[CENA KATALOGOWA]]</f>
        <v>0.32978723404255317</v>
      </c>
      <c r="H85" s="112">
        <v>32445</v>
      </c>
      <c r="I85" s="111">
        <v>14</v>
      </c>
      <c r="J85" s="111">
        <v>6</v>
      </c>
      <c r="K85" s="112">
        <v>4.5999999999999996</v>
      </c>
      <c r="L85" s="98">
        <v>1</v>
      </c>
      <c r="M85" s="113">
        <v>5</v>
      </c>
      <c r="N85" s="121">
        <v>7.25</v>
      </c>
      <c r="O85" s="112">
        <v>8.0399999999999991</v>
      </c>
      <c r="P85" s="112">
        <v>9.2899999999999991</v>
      </c>
      <c r="Q85" s="112">
        <v>10.210000000000001</v>
      </c>
      <c r="R85" s="112">
        <v>10.95</v>
      </c>
      <c r="S85" s="112">
        <v>13.38</v>
      </c>
      <c r="T85" s="112">
        <v>11.39</v>
      </c>
      <c r="U85" s="112">
        <v>12.18</v>
      </c>
      <c r="V85" s="122">
        <v>13.5</v>
      </c>
      <c r="W85" s="121">
        <v>3.25</v>
      </c>
      <c r="X85" s="112">
        <v>3.23</v>
      </c>
      <c r="Y85" s="112">
        <v>3.19</v>
      </c>
      <c r="Z85" s="112">
        <v>3.15</v>
      </c>
      <c r="AA85" s="112">
        <v>3.12</v>
      </c>
      <c r="AB85" s="112">
        <v>2.83</v>
      </c>
      <c r="AC85" s="112">
        <v>2</v>
      </c>
      <c r="AD85" s="112">
        <v>1.94</v>
      </c>
      <c r="AE85" s="112">
        <v>1.85</v>
      </c>
    </row>
    <row r="86" spans="1:31" x14ac:dyDescent="0.25">
      <c r="A86" s="111" t="s">
        <v>121</v>
      </c>
      <c r="B86" s="111" t="s">
        <v>130</v>
      </c>
      <c r="C86" s="111" t="s">
        <v>354</v>
      </c>
      <c r="D86" s="111" t="s">
        <v>338</v>
      </c>
      <c r="E86" s="111" t="s">
        <v>355</v>
      </c>
      <c r="F86" s="112">
        <f>27120+25060</f>
        <v>52180</v>
      </c>
      <c r="G86" s="124">
        <f>1-BAZA_PC[[#This Row],[CENA ZAKUPU]]/BAZA_PC[[#This Row],[CENA KATALOGOWA]]</f>
        <v>0.32669605212725183</v>
      </c>
      <c r="H86" s="112">
        <v>35133</v>
      </c>
      <c r="I86" s="111">
        <v>14</v>
      </c>
      <c r="J86" s="111">
        <v>9</v>
      </c>
      <c r="K86" s="112">
        <v>4.5999999999999996</v>
      </c>
      <c r="L86" s="98">
        <v>3</v>
      </c>
      <c r="M86" s="113">
        <v>5</v>
      </c>
      <c r="N86" s="121">
        <v>7.25</v>
      </c>
      <c r="O86" s="112">
        <v>8.0399999999999991</v>
      </c>
      <c r="P86" s="112">
        <v>9.2899999999999991</v>
      </c>
      <c r="Q86" s="112">
        <v>10.210000000000001</v>
      </c>
      <c r="R86" s="112">
        <v>10.95</v>
      </c>
      <c r="S86" s="112">
        <v>13.38</v>
      </c>
      <c r="T86" s="112">
        <v>11.39</v>
      </c>
      <c r="U86" s="112">
        <v>12.18</v>
      </c>
      <c r="V86" s="122">
        <v>13.5</v>
      </c>
      <c r="W86" s="121">
        <v>3.25</v>
      </c>
      <c r="X86" s="112">
        <v>3.23</v>
      </c>
      <c r="Y86" s="112">
        <v>3.19</v>
      </c>
      <c r="Z86" s="112">
        <v>3.15</v>
      </c>
      <c r="AA86" s="112">
        <v>3.12</v>
      </c>
      <c r="AB86" s="112">
        <v>2.83</v>
      </c>
      <c r="AC86" s="112">
        <v>2</v>
      </c>
      <c r="AD86" s="112">
        <v>1.94</v>
      </c>
      <c r="AE86" s="112">
        <v>1.85</v>
      </c>
    </row>
    <row r="87" spans="1:31" x14ac:dyDescent="0.25">
      <c r="A87" s="111" t="s">
        <v>121</v>
      </c>
      <c r="B87" s="111" t="s">
        <v>130</v>
      </c>
      <c r="C87" s="111" t="s">
        <v>356</v>
      </c>
      <c r="D87" s="111" t="s">
        <v>357</v>
      </c>
      <c r="E87" s="111" t="s">
        <v>353</v>
      </c>
      <c r="F87" s="112">
        <f>26160+25100</f>
        <v>51260</v>
      </c>
      <c r="G87" s="124">
        <f>1-BAZA_PC[[#This Row],[CENA ZAKUPU]]/BAZA_PC[[#This Row],[CENA KATALOGOWA]]</f>
        <v>0.32813109637143967</v>
      </c>
      <c r="H87" s="112">
        <v>34440</v>
      </c>
      <c r="I87" s="111">
        <v>16</v>
      </c>
      <c r="J87" s="111">
        <v>6</v>
      </c>
      <c r="K87" s="112">
        <v>4.6100000000000003</v>
      </c>
      <c r="L87" s="98">
        <v>1</v>
      </c>
      <c r="M87" s="113">
        <v>5</v>
      </c>
      <c r="N87" s="121">
        <v>9.16</v>
      </c>
      <c r="O87" s="112">
        <v>9.81</v>
      </c>
      <c r="P87" s="112">
        <v>10.84</v>
      </c>
      <c r="Q87" s="112">
        <v>11.44</v>
      </c>
      <c r="R87" s="112">
        <v>11.92</v>
      </c>
      <c r="S87" s="112">
        <v>15.96</v>
      </c>
      <c r="T87" s="112">
        <v>14.47</v>
      </c>
      <c r="U87" s="112">
        <v>14.37</v>
      </c>
      <c r="V87" s="122">
        <v>14.19</v>
      </c>
      <c r="W87" s="121">
        <v>4.28</v>
      </c>
      <c r="X87" s="112">
        <v>4.1900000000000004</v>
      </c>
      <c r="Y87" s="112">
        <v>4.0599999999999996</v>
      </c>
      <c r="Z87" s="112">
        <v>3.81</v>
      </c>
      <c r="AA87" s="112">
        <v>3.61</v>
      </c>
      <c r="AB87" s="112">
        <v>3.45</v>
      </c>
      <c r="AC87" s="112">
        <v>2.5299999999999998</v>
      </c>
      <c r="AD87" s="112">
        <v>2.5099999999999998</v>
      </c>
      <c r="AE87" s="112">
        <v>2.46</v>
      </c>
    </row>
    <row r="88" spans="1:31" x14ac:dyDescent="0.25">
      <c r="A88" s="111" t="s">
        <v>121</v>
      </c>
      <c r="B88" s="111" t="s">
        <v>130</v>
      </c>
      <c r="C88" s="111" t="s">
        <v>358</v>
      </c>
      <c r="D88" s="111" t="s">
        <v>359</v>
      </c>
      <c r="E88" s="111" t="s">
        <v>355</v>
      </c>
      <c r="F88" s="112">
        <f>27120+28240</f>
        <v>55360</v>
      </c>
      <c r="G88" s="124">
        <f>1-BAZA_PC[[#This Row],[CENA ZAKUPU]]/BAZA_PC[[#This Row],[CENA KATALOGOWA]]</f>
        <v>0.32516257225433531</v>
      </c>
      <c r="H88" s="112">
        <v>37359</v>
      </c>
      <c r="I88" s="111">
        <v>16</v>
      </c>
      <c r="J88" s="111">
        <v>9</v>
      </c>
      <c r="K88" s="112">
        <v>4.6100000000000003</v>
      </c>
      <c r="L88" s="98">
        <v>3</v>
      </c>
      <c r="M88" s="109">
        <v>5</v>
      </c>
      <c r="N88" s="121">
        <v>9.16</v>
      </c>
      <c r="O88" s="112">
        <v>9.81</v>
      </c>
      <c r="P88" s="112">
        <v>10.84</v>
      </c>
      <c r="Q88" s="112">
        <v>11.44</v>
      </c>
      <c r="R88" s="112">
        <v>11.92</v>
      </c>
      <c r="S88" s="112">
        <v>15.96</v>
      </c>
      <c r="T88" s="112">
        <v>14.47</v>
      </c>
      <c r="U88" s="112">
        <v>14.37</v>
      </c>
      <c r="V88" s="122">
        <v>14.19</v>
      </c>
      <c r="W88" s="121">
        <v>4.28</v>
      </c>
      <c r="X88" s="112">
        <v>4.1900000000000004</v>
      </c>
      <c r="Y88" s="112">
        <v>4.0599999999999996</v>
      </c>
      <c r="Z88" s="112">
        <v>3.81</v>
      </c>
      <c r="AA88" s="112">
        <v>3.61</v>
      </c>
      <c r="AB88" s="112">
        <v>3.45</v>
      </c>
      <c r="AC88" s="112">
        <v>2.5299999999999998</v>
      </c>
      <c r="AD88" s="112">
        <v>2.5099999999999998</v>
      </c>
      <c r="AE88" s="112">
        <v>2.46</v>
      </c>
    </row>
    <row r="89" spans="1:31" x14ac:dyDescent="0.25">
      <c r="A89" s="111" t="s">
        <v>121</v>
      </c>
      <c r="B89" s="111" t="s">
        <v>131</v>
      </c>
      <c r="C89" s="111" t="s">
        <v>360</v>
      </c>
      <c r="D89" s="111" t="s">
        <v>361</v>
      </c>
      <c r="E89" s="111" t="s">
        <v>243</v>
      </c>
      <c r="F89" s="112">
        <v>19920</v>
      </c>
      <c r="G89" s="124">
        <f>1-BAZA_PC[[#This Row],[CENA ZAKUPU]]/BAZA_PC[[#This Row],[CENA KATALOGOWA]]</f>
        <v>0.30000000000000004</v>
      </c>
      <c r="H89" s="112">
        <v>13944</v>
      </c>
      <c r="I89" s="111">
        <v>4</v>
      </c>
      <c r="J89" s="111">
        <v>3</v>
      </c>
      <c r="K89" s="112">
        <v>4.4800000000000004</v>
      </c>
      <c r="L89" s="98">
        <v>1</v>
      </c>
      <c r="M89" s="113">
        <v>5</v>
      </c>
      <c r="N89" s="125">
        <v>4.29</v>
      </c>
      <c r="O89" s="112">
        <v>4.71</v>
      </c>
      <c r="P89" s="112">
        <v>5.38</v>
      </c>
      <c r="Q89" s="112">
        <v>5.43</v>
      </c>
      <c r="R89" s="112">
        <v>5.46</v>
      </c>
      <c r="S89" s="112">
        <v>6.41</v>
      </c>
      <c r="T89" s="112">
        <v>6.07</v>
      </c>
      <c r="U89" s="112">
        <v>5.72</v>
      </c>
      <c r="V89" s="122">
        <v>5.15</v>
      </c>
      <c r="W89" s="112">
        <v>2.4500000000000002</v>
      </c>
      <c r="X89" s="112">
        <v>2.2400000000000002</v>
      </c>
      <c r="Y89" s="112">
        <v>1.91</v>
      </c>
      <c r="Z89" s="112">
        <v>1.68</v>
      </c>
      <c r="AA89" s="112">
        <v>1.49</v>
      </c>
      <c r="AB89" s="112">
        <v>1.3</v>
      </c>
      <c r="AC89" s="112">
        <v>1.01</v>
      </c>
      <c r="AD89" s="112">
        <v>0.86</v>
      </c>
      <c r="AE89" s="112">
        <v>0.63</v>
      </c>
    </row>
    <row r="90" spans="1:31" x14ac:dyDescent="0.25">
      <c r="A90" s="111" t="s">
        <v>121</v>
      </c>
      <c r="B90" s="111" t="s">
        <v>131</v>
      </c>
      <c r="C90" s="111" t="s">
        <v>362</v>
      </c>
      <c r="D90" s="111" t="s">
        <v>363</v>
      </c>
      <c r="E90" s="111" t="s">
        <v>243</v>
      </c>
      <c r="F90" s="112">
        <v>20620</v>
      </c>
      <c r="G90" s="124">
        <f>1-BAZA_PC[[#This Row],[CENA ZAKUPU]]/BAZA_PC[[#This Row],[CENA KATALOGOWA]]</f>
        <v>0.30000000000000004</v>
      </c>
      <c r="H90" s="112">
        <v>14434</v>
      </c>
      <c r="I90" s="111">
        <v>6</v>
      </c>
      <c r="J90" s="111">
        <v>3</v>
      </c>
      <c r="K90" s="112">
        <v>4.47</v>
      </c>
      <c r="L90" s="98">
        <v>1</v>
      </c>
      <c r="M90" s="113">
        <v>5</v>
      </c>
      <c r="N90" s="125">
        <v>5.13</v>
      </c>
      <c r="O90" s="112">
        <v>5.56</v>
      </c>
      <c r="P90" s="112">
        <v>6.25</v>
      </c>
      <c r="Q90" s="112">
        <v>6.2</v>
      </c>
      <c r="R90" s="112">
        <v>6.17</v>
      </c>
      <c r="S90" s="112">
        <v>7.74</v>
      </c>
      <c r="T90" s="112">
        <v>7.52</v>
      </c>
      <c r="U90" s="112">
        <v>7.25</v>
      </c>
      <c r="V90" s="122">
        <v>6.79</v>
      </c>
      <c r="W90" s="112">
        <v>2.82</v>
      </c>
      <c r="X90" s="112">
        <v>2.6</v>
      </c>
      <c r="Y90" s="112">
        <v>2.25</v>
      </c>
      <c r="Z90" s="112">
        <v>1.97</v>
      </c>
      <c r="AA90" s="112">
        <v>1.74</v>
      </c>
      <c r="AB90" s="112">
        <v>1.63</v>
      </c>
      <c r="AC90" s="112">
        <v>1.27</v>
      </c>
      <c r="AD90" s="112">
        <v>1.1299999999999999</v>
      </c>
      <c r="AE90" s="112">
        <v>0.89</v>
      </c>
    </row>
    <row r="91" spans="1:31" x14ac:dyDescent="0.25">
      <c r="A91" s="111" t="s">
        <v>121</v>
      </c>
      <c r="B91" s="111" t="s">
        <v>131</v>
      </c>
      <c r="C91" s="111" t="s">
        <v>364</v>
      </c>
      <c r="D91" s="111" t="s">
        <v>365</v>
      </c>
      <c r="E91" s="111" t="s">
        <v>243</v>
      </c>
      <c r="F91" s="112">
        <v>23200</v>
      </c>
      <c r="G91" s="124">
        <f>1-BAZA_PC[[#This Row],[CENA ZAKUPU]]/BAZA_PC[[#This Row],[CENA KATALOGOWA]]</f>
        <v>0.30000000000000004</v>
      </c>
      <c r="H91" s="112">
        <v>16240</v>
      </c>
      <c r="I91" s="111">
        <v>8</v>
      </c>
      <c r="J91" s="111">
        <v>3</v>
      </c>
      <c r="K91" s="112">
        <v>4.5599999999999996</v>
      </c>
      <c r="L91" s="98">
        <v>1</v>
      </c>
      <c r="M91" s="113">
        <v>5</v>
      </c>
      <c r="N91" s="125">
        <v>6.14</v>
      </c>
      <c r="O91" s="112">
        <v>6.58</v>
      </c>
      <c r="P91" s="112">
        <v>7.28</v>
      </c>
      <c r="Q91" s="112">
        <v>7.24</v>
      </c>
      <c r="R91" s="112">
        <v>7.22</v>
      </c>
      <c r="S91" s="112">
        <v>9.3699999999999992</v>
      </c>
      <c r="T91" s="112">
        <v>9.2100000000000009</v>
      </c>
      <c r="U91" s="112">
        <v>8.82</v>
      </c>
      <c r="V91" s="122">
        <v>8.16</v>
      </c>
      <c r="W91" s="112">
        <v>3.43</v>
      </c>
      <c r="X91" s="112">
        <v>3.16</v>
      </c>
      <c r="Y91" s="112">
        <v>2.73</v>
      </c>
      <c r="Z91" s="112">
        <v>2.41</v>
      </c>
      <c r="AA91" s="112">
        <v>2.16</v>
      </c>
      <c r="AB91" s="112">
        <v>2.08</v>
      </c>
      <c r="AC91" s="112">
        <v>1.71</v>
      </c>
      <c r="AD91" s="112">
        <v>1.5</v>
      </c>
      <c r="AE91" s="112">
        <v>1.1399999999999999</v>
      </c>
    </row>
    <row r="92" spans="1:31" x14ac:dyDescent="0.25">
      <c r="A92" s="111" t="s">
        <v>121</v>
      </c>
      <c r="B92" s="111" t="s">
        <v>131</v>
      </c>
      <c r="C92" s="111" t="s">
        <v>366</v>
      </c>
      <c r="D92" s="111" t="s">
        <v>367</v>
      </c>
      <c r="E92" s="111" t="s">
        <v>243</v>
      </c>
      <c r="F92" s="112">
        <v>26360</v>
      </c>
      <c r="G92" s="124">
        <f>1-BAZA_PC[[#This Row],[CENA ZAKUPU]]/BAZA_PC[[#This Row],[CENA KATALOGOWA]]</f>
        <v>0.30000000000000004</v>
      </c>
      <c r="H92" s="112">
        <v>18452</v>
      </c>
      <c r="I92" s="111">
        <v>9</v>
      </c>
      <c r="J92" s="111">
        <v>3</v>
      </c>
      <c r="K92" s="112">
        <v>4.72</v>
      </c>
      <c r="L92" s="98">
        <v>1</v>
      </c>
      <c r="M92" s="113">
        <v>5</v>
      </c>
      <c r="N92" s="125">
        <v>6.57</v>
      </c>
      <c r="O92" s="112">
        <v>7.08</v>
      </c>
      <c r="P92" s="112">
        <v>7.89</v>
      </c>
      <c r="Q92" s="112">
        <v>8.91</v>
      </c>
      <c r="R92" s="112">
        <v>8.98</v>
      </c>
      <c r="S92" s="112">
        <v>10.42</v>
      </c>
      <c r="T92" s="112">
        <v>13.55</v>
      </c>
      <c r="U92" s="112">
        <v>15.09</v>
      </c>
      <c r="V92" s="122">
        <v>17.649999999999999</v>
      </c>
      <c r="W92" s="112">
        <v>3.2</v>
      </c>
      <c r="X92" s="112">
        <v>3.31</v>
      </c>
      <c r="Y92" s="112">
        <v>3.22</v>
      </c>
      <c r="Z92" s="112">
        <v>3.27</v>
      </c>
      <c r="AA92" s="112">
        <v>2.97</v>
      </c>
      <c r="AB92" s="112">
        <v>2.17</v>
      </c>
      <c r="AC92" s="112">
        <v>3.18</v>
      </c>
      <c r="AD92" s="112">
        <v>3.04</v>
      </c>
      <c r="AE92" s="112">
        <v>2.81</v>
      </c>
    </row>
    <row r="93" spans="1:31" x14ac:dyDescent="0.25">
      <c r="A93" s="111" t="s">
        <v>121</v>
      </c>
      <c r="B93" s="111" t="s">
        <v>131</v>
      </c>
      <c r="C93" s="111" t="s">
        <v>368</v>
      </c>
      <c r="D93" s="111" t="s">
        <v>369</v>
      </c>
      <c r="E93" s="111" t="s">
        <v>243</v>
      </c>
      <c r="F93" s="112">
        <v>27960</v>
      </c>
      <c r="G93" s="124">
        <f>1-BAZA_PC[[#This Row],[CENA ZAKUPU]]/BAZA_PC[[#This Row],[CENA KATALOGOWA]]</f>
        <v>0.30000000000000004</v>
      </c>
      <c r="H93" s="112">
        <v>19572</v>
      </c>
      <c r="I93" s="111">
        <v>9</v>
      </c>
      <c r="J93" s="111">
        <v>3</v>
      </c>
      <c r="K93" s="112">
        <v>4.72</v>
      </c>
      <c r="L93" s="98">
        <v>3</v>
      </c>
      <c r="M93" s="113">
        <v>5</v>
      </c>
      <c r="N93" s="125">
        <v>6.57</v>
      </c>
      <c r="O93" s="112">
        <v>7.08</v>
      </c>
      <c r="P93" s="112">
        <v>7.89</v>
      </c>
      <c r="Q93" s="112">
        <v>8.91</v>
      </c>
      <c r="R93" s="112">
        <v>8.98</v>
      </c>
      <c r="S93" s="112">
        <v>10.42</v>
      </c>
      <c r="T93" s="112">
        <v>13.55</v>
      </c>
      <c r="U93" s="112">
        <v>15.09</v>
      </c>
      <c r="V93" s="122">
        <v>17.649999999999999</v>
      </c>
      <c r="W93" s="112">
        <v>3.2</v>
      </c>
      <c r="X93" s="112">
        <v>3.31</v>
      </c>
      <c r="Y93" s="112">
        <v>3.22</v>
      </c>
      <c r="Z93" s="112">
        <v>3.27</v>
      </c>
      <c r="AA93" s="112">
        <v>2.97</v>
      </c>
      <c r="AB93" s="112">
        <v>2.17</v>
      </c>
      <c r="AC93" s="112">
        <v>3.18</v>
      </c>
      <c r="AD93" s="112">
        <v>3.04</v>
      </c>
      <c r="AE93" s="112">
        <v>2.81</v>
      </c>
    </row>
    <row r="94" spans="1:31" x14ac:dyDescent="0.25">
      <c r="A94" s="111" t="s">
        <v>121</v>
      </c>
      <c r="B94" s="111" t="s">
        <v>131</v>
      </c>
      <c r="C94" s="111" t="s">
        <v>370</v>
      </c>
      <c r="D94" s="111" t="s">
        <v>371</v>
      </c>
      <c r="E94" s="111" t="s">
        <v>243</v>
      </c>
      <c r="F94" s="112">
        <v>27910</v>
      </c>
      <c r="G94" s="124">
        <f>1-BAZA_PC[[#This Row],[CENA ZAKUPU]]/BAZA_PC[[#This Row],[CENA KATALOGOWA]]</f>
        <v>0.30000000000000004</v>
      </c>
      <c r="H94" s="112">
        <v>19537</v>
      </c>
      <c r="I94" s="111">
        <v>11</v>
      </c>
      <c r="J94" s="111">
        <v>3</v>
      </c>
      <c r="K94" s="112">
        <v>4.62</v>
      </c>
      <c r="L94" s="98">
        <v>1</v>
      </c>
      <c r="M94" s="113">
        <v>5</v>
      </c>
      <c r="N94" s="125">
        <v>8.4499999999999993</v>
      </c>
      <c r="O94" s="112">
        <v>8.58</v>
      </c>
      <c r="P94" s="112">
        <v>9.1</v>
      </c>
      <c r="Q94" s="112">
        <v>10.08</v>
      </c>
      <c r="R94" s="112">
        <v>10.08</v>
      </c>
      <c r="S94" s="112">
        <v>12.31</v>
      </c>
      <c r="T94" s="112">
        <v>14.06</v>
      </c>
      <c r="U94" s="112">
        <v>15.6</v>
      </c>
      <c r="V94" s="122">
        <v>18.18</v>
      </c>
      <c r="W94" s="112">
        <v>4.21</v>
      </c>
      <c r="X94" s="112">
        <v>4.1900000000000004</v>
      </c>
      <c r="Y94" s="112">
        <v>3.72</v>
      </c>
      <c r="Z94" s="112">
        <v>3.99</v>
      </c>
      <c r="AA94" s="112">
        <v>3.31</v>
      </c>
      <c r="AB94" s="112">
        <v>2.57</v>
      </c>
      <c r="AC94" s="112">
        <v>3.11</v>
      </c>
      <c r="AD94" s="112">
        <v>2.98</v>
      </c>
      <c r="AE94" s="112">
        <v>2.76</v>
      </c>
    </row>
    <row r="95" spans="1:31" x14ac:dyDescent="0.25">
      <c r="A95" s="111" t="s">
        <v>121</v>
      </c>
      <c r="B95" s="111" t="s">
        <v>131</v>
      </c>
      <c r="C95" s="111" t="s">
        <v>372</v>
      </c>
      <c r="D95" s="111" t="s">
        <v>373</v>
      </c>
      <c r="E95" s="111" t="s">
        <v>243</v>
      </c>
      <c r="F95" s="112">
        <v>31590</v>
      </c>
      <c r="G95" s="124">
        <f>1-BAZA_PC[[#This Row],[CENA ZAKUPU]]/BAZA_PC[[#This Row],[CENA KATALOGOWA]]</f>
        <v>0.30000000000000004</v>
      </c>
      <c r="H95" s="112">
        <v>22113</v>
      </c>
      <c r="I95" s="111">
        <v>11</v>
      </c>
      <c r="J95" s="111">
        <v>3</v>
      </c>
      <c r="K95" s="112">
        <v>4.62</v>
      </c>
      <c r="L95" s="98">
        <v>3</v>
      </c>
      <c r="M95" s="113">
        <v>5</v>
      </c>
      <c r="N95" s="121">
        <v>8.4499999999999993</v>
      </c>
      <c r="O95" s="112">
        <v>8.58</v>
      </c>
      <c r="P95" s="112">
        <v>9.1</v>
      </c>
      <c r="Q95" s="112">
        <v>10.08</v>
      </c>
      <c r="R95" s="112">
        <v>10.08</v>
      </c>
      <c r="S95" s="112">
        <v>12.31</v>
      </c>
      <c r="T95" s="112">
        <v>14.06</v>
      </c>
      <c r="U95" s="112">
        <v>15.6</v>
      </c>
      <c r="V95" s="122">
        <v>18.18</v>
      </c>
      <c r="W95" s="121">
        <v>4.21</v>
      </c>
      <c r="X95" s="112">
        <v>4.1900000000000004</v>
      </c>
      <c r="Y95" s="112">
        <v>3.72</v>
      </c>
      <c r="Z95" s="112">
        <v>3.99</v>
      </c>
      <c r="AA95" s="112">
        <v>3.31</v>
      </c>
      <c r="AB95" s="112">
        <v>2.57</v>
      </c>
      <c r="AC95" s="112">
        <v>3.11</v>
      </c>
      <c r="AD95" s="112">
        <v>2.98</v>
      </c>
      <c r="AE95" s="112">
        <v>2.76</v>
      </c>
    </row>
    <row r="96" spans="1:31" x14ac:dyDescent="0.25">
      <c r="A96" s="111" t="s">
        <v>121</v>
      </c>
      <c r="B96" s="111" t="s">
        <v>131</v>
      </c>
      <c r="C96" s="111" t="s">
        <v>374</v>
      </c>
      <c r="D96" s="111" t="s">
        <v>375</v>
      </c>
      <c r="E96" s="111" t="s">
        <v>243</v>
      </c>
      <c r="F96" s="112">
        <v>33310</v>
      </c>
      <c r="G96" s="124">
        <f>1-BAZA_PC[[#This Row],[CENA ZAKUPU]]/BAZA_PC[[#This Row],[CENA KATALOGOWA]]</f>
        <v>0.30000000000000004</v>
      </c>
      <c r="H96" s="112">
        <v>23317</v>
      </c>
      <c r="I96" s="111">
        <v>14</v>
      </c>
      <c r="J96" s="111">
        <v>3</v>
      </c>
      <c r="K96" s="112">
        <v>4.6399999999999997</v>
      </c>
      <c r="L96" s="98">
        <v>1</v>
      </c>
      <c r="M96" s="113">
        <v>5</v>
      </c>
      <c r="N96" s="121">
        <v>8.7799999999999994</v>
      </c>
      <c r="O96" s="112">
        <v>9.5299999999999994</v>
      </c>
      <c r="P96" s="112">
        <v>10.73</v>
      </c>
      <c r="Q96" s="112">
        <v>11.49</v>
      </c>
      <c r="R96" s="112">
        <v>11.1</v>
      </c>
      <c r="S96" s="112">
        <v>13.69</v>
      </c>
      <c r="T96" s="112">
        <v>15.09</v>
      </c>
      <c r="U96" s="112">
        <v>16.25</v>
      </c>
      <c r="V96" s="122">
        <v>18.18</v>
      </c>
      <c r="W96" s="121">
        <v>4.4400000000000004</v>
      </c>
      <c r="X96" s="112">
        <v>4.41</v>
      </c>
      <c r="Y96" s="112">
        <v>4.3499999999999996</v>
      </c>
      <c r="Z96" s="112">
        <v>4.1900000000000004</v>
      </c>
      <c r="AA96" s="112">
        <v>3.6</v>
      </c>
      <c r="AB96" s="112">
        <v>2.95</v>
      </c>
      <c r="AC96" s="112">
        <v>2.97</v>
      </c>
      <c r="AD96" s="112">
        <v>2.89</v>
      </c>
      <c r="AE96" s="112">
        <v>2.76</v>
      </c>
    </row>
    <row r="97" spans="1:31" x14ac:dyDescent="0.25">
      <c r="A97" s="111" t="s">
        <v>121</v>
      </c>
      <c r="B97" s="111" t="s">
        <v>131</v>
      </c>
      <c r="C97" s="111" t="s">
        <v>376</v>
      </c>
      <c r="D97" s="111" t="s">
        <v>377</v>
      </c>
      <c r="E97" s="111" t="s">
        <v>243</v>
      </c>
      <c r="F97" s="112">
        <v>38430</v>
      </c>
      <c r="G97" s="124">
        <f>1-BAZA_PC[[#This Row],[CENA ZAKUPU]]/BAZA_PC[[#This Row],[CENA KATALOGOWA]]</f>
        <v>0.30000000000000004</v>
      </c>
      <c r="H97" s="112">
        <v>26901</v>
      </c>
      <c r="I97" s="111">
        <v>14</v>
      </c>
      <c r="J97" s="111">
        <v>3</v>
      </c>
      <c r="K97" s="112">
        <v>4.6399999999999997</v>
      </c>
      <c r="L97" s="98">
        <v>3</v>
      </c>
      <c r="M97" s="113">
        <v>5</v>
      </c>
      <c r="N97" s="121">
        <v>8.7799999999999994</v>
      </c>
      <c r="O97" s="112">
        <v>9.5299999999999994</v>
      </c>
      <c r="P97" s="112">
        <v>10.73</v>
      </c>
      <c r="Q97" s="112">
        <v>11.49</v>
      </c>
      <c r="R97" s="112">
        <v>11.1</v>
      </c>
      <c r="S97" s="112">
        <v>13.69</v>
      </c>
      <c r="T97" s="112">
        <v>15.09</v>
      </c>
      <c r="U97" s="112">
        <v>16.25</v>
      </c>
      <c r="V97" s="122">
        <v>18.18</v>
      </c>
      <c r="W97" s="121">
        <v>4.4400000000000004</v>
      </c>
      <c r="X97" s="112">
        <v>4.41</v>
      </c>
      <c r="Y97" s="112">
        <v>4.3499999999999996</v>
      </c>
      <c r="Z97" s="112">
        <v>4.1900000000000004</v>
      </c>
      <c r="AA97" s="112">
        <v>3.6</v>
      </c>
      <c r="AB97" s="112">
        <v>2.95</v>
      </c>
      <c r="AC97" s="112">
        <v>2.97</v>
      </c>
      <c r="AD97" s="112">
        <v>2.89</v>
      </c>
      <c r="AE97" s="112">
        <v>2.76</v>
      </c>
    </row>
    <row r="98" spans="1:31" x14ac:dyDescent="0.25">
      <c r="A98" s="111" t="s">
        <v>121</v>
      </c>
      <c r="B98" s="111" t="s">
        <v>131</v>
      </c>
      <c r="C98" s="111" t="s">
        <v>378</v>
      </c>
      <c r="D98" s="111" t="s">
        <v>379</v>
      </c>
      <c r="E98" s="111" t="s">
        <v>243</v>
      </c>
      <c r="F98" s="112">
        <v>34420</v>
      </c>
      <c r="G98" s="124">
        <f>1-BAZA_PC[[#This Row],[CENA ZAKUPU]]/BAZA_PC[[#This Row],[CENA KATALOGOWA]]</f>
        <v>0.28983149331783842</v>
      </c>
      <c r="H98" s="112">
        <v>24444</v>
      </c>
      <c r="I98" s="111">
        <v>16</v>
      </c>
      <c r="J98" s="111">
        <v>3</v>
      </c>
      <c r="K98" s="112">
        <v>4.62</v>
      </c>
      <c r="L98" s="98">
        <v>1</v>
      </c>
      <c r="M98" s="113">
        <v>5</v>
      </c>
      <c r="N98" s="121">
        <v>9.07</v>
      </c>
      <c r="O98" s="112">
        <v>9.8699999999999992</v>
      </c>
      <c r="P98" s="112">
        <v>11.15</v>
      </c>
      <c r="Q98" s="112">
        <v>12.02</v>
      </c>
      <c r="R98" s="112">
        <v>12.35</v>
      </c>
      <c r="S98" s="112">
        <v>15.96</v>
      </c>
      <c r="T98" s="112">
        <v>17.079999999999998</v>
      </c>
      <c r="U98" s="112">
        <v>17.73</v>
      </c>
      <c r="V98" s="122">
        <v>18.82</v>
      </c>
      <c r="W98" s="121">
        <v>4.68</v>
      </c>
      <c r="X98" s="112">
        <v>4.59</v>
      </c>
      <c r="Y98" s="112">
        <v>4.4400000000000004</v>
      </c>
      <c r="Z98" s="112">
        <v>4.25</v>
      </c>
      <c r="AA98" s="112">
        <v>3.94</v>
      </c>
      <c r="AB98" s="112">
        <v>3.52</v>
      </c>
      <c r="AC98" s="112">
        <v>3.24</v>
      </c>
      <c r="AD98" s="112">
        <v>3.04</v>
      </c>
      <c r="AE98" s="112">
        <v>2.7</v>
      </c>
    </row>
    <row r="99" spans="1:31" x14ac:dyDescent="0.25">
      <c r="A99" s="117" t="s">
        <v>121</v>
      </c>
      <c r="B99" s="117" t="s">
        <v>131</v>
      </c>
      <c r="C99" s="117" t="s">
        <v>380</v>
      </c>
      <c r="D99" s="117" t="s">
        <v>381</v>
      </c>
      <c r="E99" s="111" t="s">
        <v>243</v>
      </c>
      <c r="F99" s="126">
        <v>41870</v>
      </c>
      <c r="G99" s="124">
        <f>1-BAZA_PC[[#This Row],[CENA ZAKUPU]]/BAZA_PC[[#This Row],[CENA KATALOGOWA]]</f>
        <v>0.30000000000000004</v>
      </c>
      <c r="H99" s="126">
        <v>29309</v>
      </c>
      <c r="I99" s="111">
        <v>16</v>
      </c>
      <c r="J99" s="117">
        <v>3</v>
      </c>
      <c r="K99" s="126">
        <v>4.62</v>
      </c>
      <c r="L99" s="98">
        <v>3</v>
      </c>
      <c r="M99" s="127">
        <v>5</v>
      </c>
      <c r="N99" s="121">
        <v>9.07</v>
      </c>
      <c r="O99" s="112">
        <v>9.8699999999999992</v>
      </c>
      <c r="P99" s="112">
        <v>11.15</v>
      </c>
      <c r="Q99" s="112">
        <v>12.02</v>
      </c>
      <c r="R99" s="112">
        <v>12.35</v>
      </c>
      <c r="S99" s="112">
        <v>15.96</v>
      </c>
      <c r="T99" s="112">
        <v>17.079999999999998</v>
      </c>
      <c r="U99" s="112">
        <v>17.73</v>
      </c>
      <c r="V99" s="122">
        <v>18.82</v>
      </c>
      <c r="W99" s="121">
        <v>4.68</v>
      </c>
      <c r="X99" s="112">
        <v>4.59</v>
      </c>
      <c r="Y99" s="112">
        <v>4.4400000000000004</v>
      </c>
      <c r="Z99" s="112">
        <v>4.25</v>
      </c>
      <c r="AA99" s="112">
        <v>3.94</v>
      </c>
      <c r="AB99" s="112">
        <v>3.52</v>
      </c>
      <c r="AC99" s="112">
        <v>3.24</v>
      </c>
      <c r="AD99" s="112">
        <v>3.04</v>
      </c>
      <c r="AE99" s="112">
        <v>2.7</v>
      </c>
    </row>
  </sheetData>
  <mergeCells count="3">
    <mergeCell ref="A1:M1"/>
    <mergeCell ref="N1:V1"/>
    <mergeCell ref="W1:A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F2FE-F3ED-4CE5-B644-DC9BA56F6971}">
  <dimension ref="A1:AY82"/>
  <sheetViews>
    <sheetView topLeftCell="C1" workbookViewId="0">
      <selection activeCell="C8" sqref="C8"/>
    </sheetView>
  </sheetViews>
  <sheetFormatPr defaultRowHeight="15" x14ac:dyDescent="0.25"/>
  <cols>
    <col min="1" max="1" width="18.5703125" customWidth="1"/>
    <col min="2" max="2" width="11.5703125" bestFit="1" customWidth="1"/>
    <col min="3" max="3" width="9.85546875" bestFit="1" customWidth="1"/>
    <col min="5" max="5" width="12.28515625" bestFit="1" customWidth="1"/>
  </cols>
  <sheetData>
    <row r="1" spans="1:51" x14ac:dyDescent="0.25">
      <c r="B1" s="128" t="s">
        <v>382</v>
      </c>
      <c r="C1" s="129">
        <v>-20</v>
      </c>
      <c r="D1" s="128">
        <v>-17</v>
      </c>
      <c r="E1" s="128">
        <v>-16</v>
      </c>
      <c r="F1" s="130">
        <v>-15</v>
      </c>
      <c r="G1" s="128">
        <v>-14</v>
      </c>
      <c r="H1" s="128">
        <v>-13</v>
      </c>
      <c r="I1" s="128">
        <v>-12</v>
      </c>
      <c r="J1" s="128">
        <v>-11</v>
      </c>
      <c r="K1" s="128">
        <v>-10</v>
      </c>
      <c r="L1" s="128">
        <v>-9</v>
      </c>
      <c r="M1" s="128">
        <v>-8</v>
      </c>
      <c r="N1" s="130">
        <v>-7</v>
      </c>
      <c r="O1" s="128">
        <v>-6</v>
      </c>
      <c r="P1" s="128">
        <v>-5</v>
      </c>
      <c r="Q1" s="128">
        <v>-4</v>
      </c>
      <c r="R1" s="128">
        <v>-3</v>
      </c>
      <c r="S1" s="130">
        <v>-2</v>
      </c>
      <c r="T1" s="128">
        <v>-1</v>
      </c>
      <c r="U1" s="128">
        <v>0</v>
      </c>
      <c r="V1" s="128">
        <v>1</v>
      </c>
      <c r="W1" s="131">
        <v>2</v>
      </c>
      <c r="X1" s="128">
        <v>3</v>
      </c>
      <c r="Y1" s="128">
        <v>4</v>
      </c>
      <c r="Z1" s="128">
        <v>5</v>
      </c>
      <c r="AA1" s="128">
        <v>6</v>
      </c>
      <c r="AB1" s="131">
        <v>7</v>
      </c>
      <c r="AC1" s="128">
        <v>8</v>
      </c>
      <c r="AD1" s="128">
        <v>9</v>
      </c>
      <c r="AE1" s="128">
        <v>10</v>
      </c>
      <c r="AF1" s="128">
        <v>11</v>
      </c>
      <c r="AG1" s="131">
        <v>12</v>
      </c>
      <c r="AH1" s="128">
        <v>13</v>
      </c>
      <c r="AI1" s="128">
        <v>14</v>
      </c>
      <c r="AJ1" s="131">
        <v>15</v>
      </c>
      <c r="AK1" s="128">
        <v>16</v>
      </c>
      <c r="AL1" s="128">
        <v>17</v>
      </c>
      <c r="AM1" s="128">
        <v>18</v>
      </c>
      <c r="AN1" s="128">
        <v>19</v>
      </c>
      <c r="AO1" s="131">
        <v>20</v>
      </c>
      <c r="AP1" s="128">
        <v>21</v>
      </c>
      <c r="AQ1" s="128">
        <v>22</v>
      </c>
      <c r="AR1" s="128">
        <v>23</v>
      </c>
      <c r="AS1" s="128">
        <v>24</v>
      </c>
      <c r="AT1" s="128">
        <v>25</v>
      </c>
      <c r="AU1" s="128">
        <v>26</v>
      </c>
      <c r="AV1" s="128">
        <v>27</v>
      </c>
      <c r="AW1" s="128">
        <v>28</v>
      </c>
      <c r="AX1" s="128">
        <v>29</v>
      </c>
      <c r="AY1" s="128">
        <v>30</v>
      </c>
    </row>
    <row r="2" spans="1:51" x14ac:dyDescent="0.25">
      <c r="A2" t="s">
        <v>383</v>
      </c>
      <c r="B2" s="128" t="str">
        <f>BUDYNEK!$G$31</f>
        <v>Katowice</v>
      </c>
      <c r="C2">
        <f>C22</f>
        <v>0</v>
      </c>
      <c r="D2">
        <f t="shared" ref="D2:AY2" si="0">D22</f>
        <v>2</v>
      </c>
      <c r="E2">
        <f t="shared" si="0"/>
        <v>1</v>
      </c>
      <c r="F2">
        <f t="shared" si="0"/>
        <v>2</v>
      </c>
      <c r="G2">
        <f t="shared" si="0"/>
        <v>7</v>
      </c>
      <c r="H2">
        <f t="shared" si="0"/>
        <v>8</v>
      </c>
      <c r="I2">
        <f t="shared" si="0"/>
        <v>8</v>
      </c>
      <c r="J2">
        <f t="shared" si="0"/>
        <v>10</v>
      </c>
      <c r="K2">
        <f t="shared" si="0"/>
        <v>37</v>
      </c>
      <c r="L2">
        <f t="shared" si="0"/>
        <v>51</v>
      </c>
      <c r="M2">
        <f t="shared" si="0"/>
        <v>51</v>
      </c>
      <c r="N2">
        <f t="shared" si="0"/>
        <v>59</v>
      </c>
      <c r="O2">
        <f t="shared" si="0"/>
        <v>61</v>
      </c>
      <c r="P2">
        <f t="shared" si="0"/>
        <v>111</v>
      </c>
      <c r="Q2">
        <f t="shared" si="0"/>
        <v>144</v>
      </c>
      <c r="R2">
        <f t="shared" si="0"/>
        <v>223</v>
      </c>
      <c r="S2">
        <f t="shared" si="0"/>
        <v>210</v>
      </c>
      <c r="T2">
        <f t="shared" si="0"/>
        <v>162</v>
      </c>
      <c r="U2">
        <f t="shared" si="0"/>
        <v>254</v>
      </c>
      <c r="V2">
        <f t="shared" si="0"/>
        <v>159</v>
      </c>
      <c r="W2">
        <f t="shared" si="0"/>
        <v>250</v>
      </c>
      <c r="X2">
        <f t="shared" si="0"/>
        <v>242</v>
      </c>
      <c r="Y2">
        <f t="shared" si="0"/>
        <v>191</v>
      </c>
      <c r="Z2">
        <f t="shared" si="0"/>
        <v>183</v>
      </c>
      <c r="AA2">
        <f t="shared" si="0"/>
        <v>161</v>
      </c>
      <c r="AB2">
        <f t="shared" si="0"/>
        <v>176</v>
      </c>
      <c r="AC2">
        <f t="shared" si="0"/>
        <v>166</v>
      </c>
      <c r="AD2">
        <f t="shared" si="0"/>
        <v>176</v>
      </c>
      <c r="AE2">
        <f t="shared" si="0"/>
        <v>164</v>
      </c>
      <c r="AF2">
        <f t="shared" si="0"/>
        <v>193</v>
      </c>
      <c r="AG2">
        <f t="shared" si="0"/>
        <v>187</v>
      </c>
      <c r="AH2">
        <f t="shared" si="0"/>
        <v>200</v>
      </c>
      <c r="AI2">
        <f t="shared" si="0"/>
        <v>217</v>
      </c>
      <c r="AJ2">
        <f t="shared" si="0"/>
        <v>250</v>
      </c>
      <c r="AK2">
        <f t="shared" si="0"/>
        <v>248</v>
      </c>
      <c r="AL2">
        <f t="shared" si="0"/>
        <v>246</v>
      </c>
      <c r="AM2">
        <f t="shared" si="0"/>
        <v>190</v>
      </c>
      <c r="AN2">
        <f t="shared" si="0"/>
        <v>184</v>
      </c>
      <c r="AO2">
        <f t="shared" si="0"/>
        <v>165</v>
      </c>
      <c r="AP2">
        <f t="shared" si="0"/>
        <v>123</v>
      </c>
      <c r="AQ2">
        <f t="shared" si="0"/>
        <v>109</v>
      </c>
      <c r="AR2">
        <f t="shared" si="0"/>
        <v>81</v>
      </c>
      <c r="AS2">
        <f t="shared" si="0"/>
        <v>71</v>
      </c>
      <c r="AT2">
        <f t="shared" si="0"/>
        <v>40</v>
      </c>
      <c r="AU2">
        <f t="shared" si="0"/>
        <v>18</v>
      </c>
      <c r="AV2">
        <f t="shared" si="0"/>
        <v>10</v>
      </c>
      <c r="AW2">
        <f t="shared" si="0"/>
        <v>20</v>
      </c>
      <c r="AX2">
        <f t="shared" si="0"/>
        <v>0</v>
      </c>
      <c r="AY2">
        <f t="shared" si="0"/>
        <v>0</v>
      </c>
    </row>
    <row r="3" spans="1:51" x14ac:dyDescent="0.25">
      <c r="A3" t="s">
        <v>384</v>
      </c>
      <c r="B3" t="str">
        <f>OFERTA!$G$12</f>
        <v>High Performance 7kW Split 1f</v>
      </c>
      <c r="C3" s="132">
        <f>_xlfn.XLOOKUP($B3,BAZA_PC[MODEL],BAZA_PC[-20],0)</f>
        <v>5.5062499999999996</v>
      </c>
      <c r="D3" s="132">
        <f>($F3-$C3)*($C$1-D$1)/($C$1-$F$1)+$C3</f>
        <v>5.5625</v>
      </c>
      <c r="E3" s="132">
        <f>($F3-$C3)*($C$1-E$1)/($C$1-$F$1)+$C3</f>
        <v>5.5812499999999998</v>
      </c>
      <c r="F3" s="132">
        <f>_xlfn.XLOOKUP($B3,BAZA_PC[MODEL],BAZA_PC[-15],0)</f>
        <v>5.6</v>
      </c>
      <c r="G3" s="132">
        <f>($N3-$F3)*($F$1-G$1)/($F$1-$N$1)+$F3</f>
        <v>5.6187499999999995</v>
      </c>
      <c r="H3" s="132">
        <f t="shared" ref="H3:M4" si="1">($N3-$F3)*($F$1-H$1)/($F$1-$N$1)+$F3</f>
        <v>5.6374999999999993</v>
      </c>
      <c r="I3" s="132">
        <f t="shared" si="1"/>
        <v>5.65625</v>
      </c>
      <c r="J3" s="132">
        <f t="shared" si="1"/>
        <v>5.6749999999999998</v>
      </c>
      <c r="K3" s="132">
        <f t="shared" si="1"/>
        <v>5.6937499999999996</v>
      </c>
      <c r="L3" s="132">
        <f t="shared" si="1"/>
        <v>5.7125000000000004</v>
      </c>
      <c r="M3" s="132">
        <f t="shared" si="1"/>
        <v>5.7312500000000002</v>
      </c>
      <c r="N3" s="132">
        <f>_xlfn.XLOOKUP($B3,BAZA_PC[MODEL],BAZA_PC[-7],0)</f>
        <v>5.75</v>
      </c>
      <c r="O3" s="132">
        <f>($S3-$N3)*($N$1-O$1)/($N$1-$S$1)+$N3</f>
        <v>5.8722222222222218</v>
      </c>
      <c r="P3" s="132">
        <f t="shared" ref="P3:R4" si="2">($S3-$N3)*($N$1-P$1)/($N$1-$S$1)+$N3</f>
        <v>5.9944444444444445</v>
      </c>
      <c r="Q3" s="132">
        <f t="shared" si="2"/>
        <v>6.1166666666666663</v>
      </c>
      <c r="R3" s="132">
        <f t="shared" si="2"/>
        <v>6.2388888888888889</v>
      </c>
      <c r="S3" s="132">
        <f>_xlfn.XLOOKUP($B3,BAZA_PC[MODEL],BAZA_PC[-2],0)</f>
        <v>6.3611111111111107</v>
      </c>
      <c r="T3" s="132">
        <f>($W3-$S3)*($S$1-T$1)/($S$1-$W$1)+$S3</f>
        <v>6.4833333333333325</v>
      </c>
      <c r="U3" s="132">
        <f t="shared" ref="U3:V4" si="3">($W3-$S3)*($S$1-U$1)/($S$1-$W$1)+$S3</f>
        <v>6.6055555555555552</v>
      </c>
      <c r="V3" s="132">
        <f t="shared" si="3"/>
        <v>6.7277777777777779</v>
      </c>
      <c r="W3" s="132">
        <f>_xlfn.XLOOKUP($B3,BAZA_PC[MODEL],BAZA_PC[2],0)</f>
        <v>6.85</v>
      </c>
      <c r="X3" s="132">
        <f>($AB3-$W3)*($W$1-X$1)/($W$1-$AB$1)+$W3</f>
        <v>6.88</v>
      </c>
      <c r="Y3" s="132">
        <f t="shared" ref="Y3:AA4" si="4">($AB3-$W3)*($W$1-Y$1)/($W$1-$AB$1)+$W3</f>
        <v>6.91</v>
      </c>
      <c r="Z3" s="132">
        <f t="shared" si="4"/>
        <v>6.9399999999999995</v>
      </c>
      <c r="AA3" s="132">
        <f t="shared" si="4"/>
        <v>6.97</v>
      </c>
      <c r="AB3" s="132">
        <f>_xlfn.XLOOKUP($B3,BAZA_PC[MODEL],BAZA_PC[7],0)</f>
        <v>7</v>
      </c>
      <c r="AC3" s="132">
        <f>($AG3-$AB3)*($AB$1-AC$1)/($AB$1-$AG$1)+$AB3</f>
        <v>7</v>
      </c>
      <c r="AD3" s="132">
        <f t="shared" ref="AD3:AF4" si="5">($AG3-$AB3)*($AB$1-AD$1)/($AB$1-$AG$1)+$AB3</f>
        <v>7</v>
      </c>
      <c r="AE3" s="132">
        <f t="shared" si="5"/>
        <v>7</v>
      </c>
      <c r="AF3" s="132">
        <f t="shared" si="5"/>
        <v>7</v>
      </c>
      <c r="AG3" s="132">
        <f>_xlfn.XLOOKUP($B3,BAZA_PC[MODEL],BAZA_PC[12],0)</f>
        <v>7</v>
      </c>
      <c r="AH3" s="132">
        <f>($AJ3-$AG3)*($AG$1-AH$1)/($AG$1-$AJ$1)+$AG3</f>
        <v>7</v>
      </c>
      <c r="AI3" s="132">
        <f>($AJ3-$AG3)*($AG$1-AI$1)/($AG$1-$AJ$1)+$AG3</f>
        <v>7</v>
      </c>
      <c r="AJ3" s="132">
        <f>_xlfn.XLOOKUP($B3,BAZA_PC[MODEL],BAZA_PC[15],0)</f>
        <v>7</v>
      </c>
      <c r="AK3" s="132">
        <f>($AO3-$AJ3)*($AJ$1-AK$1)/($AJ$1-$AO$1)+$AJ3</f>
        <v>7</v>
      </c>
      <c r="AL3" s="132">
        <f t="shared" ref="AL3:AN4" si="6">($AO3-$AJ3)*($AJ$1-AL$1)/($AJ$1-$AO$1)+$AJ3</f>
        <v>7</v>
      </c>
      <c r="AM3" s="132">
        <f t="shared" si="6"/>
        <v>7</v>
      </c>
      <c r="AN3" s="132">
        <f t="shared" si="6"/>
        <v>7</v>
      </c>
      <c r="AO3" s="132">
        <f>_xlfn.XLOOKUP($B3,BAZA_PC[MODEL],BAZA_PC[20],0)</f>
        <v>7</v>
      </c>
      <c r="AP3" s="132">
        <f>AO3</f>
        <v>7</v>
      </c>
      <c r="AQ3" s="132">
        <f t="shared" ref="AQ3:AY4" si="7">AP3</f>
        <v>7</v>
      </c>
      <c r="AR3" s="132">
        <f t="shared" si="7"/>
        <v>7</v>
      </c>
      <c r="AS3" s="132">
        <f t="shared" si="7"/>
        <v>7</v>
      </c>
      <c r="AT3" s="132">
        <f t="shared" si="7"/>
        <v>7</v>
      </c>
      <c r="AU3" s="132">
        <f t="shared" si="7"/>
        <v>7</v>
      </c>
      <c r="AV3" s="132">
        <f t="shared" si="7"/>
        <v>7</v>
      </c>
      <c r="AW3" s="132">
        <f t="shared" si="7"/>
        <v>7</v>
      </c>
      <c r="AX3" s="132">
        <f t="shared" si="7"/>
        <v>7</v>
      </c>
      <c r="AY3" s="132">
        <f t="shared" si="7"/>
        <v>7</v>
      </c>
    </row>
    <row r="4" spans="1:51" x14ac:dyDescent="0.25">
      <c r="A4" t="s">
        <v>385</v>
      </c>
      <c r="B4" t="str">
        <f>[1]Schemat!X6</f>
        <v>-</v>
      </c>
      <c r="C4" s="132">
        <f>_xlfn.XLOOKUP($B4,BAZA_PC[MODEL],BAZA_PC[-20],0)</f>
        <v>0</v>
      </c>
      <c r="D4" s="132">
        <f>($F4-$C4)*($C$1-D$1)/($C$1-$F$1)+$C4</f>
        <v>0</v>
      </c>
      <c r="E4" s="132">
        <f>($F4-$C4)*($C$1-E$1)/($C$1-$F$1)+$C4</f>
        <v>0</v>
      </c>
      <c r="F4" s="132">
        <f>_xlfn.XLOOKUP($B4,BAZA_PC[MODEL],BAZA_PC[-15],0)</f>
        <v>0</v>
      </c>
      <c r="G4" s="132">
        <f>($N4-$F4)*($F$1-G$1)/($F$1-$N$1)+$F4</f>
        <v>0</v>
      </c>
      <c r="H4" s="132">
        <f t="shared" si="1"/>
        <v>0</v>
      </c>
      <c r="I4" s="132">
        <f t="shared" si="1"/>
        <v>0</v>
      </c>
      <c r="J4" s="132">
        <f t="shared" si="1"/>
        <v>0</v>
      </c>
      <c r="K4" s="132">
        <f t="shared" si="1"/>
        <v>0</v>
      </c>
      <c r="L4" s="132">
        <f t="shared" si="1"/>
        <v>0</v>
      </c>
      <c r="M4" s="132">
        <f t="shared" si="1"/>
        <v>0</v>
      </c>
      <c r="N4" s="132">
        <f>_xlfn.XLOOKUP($B4,BAZA_PC[MODEL],BAZA_PC[-7],0)</f>
        <v>0</v>
      </c>
      <c r="O4" s="132">
        <f>($S4-$N4)*($N$1-O$1)/($N$1-$S$1)+$N4</f>
        <v>0</v>
      </c>
      <c r="P4" s="132">
        <f t="shared" si="2"/>
        <v>0</v>
      </c>
      <c r="Q4" s="132">
        <f t="shared" si="2"/>
        <v>0</v>
      </c>
      <c r="R4" s="132">
        <f t="shared" si="2"/>
        <v>0</v>
      </c>
      <c r="S4" s="132">
        <f>_xlfn.XLOOKUP($B4,BAZA_PC[MODEL],BAZA_PC[-2],0)</f>
        <v>0</v>
      </c>
      <c r="T4" s="132">
        <f>($W4-$S4)*($S$1-T$1)/($S$1-$W$1)+$S4</f>
        <v>0</v>
      </c>
      <c r="U4" s="132">
        <f t="shared" si="3"/>
        <v>0</v>
      </c>
      <c r="V4" s="132">
        <f t="shared" si="3"/>
        <v>0</v>
      </c>
      <c r="W4" s="132">
        <f>_xlfn.XLOOKUP($B4,BAZA_PC[MODEL],BAZA_PC[2],0)</f>
        <v>0</v>
      </c>
      <c r="X4" s="132">
        <f>($AB4-$W4)*($W$1-X$1)/($W$1-$AB$1)+$W4</f>
        <v>0</v>
      </c>
      <c r="Y4" s="132">
        <f t="shared" si="4"/>
        <v>0</v>
      </c>
      <c r="Z4" s="132">
        <f t="shared" si="4"/>
        <v>0</v>
      </c>
      <c r="AA4" s="132">
        <f t="shared" si="4"/>
        <v>0</v>
      </c>
      <c r="AB4" s="132">
        <f>_xlfn.XLOOKUP($B4,BAZA_PC[MODEL],BAZA_PC[7],0)</f>
        <v>0</v>
      </c>
      <c r="AC4" s="132">
        <f>($AG4-$AB4)*($AB$1-AC$1)/($AB$1-$AG$1)+$AB4</f>
        <v>0</v>
      </c>
      <c r="AD4" s="132">
        <f t="shared" si="5"/>
        <v>0</v>
      </c>
      <c r="AE4" s="132">
        <f t="shared" si="5"/>
        <v>0</v>
      </c>
      <c r="AF4" s="132">
        <f t="shared" si="5"/>
        <v>0</v>
      </c>
      <c r="AG4" s="132">
        <f>_xlfn.XLOOKUP($B4,BAZA_PC[MODEL],BAZA_PC[12],0)</f>
        <v>0</v>
      </c>
      <c r="AH4" s="132">
        <f>($AJ4-$AG4)*($AG$1-AH$1)/($AG$1-$AJ$1)+$AG4</f>
        <v>0</v>
      </c>
      <c r="AI4" s="132">
        <f>($AJ4-$AG4)*($AG$1-AI$1)/($AG$1-$AJ$1)+$AG4</f>
        <v>0</v>
      </c>
      <c r="AJ4" s="132">
        <f>_xlfn.XLOOKUP($B4,BAZA_PC[MODEL],BAZA_PC[15],0)</f>
        <v>0</v>
      </c>
      <c r="AK4" s="132">
        <f>($AO4-$AJ4)*($AJ$1-AK$1)/($AJ$1-$AO$1)+$AJ4</f>
        <v>0</v>
      </c>
      <c r="AL4" s="132">
        <f t="shared" si="6"/>
        <v>0</v>
      </c>
      <c r="AM4" s="132">
        <f t="shared" si="6"/>
        <v>0</v>
      </c>
      <c r="AN4" s="132">
        <f t="shared" si="6"/>
        <v>0</v>
      </c>
      <c r="AO4" s="132">
        <f>_xlfn.XLOOKUP($B4,BAZA_PC[MODEL],BAZA_PC[20],0)</f>
        <v>0</v>
      </c>
      <c r="AP4" s="132">
        <f>AO4</f>
        <v>0</v>
      </c>
      <c r="AQ4" s="132">
        <f t="shared" si="7"/>
        <v>0</v>
      </c>
      <c r="AR4" s="132">
        <f t="shared" si="7"/>
        <v>0</v>
      </c>
      <c r="AS4" s="132">
        <f t="shared" si="7"/>
        <v>0</v>
      </c>
      <c r="AT4" s="132">
        <f t="shared" si="7"/>
        <v>0</v>
      </c>
      <c r="AU4" s="132">
        <f t="shared" si="7"/>
        <v>0</v>
      </c>
      <c r="AV4" s="132">
        <f t="shared" si="7"/>
        <v>0</v>
      </c>
      <c r="AW4" s="132">
        <f t="shared" si="7"/>
        <v>0</v>
      </c>
      <c r="AX4" s="132">
        <f t="shared" si="7"/>
        <v>0</v>
      </c>
      <c r="AY4" s="132">
        <f t="shared" si="7"/>
        <v>0</v>
      </c>
    </row>
    <row r="5" spans="1:51" x14ac:dyDescent="0.25">
      <c r="A5" t="s">
        <v>386</v>
      </c>
      <c r="B5">
        <f>_xlfn.XLOOKUP($B3,BAZA_PC[MODEL],BAZA_PC[GRZAŁKA])</f>
        <v>3</v>
      </c>
      <c r="C5">
        <f>$B$5</f>
        <v>3</v>
      </c>
      <c r="D5">
        <f t="shared" ref="D5:AY5" si="8">$B$5</f>
        <v>3</v>
      </c>
      <c r="E5">
        <f t="shared" si="8"/>
        <v>3</v>
      </c>
      <c r="F5">
        <f t="shared" si="8"/>
        <v>3</v>
      </c>
      <c r="G5">
        <f t="shared" si="8"/>
        <v>3</v>
      </c>
      <c r="H5">
        <f t="shared" si="8"/>
        <v>3</v>
      </c>
      <c r="I5">
        <f t="shared" si="8"/>
        <v>3</v>
      </c>
      <c r="J5">
        <f t="shared" si="8"/>
        <v>3</v>
      </c>
      <c r="K5">
        <f t="shared" si="8"/>
        <v>3</v>
      </c>
      <c r="L5">
        <f t="shared" si="8"/>
        <v>3</v>
      </c>
      <c r="M5">
        <f t="shared" si="8"/>
        <v>3</v>
      </c>
      <c r="N5">
        <f t="shared" si="8"/>
        <v>3</v>
      </c>
      <c r="O5">
        <f t="shared" si="8"/>
        <v>3</v>
      </c>
      <c r="P5">
        <f t="shared" si="8"/>
        <v>3</v>
      </c>
      <c r="Q5">
        <f t="shared" si="8"/>
        <v>3</v>
      </c>
      <c r="R5">
        <f t="shared" si="8"/>
        <v>3</v>
      </c>
      <c r="S5">
        <f t="shared" si="8"/>
        <v>3</v>
      </c>
      <c r="T5">
        <f t="shared" si="8"/>
        <v>3</v>
      </c>
      <c r="U5">
        <f t="shared" si="8"/>
        <v>3</v>
      </c>
      <c r="V5">
        <f t="shared" si="8"/>
        <v>3</v>
      </c>
      <c r="W5">
        <f t="shared" si="8"/>
        <v>3</v>
      </c>
      <c r="X5">
        <f t="shared" si="8"/>
        <v>3</v>
      </c>
      <c r="Y5">
        <f t="shared" si="8"/>
        <v>3</v>
      </c>
      <c r="Z5">
        <f t="shared" si="8"/>
        <v>3</v>
      </c>
      <c r="AA5">
        <f t="shared" si="8"/>
        <v>3</v>
      </c>
      <c r="AB5">
        <f t="shared" si="8"/>
        <v>3</v>
      </c>
      <c r="AC5">
        <f t="shared" si="8"/>
        <v>3</v>
      </c>
      <c r="AD5">
        <f t="shared" si="8"/>
        <v>3</v>
      </c>
      <c r="AE5">
        <f t="shared" si="8"/>
        <v>3</v>
      </c>
      <c r="AF5">
        <f t="shared" si="8"/>
        <v>3</v>
      </c>
      <c r="AG5">
        <f t="shared" si="8"/>
        <v>3</v>
      </c>
      <c r="AH5">
        <f t="shared" si="8"/>
        <v>3</v>
      </c>
      <c r="AI5">
        <f t="shared" si="8"/>
        <v>3</v>
      </c>
      <c r="AJ5">
        <f t="shared" si="8"/>
        <v>3</v>
      </c>
      <c r="AK5">
        <f t="shared" si="8"/>
        <v>3</v>
      </c>
      <c r="AL5">
        <f t="shared" si="8"/>
        <v>3</v>
      </c>
      <c r="AM5">
        <f t="shared" si="8"/>
        <v>3</v>
      </c>
      <c r="AN5">
        <f t="shared" si="8"/>
        <v>3</v>
      </c>
      <c r="AO5">
        <f t="shared" si="8"/>
        <v>3</v>
      </c>
      <c r="AP5">
        <f t="shared" si="8"/>
        <v>3</v>
      </c>
      <c r="AQ5">
        <f t="shared" si="8"/>
        <v>3</v>
      </c>
      <c r="AR5">
        <f t="shared" si="8"/>
        <v>3</v>
      </c>
      <c r="AS5">
        <f t="shared" si="8"/>
        <v>3</v>
      </c>
      <c r="AT5">
        <f t="shared" si="8"/>
        <v>3</v>
      </c>
      <c r="AU5">
        <f t="shared" si="8"/>
        <v>3</v>
      </c>
      <c r="AV5">
        <f t="shared" si="8"/>
        <v>3</v>
      </c>
      <c r="AW5">
        <f t="shared" si="8"/>
        <v>3</v>
      </c>
      <c r="AX5">
        <f t="shared" si="8"/>
        <v>3</v>
      </c>
      <c r="AY5">
        <f t="shared" si="8"/>
        <v>3</v>
      </c>
    </row>
    <row r="6" spans="1:51" x14ac:dyDescent="0.25">
      <c r="A6" t="s">
        <v>387</v>
      </c>
      <c r="B6">
        <f>_xlfn.XLOOKUP($B4,BAZA_PC[MODEL],BAZA_PC[GRZAŁKA],0)</f>
        <v>0</v>
      </c>
      <c r="C6">
        <f>$B$6</f>
        <v>0</v>
      </c>
      <c r="D6">
        <f t="shared" ref="D6:AY6" si="9">$B$6</f>
        <v>0</v>
      </c>
      <c r="E6">
        <f t="shared" si="9"/>
        <v>0</v>
      </c>
      <c r="F6">
        <f t="shared" si="9"/>
        <v>0</v>
      </c>
      <c r="G6">
        <f t="shared" si="9"/>
        <v>0</v>
      </c>
      <c r="H6">
        <f t="shared" si="9"/>
        <v>0</v>
      </c>
      <c r="I6">
        <f t="shared" si="9"/>
        <v>0</v>
      </c>
      <c r="J6">
        <f t="shared" si="9"/>
        <v>0</v>
      </c>
      <c r="K6">
        <f t="shared" si="9"/>
        <v>0</v>
      </c>
      <c r="L6">
        <f t="shared" si="9"/>
        <v>0</v>
      </c>
      <c r="M6">
        <f t="shared" si="9"/>
        <v>0</v>
      </c>
      <c r="N6">
        <f t="shared" si="9"/>
        <v>0</v>
      </c>
      <c r="O6">
        <f t="shared" si="9"/>
        <v>0</v>
      </c>
      <c r="P6">
        <f t="shared" si="9"/>
        <v>0</v>
      </c>
      <c r="Q6">
        <f t="shared" si="9"/>
        <v>0</v>
      </c>
      <c r="R6">
        <f t="shared" si="9"/>
        <v>0</v>
      </c>
      <c r="S6">
        <f t="shared" si="9"/>
        <v>0</v>
      </c>
      <c r="T6">
        <f t="shared" si="9"/>
        <v>0</v>
      </c>
      <c r="U6">
        <f t="shared" si="9"/>
        <v>0</v>
      </c>
      <c r="V6">
        <f t="shared" si="9"/>
        <v>0</v>
      </c>
      <c r="W6">
        <f t="shared" si="9"/>
        <v>0</v>
      </c>
      <c r="X6">
        <f t="shared" si="9"/>
        <v>0</v>
      </c>
      <c r="Y6">
        <f t="shared" si="9"/>
        <v>0</v>
      </c>
      <c r="Z6">
        <f t="shared" si="9"/>
        <v>0</v>
      </c>
      <c r="AA6">
        <f t="shared" si="9"/>
        <v>0</v>
      </c>
      <c r="AB6">
        <f t="shared" si="9"/>
        <v>0</v>
      </c>
      <c r="AC6">
        <f t="shared" si="9"/>
        <v>0</v>
      </c>
      <c r="AD6">
        <f t="shared" si="9"/>
        <v>0</v>
      </c>
      <c r="AE6">
        <f t="shared" si="9"/>
        <v>0</v>
      </c>
      <c r="AF6">
        <f t="shared" si="9"/>
        <v>0</v>
      </c>
      <c r="AG6">
        <f t="shared" si="9"/>
        <v>0</v>
      </c>
      <c r="AH6">
        <f t="shared" si="9"/>
        <v>0</v>
      </c>
      <c r="AI6">
        <f t="shared" si="9"/>
        <v>0</v>
      </c>
      <c r="AJ6">
        <f t="shared" si="9"/>
        <v>0</v>
      </c>
      <c r="AK6">
        <f t="shared" si="9"/>
        <v>0</v>
      </c>
      <c r="AL6">
        <f t="shared" si="9"/>
        <v>0</v>
      </c>
      <c r="AM6">
        <f t="shared" si="9"/>
        <v>0</v>
      </c>
      <c r="AN6">
        <f t="shared" si="9"/>
        <v>0</v>
      </c>
      <c r="AO6">
        <f t="shared" si="9"/>
        <v>0</v>
      </c>
      <c r="AP6">
        <f t="shared" si="9"/>
        <v>0</v>
      </c>
      <c r="AQ6">
        <f t="shared" si="9"/>
        <v>0</v>
      </c>
      <c r="AR6">
        <f t="shared" si="9"/>
        <v>0</v>
      </c>
      <c r="AS6">
        <f t="shared" si="9"/>
        <v>0</v>
      </c>
      <c r="AT6">
        <f t="shared" si="9"/>
        <v>0</v>
      </c>
      <c r="AU6">
        <f t="shared" si="9"/>
        <v>0</v>
      </c>
      <c r="AV6">
        <f t="shared" si="9"/>
        <v>0</v>
      </c>
      <c r="AW6">
        <f t="shared" si="9"/>
        <v>0</v>
      </c>
      <c r="AX6">
        <f t="shared" si="9"/>
        <v>0</v>
      </c>
      <c r="AY6">
        <f t="shared" si="9"/>
        <v>0</v>
      </c>
    </row>
    <row r="7" spans="1:51" x14ac:dyDescent="0.25">
      <c r="A7" t="s">
        <v>388</v>
      </c>
      <c r="C7" s="132">
        <f>SUM(C3:C4)</f>
        <v>5.5062499999999996</v>
      </c>
      <c r="D7" s="132">
        <f t="shared" ref="D7:AY7" si="10">SUM(D3:D4)</f>
        <v>5.5625</v>
      </c>
      <c r="E7" s="132">
        <f t="shared" si="10"/>
        <v>5.5812499999999998</v>
      </c>
      <c r="F7" s="132">
        <f t="shared" si="10"/>
        <v>5.6</v>
      </c>
      <c r="G7" s="132">
        <f t="shared" si="10"/>
        <v>5.6187499999999995</v>
      </c>
      <c r="H7" s="132">
        <f t="shared" si="10"/>
        <v>5.6374999999999993</v>
      </c>
      <c r="I7" s="132">
        <f t="shared" si="10"/>
        <v>5.65625</v>
      </c>
      <c r="J7" s="132">
        <f t="shared" si="10"/>
        <v>5.6749999999999998</v>
      </c>
      <c r="K7" s="132">
        <f t="shared" si="10"/>
        <v>5.6937499999999996</v>
      </c>
      <c r="L7" s="132">
        <f t="shared" si="10"/>
        <v>5.7125000000000004</v>
      </c>
      <c r="M7" s="132">
        <f t="shared" si="10"/>
        <v>5.7312500000000002</v>
      </c>
      <c r="N7" s="132">
        <f t="shared" si="10"/>
        <v>5.75</v>
      </c>
      <c r="O7" s="132">
        <f t="shared" si="10"/>
        <v>5.8722222222222218</v>
      </c>
      <c r="P7" s="132">
        <f t="shared" si="10"/>
        <v>5.9944444444444445</v>
      </c>
      <c r="Q7" s="132">
        <f t="shared" si="10"/>
        <v>6.1166666666666663</v>
      </c>
      <c r="R7" s="132">
        <f t="shared" si="10"/>
        <v>6.2388888888888889</v>
      </c>
      <c r="S7" s="132">
        <f t="shared" si="10"/>
        <v>6.3611111111111107</v>
      </c>
      <c r="T7" s="132">
        <f t="shared" si="10"/>
        <v>6.4833333333333325</v>
      </c>
      <c r="U7" s="132">
        <f t="shared" si="10"/>
        <v>6.6055555555555552</v>
      </c>
      <c r="V7" s="132">
        <f t="shared" si="10"/>
        <v>6.7277777777777779</v>
      </c>
      <c r="W7" s="132">
        <f t="shared" si="10"/>
        <v>6.85</v>
      </c>
      <c r="X7" s="132">
        <f t="shared" si="10"/>
        <v>6.88</v>
      </c>
      <c r="Y7" s="132">
        <f t="shared" si="10"/>
        <v>6.91</v>
      </c>
      <c r="Z7" s="132">
        <f t="shared" si="10"/>
        <v>6.9399999999999995</v>
      </c>
      <c r="AA7" s="132">
        <f t="shared" si="10"/>
        <v>6.97</v>
      </c>
      <c r="AB7" s="132">
        <f t="shared" si="10"/>
        <v>7</v>
      </c>
      <c r="AC7" s="132">
        <f t="shared" si="10"/>
        <v>7</v>
      </c>
      <c r="AD7" s="132">
        <f t="shared" si="10"/>
        <v>7</v>
      </c>
      <c r="AE7" s="132">
        <f t="shared" si="10"/>
        <v>7</v>
      </c>
      <c r="AF7" s="132">
        <f t="shared" si="10"/>
        <v>7</v>
      </c>
      <c r="AG7" s="132">
        <f t="shared" si="10"/>
        <v>7</v>
      </c>
      <c r="AH7" s="132">
        <f t="shared" si="10"/>
        <v>7</v>
      </c>
      <c r="AI7" s="132">
        <f t="shared" si="10"/>
        <v>7</v>
      </c>
      <c r="AJ7" s="132">
        <f t="shared" si="10"/>
        <v>7</v>
      </c>
      <c r="AK7" s="132">
        <f t="shared" si="10"/>
        <v>7</v>
      </c>
      <c r="AL7" s="132">
        <f t="shared" si="10"/>
        <v>7</v>
      </c>
      <c r="AM7" s="132">
        <f t="shared" si="10"/>
        <v>7</v>
      </c>
      <c r="AN7" s="132">
        <f t="shared" si="10"/>
        <v>7</v>
      </c>
      <c r="AO7" s="132">
        <f t="shared" si="10"/>
        <v>7</v>
      </c>
      <c r="AP7" s="132">
        <f t="shared" si="10"/>
        <v>7</v>
      </c>
      <c r="AQ7" s="132">
        <f t="shared" si="10"/>
        <v>7</v>
      </c>
      <c r="AR7" s="132">
        <f t="shared" si="10"/>
        <v>7</v>
      </c>
      <c r="AS7" s="132">
        <f t="shared" si="10"/>
        <v>7</v>
      </c>
      <c r="AT7" s="132">
        <f t="shared" si="10"/>
        <v>7</v>
      </c>
      <c r="AU7" s="132">
        <f t="shared" si="10"/>
        <v>7</v>
      </c>
      <c r="AV7" s="132">
        <f t="shared" si="10"/>
        <v>7</v>
      </c>
      <c r="AW7" s="132">
        <f t="shared" si="10"/>
        <v>7</v>
      </c>
      <c r="AX7" s="132">
        <f t="shared" si="10"/>
        <v>7</v>
      </c>
      <c r="AY7" s="132">
        <f t="shared" si="10"/>
        <v>7</v>
      </c>
    </row>
    <row r="8" spans="1:51" x14ac:dyDescent="0.25">
      <c r="A8" t="s">
        <v>389</v>
      </c>
      <c r="C8" s="132">
        <f>SUM(C3:C6)</f>
        <v>8.5062499999999996</v>
      </c>
      <c r="D8" s="132">
        <f t="shared" ref="D8:AY8" si="11">SUM(D3:D6)</f>
        <v>8.5625</v>
      </c>
      <c r="E8" s="132">
        <f t="shared" si="11"/>
        <v>8.5812500000000007</v>
      </c>
      <c r="F8" s="132">
        <f t="shared" si="11"/>
        <v>8.6</v>
      </c>
      <c r="G8" s="132">
        <f t="shared" si="11"/>
        <v>8.6187499999999986</v>
      </c>
      <c r="H8" s="132">
        <f t="shared" si="11"/>
        <v>8.6374999999999993</v>
      </c>
      <c r="I8" s="132">
        <f t="shared" si="11"/>
        <v>8.65625</v>
      </c>
      <c r="J8" s="132">
        <f t="shared" si="11"/>
        <v>8.6750000000000007</v>
      </c>
      <c r="K8" s="132">
        <f t="shared" si="11"/>
        <v>8.6937499999999996</v>
      </c>
      <c r="L8" s="132">
        <f t="shared" si="11"/>
        <v>8.7125000000000004</v>
      </c>
      <c r="M8" s="132">
        <f t="shared" si="11"/>
        <v>8.7312499999999993</v>
      </c>
      <c r="N8" s="132">
        <f t="shared" si="11"/>
        <v>8.75</v>
      </c>
      <c r="O8" s="132">
        <f t="shared" si="11"/>
        <v>8.8722222222222218</v>
      </c>
      <c r="P8" s="132">
        <f t="shared" si="11"/>
        <v>8.9944444444444436</v>
      </c>
      <c r="Q8" s="132">
        <f t="shared" si="11"/>
        <v>9.1166666666666671</v>
      </c>
      <c r="R8" s="132">
        <f t="shared" si="11"/>
        <v>9.2388888888888889</v>
      </c>
      <c r="S8" s="132">
        <f t="shared" si="11"/>
        <v>9.3611111111111107</v>
      </c>
      <c r="T8" s="132">
        <f t="shared" si="11"/>
        <v>9.4833333333333325</v>
      </c>
      <c r="U8" s="132">
        <f t="shared" si="11"/>
        <v>9.6055555555555543</v>
      </c>
      <c r="V8" s="132">
        <f t="shared" si="11"/>
        <v>9.7277777777777779</v>
      </c>
      <c r="W8" s="132">
        <f t="shared" si="11"/>
        <v>9.85</v>
      </c>
      <c r="X8" s="132">
        <f t="shared" si="11"/>
        <v>9.879999999999999</v>
      </c>
      <c r="Y8" s="132">
        <f t="shared" si="11"/>
        <v>9.91</v>
      </c>
      <c r="Z8" s="132">
        <f t="shared" si="11"/>
        <v>9.94</v>
      </c>
      <c r="AA8" s="132">
        <f t="shared" si="11"/>
        <v>9.9699999999999989</v>
      </c>
      <c r="AB8" s="132">
        <f t="shared" si="11"/>
        <v>10</v>
      </c>
      <c r="AC8" s="132">
        <f t="shared" si="11"/>
        <v>10</v>
      </c>
      <c r="AD8" s="132">
        <f t="shared" si="11"/>
        <v>10</v>
      </c>
      <c r="AE8" s="132">
        <f t="shared" si="11"/>
        <v>10</v>
      </c>
      <c r="AF8" s="132">
        <f t="shared" si="11"/>
        <v>10</v>
      </c>
      <c r="AG8" s="132">
        <f t="shared" si="11"/>
        <v>10</v>
      </c>
      <c r="AH8" s="132">
        <f t="shared" si="11"/>
        <v>10</v>
      </c>
      <c r="AI8" s="132">
        <f t="shared" si="11"/>
        <v>10</v>
      </c>
      <c r="AJ8" s="132">
        <f t="shared" si="11"/>
        <v>10</v>
      </c>
      <c r="AK8" s="132">
        <f t="shared" si="11"/>
        <v>10</v>
      </c>
      <c r="AL8" s="132">
        <f t="shared" si="11"/>
        <v>10</v>
      </c>
      <c r="AM8" s="132">
        <f t="shared" si="11"/>
        <v>10</v>
      </c>
      <c r="AN8" s="132">
        <f t="shared" si="11"/>
        <v>10</v>
      </c>
      <c r="AO8" s="132">
        <f t="shared" si="11"/>
        <v>10</v>
      </c>
      <c r="AP8" s="132">
        <f t="shared" si="11"/>
        <v>10</v>
      </c>
      <c r="AQ8" s="132">
        <f t="shared" si="11"/>
        <v>10</v>
      </c>
      <c r="AR8" s="132">
        <f t="shared" si="11"/>
        <v>10</v>
      </c>
      <c r="AS8" s="132">
        <f t="shared" si="11"/>
        <v>10</v>
      </c>
      <c r="AT8" s="132">
        <f t="shared" si="11"/>
        <v>10</v>
      </c>
      <c r="AU8" s="132">
        <f t="shared" si="11"/>
        <v>10</v>
      </c>
      <c r="AV8" s="132">
        <f t="shared" si="11"/>
        <v>10</v>
      </c>
      <c r="AW8" s="132">
        <f t="shared" si="11"/>
        <v>10</v>
      </c>
      <c r="AX8" s="132">
        <f t="shared" si="11"/>
        <v>10</v>
      </c>
      <c r="AY8" s="132">
        <f t="shared" si="11"/>
        <v>10</v>
      </c>
    </row>
    <row r="9" spans="1:51" x14ac:dyDescent="0.25">
      <c r="A9" t="s">
        <v>25</v>
      </c>
      <c r="C9" s="132">
        <f>BUDYNEK!$A$68</f>
        <v>0.5</v>
      </c>
      <c r="D9" s="132">
        <f>C9</f>
        <v>0.5</v>
      </c>
      <c r="E9" s="132">
        <f t="shared" ref="E9:AY9" si="12">D9</f>
        <v>0.5</v>
      </c>
      <c r="F9" s="132">
        <f t="shared" si="12"/>
        <v>0.5</v>
      </c>
      <c r="G9" s="132">
        <f t="shared" si="12"/>
        <v>0.5</v>
      </c>
      <c r="H9" s="132">
        <f t="shared" si="12"/>
        <v>0.5</v>
      </c>
      <c r="I9" s="132">
        <f t="shared" si="12"/>
        <v>0.5</v>
      </c>
      <c r="J9" s="132">
        <f t="shared" si="12"/>
        <v>0.5</v>
      </c>
      <c r="K9" s="132">
        <f t="shared" si="12"/>
        <v>0.5</v>
      </c>
      <c r="L9" s="132">
        <f t="shared" si="12"/>
        <v>0.5</v>
      </c>
      <c r="M9" s="132">
        <f t="shared" si="12"/>
        <v>0.5</v>
      </c>
      <c r="N9" s="132">
        <f t="shared" si="12"/>
        <v>0.5</v>
      </c>
      <c r="O9" s="132">
        <f t="shared" si="12"/>
        <v>0.5</v>
      </c>
      <c r="P9" s="132">
        <f t="shared" si="12"/>
        <v>0.5</v>
      </c>
      <c r="Q9" s="132">
        <f t="shared" si="12"/>
        <v>0.5</v>
      </c>
      <c r="R9" s="132">
        <f t="shared" si="12"/>
        <v>0.5</v>
      </c>
      <c r="S9" s="132">
        <f t="shared" si="12"/>
        <v>0.5</v>
      </c>
      <c r="T9" s="132">
        <f t="shared" si="12"/>
        <v>0.5</v>
      </c>
      <c r="U9" s="132">
        <f t="shared" si="12"/>
        <v>0.5</v>
      </c>
      <c r="V9" s="132">
        <f t="shared" si="12"/>
        <v>0.5</v>
      </c>
      <c r="W9" s="132">
        <f t="shared" si="12"/>
        <v>0.5</v>
      </c>
      <c r="X9" s="132">
        <f t="shared" si="12"/>
        <v>0.5</v>
      </c>
      <c r="Y9" s="132">
        <f t="shared" si="12"/>
        <v>0.5</v>
      </c>
      <c r="Z9" s="132">
        <f t="shared" si="12"/>
        <v>0.5</v>
      </c>
      <c r="AA9" s="132">
        <f t="shared" si="12"/>
        <v>0.5</v>
      </c>
      <c r="AB9" s="132">
        <f t="shared" si="12"/>
        <v>0.5</v>
      </c>
      <c r="AC9" s="132">
        <f t="shared" si="12"/>
        <v>0.5</v>
      </c>
      <c r="AD9" s="132">
        <f t="shared" si="12"/>
        <v>0.5</v>
      </c>
      <c r="AE9" s="132">
        <f t="shared" si="12"/>
        <v>0.5</v>
      </c>
      <c r="AF9" s="132">
        <f t="shared" si="12"/>
        <v>0.5</v>
      </c>
      <c r="AG9" s="132">
        <f t="shared" si="12"/>
        <v>0.5</v>
      </c>
      <c r="AH9" s="132">
        <f t="shared" si="12"/>
        <v>0.5</v>
      </c>
      <c r="AI9" s="132">
        <f t="shared" si="12"/>
        <v>0.5</v>
      </c>
      <c r="AJ9" s="132">
        <f t="shared" si="12"/>
        <v>0.5</v>
      </c>
      <c r="AK9" s="132">
        <f t="shared" si="12"/>
        <v>0.5</v>
      </c>
      <c r="AL9" s="132">
        <f t="shared" si="12"/>
        <v>0.5</v>
      </c>
      <c r="AM9" s="132">
        <f t="shared" si="12"/>
        <v>0.5</v>
      </c>
      <c r="AN9" s="132">
        <f t="shared" si="12"/>
        <v>0.5</v>
      </c>
      <c r="AO9" s="132">
        <f t="shared" si="12"/>
        <v>0.5</v>
      </c>
      <c r="AP9" s="132">
        <f t="shared" si="12"/>
        <v>0.5</v>
      </c>
      <c r="AQ9" s="132">
        <f t="shared" si="12"/>
        <v>0.5</v>
      </c>
      <c r="AR9" s="132">
        <f t="shared" si="12"/>
        <v>0.5</v>
      </c>
      <c r="AS9" s="132">
        <f t="shared" si="12"/>
        <v>0.5</v>
      </c>
      <c r="AT9" s="132">
        <f t="shared" si="12"/>
        <v>0.5</v>
      </c>
      <c r="AU9" s="132">
        <f t="shared" si="12"/>
        <v>0.5</v>
      </c>
      <c r="AV9" s="132">
        <f t="shared" si="12"/>
        <v>0.5</v>
      </c>
      <c r="AW9" s="132">
        <f t="shared" si="12"/>
        <v>0.5</v>
      </c>
      <c r="AX9" s="132">
        <f t="shared" si="12"/>
        <v>0.5</v>
      </c>
      <c r="AY9" s="132">
        <f t="shared" si="12"/>
        <v>0.5</v>
      </c>
    </row>
    <row r="10" spans="1:51" x14ac:dyDescent="0.25">
      <c r="A10" t="s">
        <v>390</v>
      </c>
      <c r="B10">
        <f>BUDYNEK!$P$41</f>
        <v>18</v>
      </c>
      <c r="C10">
        <f>D10</f>
        <v>4.5157314718667516</v>
      </c>
      <c r="D10" s="132">
        <f>OFERTA!$U$6</f>
        <v>4.5157314718667516</v>
      </c>
      <c r="E10" s="132">
        <f>IF($B$10&gt;=E1,$D$10-($D$10/($D$1*(-1)+$B$10+1)*($D$1*-1-E1*-1)),0)</f>
        <v>4.3902944865371198</v>
      </c>
      <c r="F10" s="132">
        <f t="shared" ref="F10:AY10" si="13">IF($B$10&gt;=F1,$D$10-($D$10/($D$1*(-1)+$B$10+1)*($D$1*-1-F1*-1)),0)</f>
        <v>4.2648575012074872</v>
      </c>
      <c r="G10" s="132">
        <f t="shared" si="13"/>
        <v>4.1394205158778554</v>
      </c>
      <c r="H10" s="132">
        <f t="shared" si="13"/>
        <v>4.0139835305482237</v>
      </c>
      <c r="I10" s="132">
        <f t="shared" si="13"/>
        <v>3.8885465452185919</v>
      </c>
      <c r="J10" s="132">
        <f t="shared" si="13"/>
        <v>3.7631095598889597</v>
      </c>
      <c r="K10" s="132">
        <f t="shared" si="13"/>
        <v>3.6376725745593275</v>
      </c>
      <c r="L10" s="132">
        <f t="shared" si="13"/>
        <v>3.5122355892296957</v>
      </c>
      <c r="M10" s="132">
        <f t="shared" si="13"/>
        <v>3.3867986039000639</v>
      </c>
      <c r="N10" s="132">
        <f t="shared" si="13"/>
        <v>3.2613616185704317</v>
      </c>
      <c r="O10" s="132">
        <f t="shared" si="13"/>
        <v>3.1359246332407995</v>
      </c>
      <c r="P10" s="132">
        <f t="shared" si="13"/>
        <v>3.0104876479111677</v>
      </c>
      <c r="Q10" s="132">
        <f t="shared" si="13"/>
        <v>2.885050662581536</v>
      </c>
      <c r="R10" s="132">
        <f t="shared" si="13"/>
        <v>2.7596136772519038</v>
      </c>
      <c r="S10" s="132">
        <f t="shared" si="13"/>
        <v>2.6341766919222716</v>
      </c>
      <c r="T10" s="132">
        <f t="shared" si="13"/>
        <v>2.5087397065926398</v>
      </c>
      <c r="U10" s="132">
        <f t="shared" si="13"/>
        <v>2.383302721263008</v>
      </c>
      <c r="V10" s="132">
        <f t="shared" si="13"/>
        <v>2.2578657359333758</v>
      </c>
      <c r="W10" s="132">
        <f t="shared" si="13"/>
        <v>2.1324287506037436</v>
      </c>
      <c r="X10" s="132">
        <f t="shared" si="13"/>
        <v>2.0069917652741118</v>
      </c>
      <c r="Y10" s="132">
        <f t="shared" si="13"/>
        <v>1.8815547799444801</v>
      </c>
      <c r="Z10" s="132">
        <f t="shared" si="13"/>
        <v>1.7561177946148478</v>
      </c>
      <c r="AA10" s="132">
        <f t="shared" si="13"/>
        <v>1.6306808092852156</v>
      </c>
      <c r="AB10" s="132">
        <f t="shared" si="13"/>
        <v>1.5052438239555839</v>
      </c>
      <c r="AC10" s="132">
        <f t="shared" si="13"/>
        <v>1.3798068386259521</v>
      </c>
      <c r="AD10" s="132">
        <f t="shared" si="13"/>
        <v>1.2543698532963199</v>
      </c>
      <c r="AE10" s="132">
        <f t="shared" si="13"/>
        <v>1.1289328679666877</v>
      </c>
      <c r="AF10" s="132">
        <f t="shared" si="13"/>
        <v>1.0034958826370559</v>
      </c>
      <c r="AG10" s="132">
        <f t="shared" si="13"/>
        <v>0.87805889730742415</v>
      </c>
      <c r="AH10" s="132">
        <f t="shared" si="13"/>
        <v>0.75262191197779194</v>
      </c>
      <c r="AI10" s="132">
        <f t="shared" si="13"/>
        <v>0.62718492664815972</v>
      </c>
      <c r="AJ10" s="132">
        <f t="shared" si="13"/>
        <v>0.50174794131852796</v>
      </c>
      <c r="AK10" s="132">
        <f t="shared" si="13"/>
        <v>0.37631095598889619</v>
      </c>
      <c r="AL10" s="132">
        <f t="shared" si="13"/>
        <v>0.25087397065926442</v>
      </c>
      <c r="AM10" s="132">
        <f t="shared" si="13"/>
        <v>0.12543698532963177</v>
      </c>
      <c r="AN10" s="132">
        <f t="shared" si="13"/>
        <v>0</v>
      </c>
      <c r="AO10" s="132">
        <f t="shared" si="13"/>
        <v>0</v>
      </c>
      <c r="AP10" s="132">
        <f t="shared" si="13"/>
        <v>0</v>
      </c>
      <c r="AQ10" s="132">
        <f t="shared" si="13"/>
        <v>0</v>
      </c>
      <c r="AR10" s="132">
        <f t="shared" si="13"/>
        <v>0</v>
      </c>
      <c r="AS10" s="132">
        <f t="shared" si="13"/>
        <v>0</v>
      </c>
      <c r="AT10" s="132">
        <f t="shared" si="13"/>
        <v>0</v>
      </c>
      <c r="AU10" s="132">
        <f t="shared" si="13"/>
        <v>0</v>
      </c>
      <c r="AV10" s="132">
        <f t="shared" si="13"/>
        <v>0</v>
      </c>
      <c r="AW10" s="132">
        <f t="shared" si="13"/>
        <v>0</v>
      </c>
      <c r="AX10" s="132">
        <f t="shared" si="13"/>
        <v>0</v>
      </c>
      <c r="AY10" s="132">
        <f t="shared" si="13"/>
        <v>0</v>
      </c>
    </row>
    <row r="11" spans="1:51" x14ac:dyDescent="0.25">
      <c r="A11" t="s">
        <v>391</v>
      </c>
      <c r="C11" s="132">
        <f>C10+C9</f>
        <v>5.0157314718667516</v>
      </c>
      <c r="D11" s="132">
        <f t="shared" ref="D11:AY11" si="14">D10+D9</f>
        <v>5.0157314718667516</v>
      </c>
      <c r="E11" s="132">
        <f t="shared" si="14"/>
        <v>4.8902944865371198</v>
      </c>
      <c r="F11" s="132">
        <f t="shared" si="14"/>
        <v>4.7648575012074872</v>
      </c>
      <c r="G11" s="132">
        <f t="shared" si="14"/>
        <v>4.6394205158778554</v>
      </c>
      <c r="H11" s="132">
        <f t="shared" si="14"/>
        <v>4.5139835305482237</v>
      </c>
      <c r="I11" s="132">
        <f t="shared" si="14"/>
        <v>4.3885465452185919</v>
      </c>
      <c r="J11" s="132">
        <f t="shared" si="14"/>
        <v>4.2631095598889601</v>
      </c>
      <c r="K11" s="132">
        <f t="shared" si="14"/>
        <v>4.1376725745593275</v>
      </c>
      <c r="L11" s="132">
        <f t="shared" si="14"/>
        <v>4.0122355892296957</v>
      </c>
      <c r="M11" s="132">
        <f t="shared" si="14"/>
        <v>3.8867986039000639</v>
      </c>
      <c r="N11" s="132">
        <f t="shared" si="14"/>
        <v>3.7613616185704317</v>
      </c>
      <c r="O11" s="132">
        <f t="shared" si="14"/>
        <v>3.6359246332407995</v>
      </c>
      <c r="P11" s="132">
        <f t="shared" si="14"/>
        <v>3.5104876479111677</v>
      </c>
      <c r="Q11" s="132">
        <f t="shared" si="14"/>
        <v>3.385050662581536</v>
      </c>
      <c r="R11" s="132">
        <f t="shared" si="14"/>
        <v>3.2596136772519038</v>
      </c>
      <c r="S11" s="132">
        <f t="shared" si="14"/>
        <v>3.1341766919222716</v>
      </c>
      <c r="T11" s="132">
        <f t="shared" si="14"/>
        <v>3.0087397065926398</v>
      </c>
      <c r="U11" s="132">
        <f t="shared" si="14"/>
        <v>2.883302721263008</v>
      </c>
      <c r="V11" s="132">
        <f t="shared" si="14"/>
        <v>2.7578657359333758</v>
      </c>
      <c r="W11" s="132">
        <f t="shared" si="14"/>
        <v>2.6324287506037436</v>
      </c>
      <c r="X11" s="132">
        <f t="shared" si="14"/>
        <v>2.5069917652741118</v>
      </c>
      <c r="Y11" s="132">
        <f t="shared" si="14"/>
        <v>2.3815547799444801</v>
      </c>
      <c r="Z11" s="132">
        <f t="shared" si="14"/>
        <v>2.2561177946148478</v>
      </c>
      <c r="AA11" s="132">
        <f t="shared" si="14"/>
        <v>2.1306808092852156</v>
      </c>
      <c r="AB11" s="132">
        <f t="shared" si="14"/>
        <v>2.0052438239555839</v>
      </c>
      <c r="AC11" s="132">
        <f t="shared" si="14"/>
        <v>1.8798068386259521</v>
      </c>
      <c r="AD11" s="132">
        <f t="shared" si="14"/>
        <v>1.7543698532963199</v>
      </c>
      <c r="AE11" s="132">
        <f t="shared" si="14"/>
        <v>1.6289328679666877</v>
      </c>
      <c r="AF11" s="132">
        <f t="shared" si="14"/>
        <v>1.5034958826370559</v>
      </c>
      <c r="AG11" s="132">
        <f t="shared" si="14"/>
        <v>1.3780588973074241</v>
      </c>
      <c r="AH11" s="132">
        <f t="shared" si="14"/>
        <v>1.2526219119777919</v>
      </c>
      <c r="AI11" s="132">
        <f t="shared" si="14"/>
        <v>1.1271849266481597</v>
      </c>
      <c r="AJ11" s="132">
        <f t="shared" si="14"/>
        <v>1.001747941318528</v>
      </c>
      <c r="AK11" s="132">
        <f t="shared" si="14"/>
        <v>0.87631095598889619</v>
      </c>
      <c r="AL11" s="132">
        <f t="shared" si="14"/>
        <v>0.75087397065926442</v>
      </c>
      <c r="AM11" s="132">
        <f t="shared" si="14"/>
        <v>0.62543698532963177</v>
      </c>
      <c r="AN11" s="132">
        <f t="shared" si="14"/>
        <v>0.5</v>
      </c>
      <c r="AO11" s="132">
        <f t="shared" si="14"/>
        <v>0.5</v>
      </c>
      <c r="AP11" s="132">
        <f t="shared" si="14"/>
        <v>0.5</v>
      </c>
      <c r="AQ11" s="132">
        <f t="shared" si="14"/>
        <v>0.5</v>
      </c>
      <c r="AR11" s="132">
        <f t="shared" si="14"/>
        <v>0.5</v>
      </c>
      <c r="AS11" s="132">
        <f t="shared" si="14"/>
        <v>0.5</v>
      </c>
      <c r="AT11" s="132">
        <f t="shared" si="14"/>
        <v>0.5</v>
      </c>
      <c r="AU11" s="132">
        <f t="shared" si="14"/>
        <v>0.5</v>
      </c>
      <c r="AV11" s="132">
        <f t="shared" si="14"/>
        <v>0.5</v>
      </c>
      <c r="AW11" s="132">
        <f t="shared" si="14"/>
        <v>0.5</v>
      </c>
      <c r="AX11" s="132">
        <f t="shared" si="14"/>
        <v>0.5</v>
      </c>
      <c r="AY11" s="132">
        <f t="shared" si="14"/>
        <v>0.5</v>
      </c>
    </row>
    <row r="12" spans="1:51" x14ac:dyDescent="0.25">
      <c r="A12" t="s">
        <v>392</v>
      </c>
    </row>
    <row r="13" spans="1:51" x14ac:dyDescent="0.25">
      <c r="A13" t="s">
        <v>393</v>
      </c>
      <c r="C13" s="132">
        <f>_xlfn.XLOOKUP($B3,BAZA_PC[MODEL],BAZA_PC[E -20],0)</f>
        <v>2.6487499999999997</v>
      </c>
      <c r="D13" s="132">
        <f>($F13-$C13)*($C$1-D$1)/($C$1-$F$1)+$C13</f>
        <v>2.4874999999999998</v>
      </c>
      <c r="E13" s="132">
        <f>($F13-$C13)*($C$1-E$1)/($C$1-$F$1)+$C13</f>
        <v>2.4337499999999999</v>
      </c>
      <c r="F13" s="132">
        <f>_xlfn.XLOOKUP($B3,BAZA_PC[MODEL],BAZA_PC[E-15],0)</f>
        <v>2.38</v>
      </c>
      <c r="G13" s="132">
        <f>($N13-$F13)*($F$1-G$1)/($F$1-$N$1)+$F13</f>
        <v>2.3262499999999999</v>
      </c>
      <c r="H13" s="132">
        <f t="shared" ref="H13:M14" si="15">($N13-$F13)*($F$1-H$1)/($F$1-$N$1)+$F13</f>
        <v>2.2725</v>
      </c>
      <c r="I13" s="132">
        <f t="shared" si="15"/>
        <v>2.21875</v>
      </c>
      <c r="J13" s="132">
        <f t="shared" si="15"/>
        <v>2.165</v>
      </c>
      <c r="K13" s="132">
        <f t="shared" si="15"/>
        <v>2.1112500000000001</v>
      </c>
      <c r="L13" s="132">
        <f t="shared" si="15"/>
        <v>2.0575000000000001</v>
      </c>
      <c r="M13" s="132">
        <f t="shared" si="15"/>
        <v>2.0037500000000001</v>
      </c>
      <c r="N13" s="132">
        <f>_xlfn.XLOOKUP($B3,BAZA_PC[MODEL],BAZA_PC[E-7],0)</f>
        <v>1.95</v>
      </c>
      <c r="O13" s="132">
        <f>($S13-$N13)*($N$1-O$1)/($N$1-$S$1)+$N13</f>
        <v>1.9555555555555555</v>
      </c>
      <c r="P13" s="132">
        <f t="shared" ref="P13:R14" si="16">($S13-$N13)*($N$1-P$1)/($N$1-$S$1)+$N13</f>
        <v>1.961111111111111</v>
      </c>
      <c r="Q13" s="132">
        <f t="shared" si="16"/>
        <v>1.9666666666666668</v>
      </c>
      <c r="R13" s="132">
        <f t="shared" si="16"/>
        <v>1.9722222222222223</v>
      </c>
      <c r="S13" s="132">
        <f>_xlfn.XLOOKUP($B3,BAZA_PC[MODEL],BAZA_PC[E-2],0)</f>
        <v>1.9777777777777779</v>
      </c>
      <c r="T13" s="132">
        <f>($W13-$S13)*($S$1-T$1)/($S$1-$W$1)+$S13</f>
        <v>1.9833333333333334</v>
      </c>
      <c r="U13" s="132">
        <f t="shared" ref="U13:V14" si="17">($W13-$S13)*($S$1-U$1)/($S$1-$W$1)+$S13</f>
        <v>1.9888888888888889</v>
      </c>
      <c r="V13" s="132">
        <f t="shared" si="17"/>
        <v>1.9944444444444445</v>
      </c>
      <c r="W13" s="132">
        <f>_xlfn.XLOOKUP($B3,BAZA_PC[MODEL],BAZA_PC[E2],0)</f>
        <v>2</v>
      </c>
      <c r="X13" s="132">
        <f>($AB13-$W13)*($W$1-X$1)/($W$1-$AB$1)+$W13</f>
        <v>1.8879999999999999</v>
      </c>
      <c r="Y13" s="132">
        <f t="shared" ref="Y13:AA14" si="18">($AB13-$W13)*($W$1-Y$1)/($W$1-$AB$1)+$W13</f>
        <v>1.776</v>
      </c>
      <c r="Z13" s="132">
        <f t="shared" si="18"/>
        <v>1.6639999999999999</v>
      </c>
      <c r="AA13" s="132">
        <f t="shared" si="18"/>
        <v>1.552</v>
      </c>
      <c r="AB13" s="132">
        <f>_xlfn.XLOOKUP($B3,BAZA_PC[MODEL],BAZA_PC[E7],0)</f>
        <v>1.44</v>
      </c>
      <c r="AC13" s="132">
        <f>($AG13-$AB13)*($AB$1-AC$1)/($AB$1-$AG$1)+$AB13</f>
        <v>1.44</v>
      </c>
      <c r="AD13" s="132">
        <f t="shared" ref="AD13:AF14" si="19">($AG13-$AB13)*($AB$1-AD$1)/($AB$1-$AG$1)+$AB13</f>
        <v>1.44</v>
      </c>
      <c r="AE13" s="132">
        <f t="shared" si="19"/>
        <v>1.44</v>
      </c>
      <c r="AF13" s="132">
        <f t="shared" si="19"/>
        <v>1.44</v>
      </c>
      <c r="AG13" s="132">
        <f>_xlfn.XLOOKUP($B3,BAZA_PC[MODEL],BAZA_PC[E12],0)</f>
        <v>1.44</v>
      </c>
      <c r="AH13" s="132">
        <f>($AJ13-$AG13)*($AG$1-AH$1)/($AG$1-$AJ$1)+$AG13</f>
        <v>1.44</v>
      </c>
      <c r="AI13" s="132">
        <f>($AJ13-$AG13)*($AG$1-AI$1)/($AG$1-$AJ$1)+$AG13</f>
        <v>1.44</v>
      </c>
      <c r="AJ13" s="132">
        <f>_xlfn.XLOOKUP($B3,BAZA_PC[MODEL],BAZA_PC[E15],0)</f>
        <v>1.44</v>
      </c>
      <c r="AK13" s="132">
        <f>($AO13-$AJ13)*($AJ$1-AK$1)/($AJ$1-$AO$1)+$AJ13</f>
        <v>1.44</v>
      </c>
      <c r="AL13" s="132">
        <f t="shared" ref="AL13:AN14" si="20">($AO13-$AJ13)*($AJ$1-AL$1)/($AJ$1-$AO$1)+$AJ13</f>
        <v>1.44</v>
      </c>
      <c r="AM13" s="132">
        <f t="shared" si="20"/>
        <v>1.44</v>
      </c>
      <c r="AN13" s="132">
        <f t="shared" si="20"/>
        <v>1.44</v>
      </c>
      <c r="AO13" s="132">
        <f>_xlfn.XLOOKUP($B3,BAZA_PC[MODEL],BAZA_PC[E20],0)</f>
        <v>1.44</v>
      </c>
      <c r="AP13" s="132">
        <f>AO13</f>
        <v>1.44</v>
      </c>
      <c r="AQ13" s="132">
        <f t="shared" ref="AQ13:AY17" si="21">AP13</f>
        <v>1.44</v>
      </c>
      <c r="AR13" s="132">
        <f t="shared" si="21"/>
        <v>1.44</v>
      </c>
      <c r="AS13" s="132">
        <f t="shared" si="21"/>
        <v>1.44</v>
      </c>
      <c r="AT13" s="132">
        <f t="shared" si="21"/>
        <v>1.44</v>
      </c>
      <c r="AU13" s="132">
        <f t="shared" si="21"/>
        <v>1.44</v>
      </c>
      <c r="AV13" s="132">
        <f t="shared" si="21"/>
        <v>1.44</v>
      </c>
      <c r="AW13" s="132">
        <f t="shared" si="21"/>
        <v>1.44</v>
      </c>
      <c r="AX13" s="132">
        <f t="shared" si="21"/>
        <v>1.44</v>
      </c>
      <c r="AY13" s="132">
        <f t="shared" si="21"/>
        <v>1.44</v>
      </c>
    </row>
    <row r="14" spans="1:51" x14ac:dyDescent="0.25">
      <c r="A14" t="s">
        <v>394</v>
      </c>
      <c r="C14" s="132">
        <f>_xlfn.XLOOKUP($B4,BAZA_PC[MODEL],BAZA_PC[E -20],0)</f>
        <v>0</v>
      </c>
      <c r="D14" s="132">
        <f>($F14-$C14)*($C$1-D$1)/($C$1-$F$1)+$C14</f>
        <v>0</v>
      </c>
      <c r="E14" s="132">
        <f>($F14-$C14)*($C$1-E$1)/($C$1-$F$1)+$C14</f>
        <v>0</v>
      </c>
      <c r="F14" s="132">
        <f>_xlfn.XLOOKUP($B4,BAZA_PC[MODEL],BAZA_PC[E-15],0)</f>
        <v>0</v>
      </c>
      <c r="G14" s="132">
        <f>($N14-$F14)*($F$1-G$1)/($F$1-$N$1)+$F14</f>
        <v>0</v>
      </c>
      <c r="H14" s="132">
        <f t="shared" si="15"/>
        <v>0</v>
      </c>
      <c r="I14" s="132">
        <f t="shared" si="15"/>
        <v>0</v>
      </c>
      <c r="J14" s="132">
        <f t="shared" si="15"/>
        <v>0</v>
      </c>
      <c r="K14" s="132">
        <f t="shared" si="15"/>
        <v>0</v>
      </c>
      <c r="L14" s="132">
        <f t="shared" si="15"/>
        <v>0</v>
      </c>
      <c r="M14" s="132">
        <f t="shared" si="15"/>
        <v>0</v>
      </c>
      <c r="N14" s="132">
        <f>_xlfn.XLOOKUP($B4,BAZA_PC[MODEL],BAZA_PC[E-7],0)</f>
        <v>0</v>
      </c>
      <c r="O14" s="132">
        <f>($S14-$N14)*($N$1-O$1)/($N$1-$S$1)+$N14</f>
        <v>0</v>
      </c>
      <c r="P14" s="132">
        <f t="shared" si="16"/>
        <v>0</v>
      </c>
      <c r="Q14" s="132">
        <f t="shared" si="16"/>
        <v>0</v>
      </c>
      <c r="R14" s="132">
        <f t="shared" si="16"/>
        <v>0</v>
      </c>
      <c r="S14" s="132">
        <f>_xlfn.XLOOKUP($B4,BAZA_PC[MODEL],BAZA_PC[E-2],0)</f>
        <v>0</v>
      </c>
      <c r="T14" s="132">
        <f>($W14-$S14)*($S$1-T$1)/($S$1-$W$1)+$S14</f>
        <v>0</v>
      </c>
      <c r="U14" s="132">
        <f t="shared" si="17"/>
        <v>0</v>
      </c>
      <c r="V14" s="132">
        <f t="shared" si="17"/>
        <v>0</v>
      </c>
      <c r="W14" s="132">
        <f>_xlfn.XLOOKUP($B4,BAZA_PC[MODEL],BAZA_PC[E2],0)</f>
        <v>0</v>
      </c>
      <c r="X14" s="132">
        <f>($AB14-$W14)*($W$1-X$1)/($W$1-$AB$1)+$W14</f>
        <v>0</v>
      </c>
      <c r="Y14" s="132">
        <f t="shared" si="18"/>
        <v>0</v>
      </c>
      <c r="Z14" s="132">
        <f t="shared" si="18"/>
        <v>0</v>
      </c>
      <c r="AA14" s="132">
        <f t="shared" si="18"/>
        <v>0</v>
      </c>
      <c r="AB14" s="132">
        <f>_xlfn.XLOOKUP($B4,BAZA_PC[MODEL],BAZA_PC[E7],0)</f>
        <v>0</v>
      </c>
      <c r="AC14" s="132">
        <f>($AG14-$AB14)*($AB$1-AC$1)/($AB$1-$AG$1)+$AB14</f>
        <v>0</v>
      </c>
      <c r="AD14" s="132">
        <f t="shared" si="19"/>
        <v>0</v>
      </c>
      <c r="AE14" s="132">
        <f t="shared" si="19"/>
        <v>0</v>
      </c>
      <c r="AF14" s="132">
        <f t="shared" si="19"/>
        <v>0</v>
      </c>
      <c r="AG14" s="132">
        <f>_xlfn.XLOOKUP($B4,BAZA_PC[MODEL],BAZA_PC[E12],0)</f>
        <v>0</v>
      </c>
      <c r="AH14" s="132">
        <f>($AJ14-$AG14)*($AG$1-AH$1)/($AG$1-$AJ$1)+$AG14</f>
        <v>0</v>
      </c>
      <c r="AI14" s="132">
        <f>($AJ14-$AG14)*($AG$1-AI$1)/($AG$1-$AJ$1)+$AG14</f>
        <v>0</v>
      </c>
      <c r="AJ14" s="132">
        <f>_xlfn.XLOOKUP($B4,BAZA_PC[MODEL],BAZA_PC[E15],0)</f>
        <v>0</v>
      </c>
      <c r="AK14" s="132">
        <f>($AO14-$AJ14)*($AJ$1-AK$1)/($AJ$1-$AO$1)+$AJ14</f>
        <v>0</v>
      </c>
      <c r="AL14" s="132">
        <f t="shared" si="20"/>
        <v>0</v>
      </c>
      <c r="AM14" s="132">
        <f t="shared" si="20"/>
        <v>0</v>
      </c>
      <c r="AN14" s="132">
        <f t="shared" si="20"/>
        <v>0</v>
      </c>
      <c r="AO14" s="132">
        <f>_xlfn.XLOOKUP($B4,BAZA_PC[MODEL],BAZA_PC[E20],0)</f>
        <v>0</v>
      </c>
      <c r="AP14" s="132">
        <f>AO14</f>
        <v>0</v>
      </c>
      <c r="AQ14" s="132">
        <f t="shared" si="21"/>
        <v>0</v>
      </c>
      <c r="AR14" s="132">
        <f t="shared" si="21"/>
        <v>0</v>
      </c>
      <c r="AS14" s="132">
        <f t="shared" si="21"/>
        <v>0</v>
      </c>
      <c r="AT14" s="132">
        <f t="shared" si="21"/>
        <v>0</v>
      </c>
      <c r="AU14" s="132">
        <f t="shared" si="21"/>
        <v>0</v>
      </c>
      <c r="AV14" s="132">
        <f t="shared" si="21"/>
        <v>0</v>
      </c>
      <c r="AW14" s="132">
        <f t="shared" si="21"/>
        <v>0</v>
      </c>
      <c r="AX14" s="132">
        <f t="shared" si="21"/>
        <v>0</v>
      </c>
      <c r="AY14" s="132">
        <f t="shared" si="21"/>
        <v>0</v>
      </c>
    </row>
    <row r="15" spans="1:51" x14ac:dyDescent="0.25">
      <c r="A15" t="s">
        <v>395</v>
      </c>
      <c r="C15" s="132">
        <f>C13+C14</f>
        <v>2.6487499999999997</v>
      </c>
      <c r="D15" s="132">
        <f t="shared" ref="D15:AY15" si="22">D13+D14</f>
        <v>2.4874999999999998</v>
      </c>
      <c r="E15" s="132">
        <f t="shared" si="22"/>
        <v>2.4337499999999999</v>
      </c>
      <c r="F15" s="132">
        <f t="shared" si="22"/>
        <v>2.38</v>
      </c>
      <c r="G15" s="132">
        <f t="shared" si="22"/>
        <v>2.3262499999999999</v>
      </c>
      <c r="H15" s="132">
        <f t="shared" si="22"/>
        <v>2.2725</v>
      </c>
      <c r="I15" s="132">
        <f t="shared" si="22"/>
        <v>2.21875</v>
      </c>
      <c r="J15" s="132">
        <f t="shared" si="22"/>
        <v>2.165</v>
      </c>
      <c r="K15" s="132">
        <f t="shared" si="22"/>
        <v>2.1112500000000001</v>
      </c>
      <c r="L15" s="132">
        <f t="shared" si="22"/>
        <v>2.0575000000000001</v>
      </c>
      <c r="M15" s="132">
        <f t="shared" si="22"/>
        <v>2.0037500000000001</v>
      </c>
      <c r="N15" s="132">
        <f t="shared" si="22"/>
        <v>1.95</v>
      </c>
      <c r="O15" s="132">
        <f t="shared" si="22"/>
        <v>1.9555555555555555</v>
      </c>
      <c r="P15" s="132">
        <f t="shared" si="22"/>
        <v>1.961111111111111</v>
      </c>
      <c r="Q15" s="132">
        <f t="shared" si="22"/>
        <v>1.9666666666666668</v>
      </c>
      <c r="R15" s="132">
        <f t="shared" si="22"/>
        <v>1.9722222222222223</v>
      </c>
      <c r="S15" s="132">
        <f t="shared" si="22"/>
        <v>1.9777777777777779</v>
      </c>
      <c r="T15" s="132">
        <f t="shared" si="22"/>
        <v>1.9833333333333334</v>
      </c>
      <c r="U15" s="132">
        <f t="shared" si="22"/>
        <v>1.9888888888888889</v>
      </c>
      <c r="V15" s="132">
        <f t="shared" si="22"/>
        <v>1.9944444444444445</v>
      </c>
      <c r="W15" s="132">
        <f t="shared" si="22"/>
        <v>2</v>
      </c>
      <c r="X15" s="132">
        <f t="shared" si="22"/>
        <v>1.8879999999999999</v>
      </c>
      <c r="Y15" s="132">
        <f t="shared" si="22"/>
        <v>1.776</v>
      </c>
      <c r="Z15" s="132">
        <f t="shared" si="22"/>
        <v>1.6639999999999999</v>
      </c>
      <c r="AA15" s="132">
        <f t="shared" si="22"/>
        <v>1.552</v>
      </c>
      <c r="AB15" s="132">
        <f t="shared" si="22"/>
        <v>1.44</v>
      </c>
      <c r="AC15" s="132">
        <f t="shared" si="22"/>
        <v>1.44</v>
      </c>
      <c r="AD15" s="132">
        <f t="shared" si="22"/>
        <v>1.44</v>
      </c>
      <c r="AE15" s="132">
        <f t="shared" si="22"/>
        <v>1.44</v>
      </c>
      <c r="AF15" s="132">
        <f t="shared" si="22"/>
        <v>1.44</v>
      </c>
      <c r="AG15" s="132">
        <f t="shared" si="22"/>
        <v>1.44</v>
      </c>
      <c r="AH15" s="132">
        <f t="shared" si="22"/>
        <v>1.44</v>
      </c>
      <c r="AI15" s="132">
        <f t="shared" si="22"/>
        <v>1.44</v>
      </c>
      <c r="AJ15" s="132">
        <f t="shared" si="22"/>
        <v>1.44</v>
      </c>
      <c r="AK15" s="132">
        <f t="shared" si="22"/>
        <v>1.44</v>
      </c>
      <c r="AL15" s="132">
        <f t="shared" si="22"/>
        <v>1.44</v>
      </c>
      <c r="AM15" s="132">
        <f t="shared" si="22"/>
        <v>1.44</v>
      </c>
      <c r="AN15" s="132">
        <f t="shared" si="22"/>
        <v>1.44</v>
      </c>
      <c r="AO15" s="132">
        <f t="shared" si="22"/>
        <v>1.44</v>
      </c>
      <c r="AP15" s="132">
        <f t="shared" si="22"/>
        <v>1.44</v>
      </c>
      <c r="AQ15" s="132">
        <f t="shared" si="22"/>
        <v>1.44</v>
      </c>
      <c r="AR15" s="132">
        <f t="shared" si="22"/>
        <v>1.44</v>
      </c>
      <c r="AS15" s="132">
        <f t="shared" si="22"/>
        <v>1.44</v>
      </c>
      <c r="AT15" s="132">
        <f t="shared" si="22"/>
        <v>1.44</v>
      </c>
      <c r="AU15" s="132">
        <f t="shared" si="22"/>
        <v>1.44</v>
      </c>
      <c r="AV15" s="132">
        <f t="shared" si="22"/>
        <v>1.44</v>
      </c>
      <c r="AW15" s="132">
        <f t="shared" si="22"/>
        <v>1.44</v>
      </c>
      <c r="AX15" s="132">
        <f t="shared" si="22"/>
        <v>1.44</v>
      </c>
      <c r="AY15" s="132">
        <f t="shared" si="22"/>
        <v>1.44</v>
      </c>
    </row>
    <row r="16" spans="1:51" x14ac:dyDescent="0.25">
      <c r="A16" t="s">
        <v>396</v>
      </c>
      <c r="B16" t="e" cm="1">
        <f t="array" ref="B16">_xlfn.XLOOKUP($B$5,BAZA_PC[#Data],BAZA_PC[])</f>
        <v>#VALUE!</v>
      </c>
      <c r="C16" s="132" t="e">
        <f>VLOOKUP($B$5,[1]!PC[#Data],MATCH("E"&amp;C$21,[1]!PC[#Headers],0),FALSE)</f>
        <v>#N/A</v>
      </c>
      <c r="D16" s="132" t="e">
        <f>C16</f>
        <v>#N/A</v>
      </c>
      <c r="E16" s="132" t="e">
        <f t="shared" ref="E16:AP17" si="23">D16</f>
        <v>#N/A</v>
      </c>
      <c r="F16" s="132" t="e">
        <f t="shared" si="23"/>
        <v>#N/A</v>
      </c>
      <c r="G16" s="132" t="e">
        <f t="shared" si="23"/>
        <v>#N/A</v>
      </c>
      <c r="H16" s="132" t="e">
        <f t="shared" si="23"/>
        <v>#N/A</v>
      </c>
      <c r="I16" s="132" t="e">
        <f t="shared" si="23"/>
        <v>#N/A</v>
      </c>
      <c r="J16" s="132" t="e">
        <f t="shared" si="23"/>
        <v>#N/A</v>
      </c>
      <c r="K16" s="132" t="e">
        <f t="shared" si="23"/>
        <v>#N/A</v>
      </c>
      <c r="L16" s="132" t="e">
        <f t="shared" si="23"/>
        <v>#N/A</v>
      </c>
      <c r="M16" s="132" t="e">
        <f t="shared" si="23"/>
        <v>#N/A</v>
      </c>
      <c r="N16" s="132" t="e">
        <f t="shared" si="23"/>
        <v>#N/A</v>
      </c>
      <c r="O16" s="132" t="e">
        <f t="shared" si="23"/>
        <v>#N/A</v>
      </c>
      <c r="P16" s="132" t="e">
        <f t="shared" si="23"/>
        <v>#N/A</v>
      </c>
      <c r="Q16" s="132" t="e">
        <f t="shared" si="23"/>
        <v>#N/A</v>
      </c>
      <c r="R16" s="132" t="e">
        <f t="shared" si="23"/>
        <v>#N/A</v>
      </c>
      <c r="S16" s="132" t="e">
        <f t="shared" si="23"/>
        <v>#N/A</v>
      </c>
      <c r="T16" s="132" t="e">
        <f t="shared" si="23"/>
        <v>#N/A</v>
      </c>
      <c r="U16" s="132" t="e">
        <f t="shared" si="23"/>
        <v>#N/A</v>
      </c>
      <c r="V16" s="132" t="e">
        <f t="shared" si="23"/>
        <v>#N/A</v>
      </c>
      <c r="W16" s="132" t="e">
        <f t="shared" si="23"/>
        <v>#N/A</v>
      </c>
      <c r="X16" s="132" t="e">
        <f t="shared" si="23"/>
        <v>#N/A</v>
      </c>
      <c r="Y16" s="132" t="e">
        <f t="shared" si="23"/>
        <v>#N/A</v>
      </c>
      <c r="Z16" s="132" t="e">
        <f t="shared" si="23"/>
        <v>#N/A</v>
      </c>
      <c r="AA16" s="132" t="e">
        <f t="shared" si="23"/>
        <v>#N/A</v>
      </c>
      <c r="AB16" s="132" t="e">
        <f t="shared" si="23"/>
        <v>#N/A</v>
      </c>
      <c r="AC16" s="132" t="e">
        <f t="shared" si="23"/>
        <v>#N/A</v>
      </c>
      <c r="AD16" s="132" t="e">
        <f t="shared" si="23"/>
        <v>#N/A</v>
      </c>
      <c r="AE16" s="132" t="e">
        <f t="shared" si="23"/>
        <v>#N/A</v>
      </c>
      <c r="AF16" s="132" t="e">
        <f t="shared" si="23"/>
        <v>#N/A</v>
      </c>
      <c r="AG16" s="132" t="e">
        <f t="shared" si="23"/>
        <v>#N/A</v>
      </c>
      <c r="AH16" s="132" t="e">
        <f t="shared" si="23"/>
        <v>#N/A</v>
      </c>
      <c r="AI16" s="132" t="e">
        <f t="shared" si="23"/>
        <v>#N/A</v>
      </c>
      <c r="AJ16" s="132" t="e">
        <f t="shared" si="23"/>
        <v>#N/A</v>
      </c>
      <c r="AK16" s="132" t="e">
        <f t="shared" si="23"/>
        <v>#N/A</v>
      </c>
      <c r="AL16" s="132" t="e">
        <f t="shared" si="23"/>
        <v>#N/A</v>
      </c>
      <c r="AM16" s="132" t="e">
        <f t="shared" si="23"/>
        <v>#N/A</v>
      </c>
      <c r="AN16" s="132" t="e">
        <f t="shared" si="23"/>
        <v>#N/A</v>
      </c>
      <c r="AO16" s="132" t="e">
        <f t="shared" si="23"/>
        <v>#N/A</v>
      </c>
      <c r="AP16" s="132" t="e">
        <f t="shared" si="23"/>
        <v>#N/A</v>
      </c>
      <c r="AQ16" s="132" t="e">
        <f t="shared" si="21"/>
        <v>#N/A</v>
      </c>
      <c r="AR16" s="132" t="e">
        <f t="shared" si="21"/>
        <v>#N/A</v>
      </c>
      <c r="AS16" s="132" t="e">
        <f t="shared" si="21"/>
        <v>#N/A</v>
      </c>
      <c r="AT16" s="132" t="e">
        <f t="shared" si="21"/>
        <v>#N/A</v>
      </c>
      <c r="AU16" s="132" t="e">
        <f t="shared" si="21"/>
        <v>#N/A</v>
      </c>
      <c r="AV16" s="132" t="e">
        <f t="shared" si="21"/>
        <v>#N/A</v>
      </c>
      <c r="AW16" s="132" t="e">
        <f t="shared" si="21"/>
        <v>#N/A</v>
      </c>
      <c r="AX16" s="132" t="e">
        <f t="shared" si="21"/>
        <v>#N/A</v>
      </c>
      <c r="AY16" s="132" t="e">
        <f t="shared" si="21"/>
        <v>#N/A</v>
      </c>
    </row>
    <row r="17" spans="1:51" x14ac:dyDescent="0.25">
      <c r="A17" t="s">
        <v>397</v>
      </c>
      <c r="C17" s="132" t="e">
        <f>VLOOKUP($B$6,[1]!PC[#Data],MATCH("E"&amp;C$21,[1]!PC[#Headers],0),FALSE)</f>
        <v>#N/A</v>
      </c>
      <c r="D17" s="132" t="e">
        <f>C17</f>
        <v>#N/A</v>
      </c>
      <c r="E17" s="132" t="e">
        <f t="shared" si="23"/>
        <v>#N/A</v>
      </c>
      <c r="F17" s="132" t="e">
        <f t="shared" si="23"/>
        <v>#N/A</v>
      </c>
      <c r="G17" s="132" t="e">
        <f t="shared" si="23"/>
        <v>#N/A</v>
      </c>
      <c r="H17" s="132" t="e">
        <f t="shared" si="23"/>
        <v>#N/A</v>
      </c>
      <c r="I17" s="132" t="e">
        <f t="shared" si="23"/>
        <v>#N/A</v>
      </c>
      <c r="J17" s="132" t="e">
        <f t="shared" si="23"/>
        <v>#N/A</v>
      </c>
      <c r="K17" s="132" t="e">
        <f t="shared" si="23"/>
        <v>#N/A</v>
      </c>
      <c r="L17" s="132" t="e">
        <f t="shared" si="23"/>
        <v>#N/A</v>
      </c>
      <c r="M17" s="132" t="e">
        <f t="shared" si="23"/>
        <v>#N/A</v>
      </c>
      <c r="N17" s="132" t="e">
        <f t="shared" si="23"/>
        <v>#N/A</v>
      </c>
      <c r="O17" s="132" t="e">
        <f t="shared" si="23"/>
        <v>#N/A</v>
      </c>
      <c r="P17" s="132" t="e">
        <f t="shared" si="23"/>
        <v>#N/A</v>
      </c>
      <c r="Q17" s="132" t="e">
        <f t="shared" si="23"/>
        <v>#N/A</v>
      </c>
      <c r="R17" s="132" t="e">
        <f t="shared" si="23"/>
        <v>#N/A</v>
      </c>
      <c r="S17" s="132" t="e">
        <f t="shared" si="23"/>
        <v>#N/A</v>
      </c>
      <c r="T17" s="132" t="e">
        <f t="shared" si="23"/>
        <v>#N/A</v>
      </c>
      <c r="U17" s="132" t="e">
        <f t="shared" si="23"/>
        <v>#N/A</v>
      </c>
      <c r="V17" s="132" t="e">
        <f t="shared" si="23"/>
        <v>#N/A</v>
      </c>
      <c r="W17" s="132" t="e">
        <f t="shared" si="23"/>
        <v>#N/A</v>
      </c>
      <c r="X17" s="132" t="e">
        <f t="shared" si="23"/>
        <v>#N/A</v>
      </c>
      <c r="Y17" s="132" t="e">
        <f t="shared" si="23"/>
        <v>#N/A</v>
      </c>
      <c r="Z17" s="132" t="e">
        <f t="shared" si="23"/>
        <v>#N/A</v>
      </c>
      <c r="AA17" s="132" t="e">
        <f t="shared" si="23"/>
        <v>#N/A</v>
      </c>
      <c r="AB17" s="132" t="e">
        <f t="shared" si="23"/>
        <v>#N/A</v>
      </c>
      <c r="AC17" s="132" t="e">
        <f t="shared" si="23"/>
        <v>#N/A</v>
      </c>
      <c r="AD17" s="132" t="e">
        <f t="shared" si="23"/>
        <v>#N/A</v>
      </c>
      <c r="AE17" s="132" t="e">
        <f t="shared" si="23"/>
        <v>#N/A</v>
      </c>
      <c r="AF17" s="132" t="e">
        <f t="shared" si="23"/>
        <v>#N/A</v>
      </c>
      <c r="AG17" s="132" t="e">
        <f t="shared" si="23"/>
        <v>#N/A</v>
      </c>
      <c r="AH17" s="132" t="e">
        <f t="shared" si="23"/>
        <v>#N/A</v>
      </c>
      <c r="AI17" s="132" t="e">
        <f t="shared" si="23"/>
        <v>#N/A</v>
      </c>
      <c r="AJ17" s="132" t="e">
        <f t="shared" si="23"/>
        <v>#N/A</v>
      </c>
      <c r="AK17" s="132" t="e">
        <f t="shared" si="23"/>
        <v>#N/A</v>
      </c>
      <c r="AL17" s="132" t="e">
        <f t="shared" si="23"/>
        <v>#N/A</v>
      </c>
      <c r="AM17" s="132" t="e">
        <f t="shared" si="23"/>
        <v>#N/A</v>
      </c>
      <c r="AN17" s="132" t="e">
        <f t="shared" si="23"/>
        <v>#N/A</v>
      </c>
      <c r="AO17" s="132" t="e">
        <f t="shared" si="23"/>
        <v>#N/A</v>
      </c>
      <c r="AP17" s="132" t="e">
        <f t="shared" si="23"/>
        <v>#N/A</v>
      </c>
      <c r="AQ17" s="132" t="e">
        <f t="shared" si="21"/>
        <v>#N/A</v>
      </c>
      <c r="AR17" s="132" t="e">
        <f t="shared" si="21"/>
        <v>#N/A</v>
      </c>
      <c r="AS17" s="132" t="e">
        <f t="shared" si="21"/>
        <v>#N/A</v>
      </c>
      <c r="AT17" s="132" t="e">
        <f t="shared" si="21"/>
        <v>#N/A</v>
      </c>
      <c r="AU17" s="132" t="e">
        <f t="shared" si="21"/>
        <v>#N/A</v>
      </c>
      <c r="AV17" s="132" t="e">
        <f t="shared" si="21"/>
        <v>#N/A</v>
      </c>
      <c r="AW17" s="132" t="e">
        <f t="shared" si="21"/>
        <v>#N/A</v>
      </c>
      <c r="AX17" s="132" t="e">
        <f t="shared" si="21"/>
        <v>#N/A</v>
      </c>
      <c r="AY17" s="132" t="e">
        <f t="shared" si="21"/>
        <v>#N/A</v>
      </c>
    </row>
    <row r="18" spans="1:51" x14ac:dyDescent="0.25">
      <c r="A18" t="s">
        <v>398</v>
      </c>
      <c r="C18" s="132" t="e">
        <f>SUM(C16:C17)</f>
        <v>#N/A</v>
      </c>
      <c r="D18" s="132" t="e">
        <f t="shared" ref="D18:AY18" si="24">SUM(D16:D17)</f>
        <v>#N/A</v>
      </c>
      <c r="E18" s="132" t="e">
        <f t="shared" si="24"/>
        <v>#N/A</v>
      </c>
      <c r="F18" s="132" t="e">
        <f t="shared" si="24"/>
        <v>#N/A</v>
      </c>
      <c r="G18" s="132" t="e">
        <f t="shared" si="24"/>
        <v>#N/A</v>
      </c>
      <c r="H18" s="132" t="e">
        <f t="shared" si="24"/>
        <v>#N/A</v>
      </c>
      <c r="I18" s="132" t="e">
        <f t="shared" si="24"/>
        <v>#N/A</v>
      </c>
      <c r="J18" s="132" t="e">
        <f t="shared" si="24"/>
        <v>#N/A</v>
      </c>
      <c r="K18" s="132" t="e">
        <f t="shared" si="24"/>
        <v>#N/A</v>
      </c>
      <c r="L18" s="132" t="e">
        <f t="shared" si="24"/>
        <v>#N/A</v>
      </c>
      <c r="M18" s="132" t="e">
        <f t="shared" si="24"/>
        <v>#N/A</v>
      </c>
      <c r="N18" s="132" t="e">
        <f t="shared" si="24"/>
        <v>#N/A</v>
      </c>
      <c r="O18" s="132" t="e">
        <f t="shared" si="24"/>
        <v>#N/A</v>
      </c>
      <c r="P18" s="132" t="e">
        <f t="shared" si="24"/>
        <v>#N/A</v>
      </c>
      <c r="Q18" s="132" t="e">
        <f t="shared" si="24"/>
        <v>#N/A</v>
      </c>
      <c r="R18" s="132" t="e">
        <f t="shared" si="24"/>
        <v>#N/A</v>
      </c>
      <c r="S18" s="132" t="e">
        <f t="shared" si="24"/>
        <v>#N/A</v>
      </c>
      <c r="T18" s="132" t="e">
        <f t="shared" si="24"/>
        <v>#N/A</v>
      </c>
      <c r="U18" s="132" t="e">
        <f t="shared" si="24"/>
        <v>#N/A</v>
      </c>
      <c r="V18" s="132" t="e">
        <f t="shared" si="24"/>
        <v>#N/A</v>
      </c>
      <c r="W18" s="132" t="e">
        <f t="shared" si="24"/>
        <v>#N/A</v>
      </c>
      <c r="X18" s="132" t="e">
        <f t="shared" si="24"/>
        <v>#N/A</v>
      </c>
      <c r="Y18" s="132" t="e">
        <f t="shared" si="24"/>
        <v>#N/A</v>
      </c>
      <c r="Z18" s="132" t="e">
        <f t="shared" si="24"/>
        <v>#N/A</v>
      </c>
      <c r="AA18" s="132" t="e">
        <f t="shared" si="24"/>
        <v>#N/A</v>
      </c>
      <c r="AB18" s="132" t="e">
        <f t="shared" si="24"/>
        <v>#N/A</v>
      </c>
      <c r="AC18" s="132" t="e">
        <f t="shared" si="24"/>
        <v>#N/A</v>
      </c>
      <c r="AD18" s="132" t="e">
        <f t="shared" si="24"/>
        <v>#N/A</v>
      </c>
      <c r="AE18" s="132" t="e">
        <f t="shared" si="24"/>
        <v>#N/A</v>
      </c>
      <c r="AF18" s="132" t="e">
        <f t="shared" si="24"/>
        <v>#N/A</v>
      </c>
      <c r="AG18" s="132" t="e">
        <f t="shared" si="24"/>
        <v>#N/A</v>
      </c>
      <c r="AH18" s="132" t="e">
        <f t="shared" si="24"/>
        <v>#N/A</v>
      </c>
      <c r="AI18" s="132" t="e">
        <f t="shared" si="24"/>
        <v>#N/A</v>
      </c>
      <c r="AJ18" s="132" t="e">
        <f t="shared" si="24"/>
        <v>#N/A</v>
      </c>
      <c r="AK18" s="132" t="e">
        <f t="shared" si="24"/>
        <v>#N/A</v>
      </c>
      <c r="AL18" s="132" t="e">
        <f t="shared" si="24"/>
        <v>#N/A</v>
      </c>
      <c r="AM18" s="132" t="e">
        <f t="shared" si="24"/>
        <v>#N/A</v>
      </c>
      <c r="AN18" s="132" t="e">
        <f t="shared" si="24"/>
        <v>#N/A</v>
      </c>
      <c r="AO18" s="132" t="e">
        <f t="shared" si="24"/>
        <v>#N/A</v>
      </c>
      <c r="AP18" s="132" t="e">
        <f t="shared" si="24"/>
        <v>#N/A</v>
      </c>
      <c r="AQ18" s="132" t="e">
        <f t="shared" si="24"/>
        <v>#N/A</v>
      </c>
      <c r="AR18" s="132" t="e">
        <f t="shared" si="24"/>
        <v>#N/A</v>
      </c>
      <c r="AS18" s="132" t="e">
        <f t="shared" si="24"/>
        <v>#N/A</v>
      </c>
      <c r="AT18" s="132" t="e">
        <f t="shared" si="24"/>
        <v>#N/A</v>
      </c>
      <c r="AU18" s="132" t="e">
        <f t="shared" si="24"/>
        <v>#N/A</v>
      </c>
      <c r="AV18" s="132" t="e">
        <f t="shared" si="24"/>
        <v>#N/A</v>
      </c>
      <c r="AW18" s="132" t="e">
        <f t="shared" si="24"/>
        <v>#N/A</v>
      </c>
      <c r="AX18" s="132" t="e">
        <f t="shared" si="24"/>
        <v>#N/A</v>
      </c>
      <c r="AY18" s="132" t="e">
        <f t="shared" si="24"/>
        <v>#N/A</v>
      </c>
    </row>
    <row r="19" spans="1:51" x14ac:dyDescent="0.25"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</row>
    <row r="20" spans="1:51" x14ac:dyDescent="0.25">
      <c r="D20" s="132"/>
      <c r="E20" s="132"/>
      <c r="G20" s="132"/>
      <c r="H20" s="132"/>
      <c r="I20" s="132"/>
      <c r="J20" s="132"/>
      <c r="K20" s="132"/>
      <c r="L20" s="132"/>
      <c r="M20" s="132"/>
      <c r="O20" s="132"/>
      <c r="P20" s="132"/>
      <c r="Q20" s="132"/>
      <c r="R20" s="132"/>
      <c r="T20" s="132"/>
      <c r="U20" s="132"/>
      <c r="V20" s="132"/>
      <c r="X20" s="132"/>
      <c r="Y20" s="132"/>
      <c r="Z20" s="132"/>
      <c r="AA20" s="132"/>
      <c r="AC20" s="132"/>
      <c r="AD20" s="132"/>
      <c r="AE20" s="132"/>
      <c r="AF20" s="132"/>
      <c r="AH20" s="132"/>
      <c r="AI20" s="132"/>
      <c r="AK20" s="132"/>
      <c r="AL20" s="132"/>
      <c r="AM20" s="132"/>
      <c r="AN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</row>
    <row r="21" spans="1:51" x14ac:dyDescent="0.25">
      <c r="B21" t="s">
        <v>12</v>
      </c>
      <c r="C21" t="s">
        <v>166</v>
      </c>
      <c r="D21" s="128" t="s">
        <v>399</v>
      </c>
      <c r="E21" s="128" t="s">
        <v>400</v>
      </c>
      <c r="F21" s="131" t="s">
        <v>167</v>
      </c>
      <c r="G21" s="128" t="s">
        <v>401</v>
      </c>
      <c r="H21" s="128" t="s">
        <v>402</v>
      </c>
      <c r="I21" s="128" t="s">
        <v>403</v>
      </c>
      <c r="J21" s="128" t="s">
        <v>404</v>
      </c>
      <c r="K21" s="128" t="s">
        <v>405</v>
      </c>
      <c r="L21" s="128" t="s">
        <v>406</v>
      </c>
      <c r="M21" s="128" t="s">
        <v>407</v>
      </c>
      <c r="N21" s="131" t="s">
        <v>168</v>
      </c>
      <c r="O21" s="128" t="s">
        <v>408</v>
      </c>
      <c r="P21" s="128" t="s">
        <v>409</v>
      </c>
      <c r="Q21" s="128" t="s">
        <v>410</v>
      </c>
      <c r="R21" s="128" t="s">
        <v>411</v>
      </c>
      <c r="S21" s="131" t="s">
        <v>169</v>
      </c>
      <c r="T21" s="128" t="s">
        <v>412</v>
      </c>
      <c r="U21" s="128" t="s">
        <v>413</v>
      </c>
      <c r="V21" s="128" t="s">
        <v>414</v>
      </c>
      <c r="W21" s="131" t="s">
        <v>170</v>
      </c>
      <c r="X21" s="128" t="s">
        <v>415</v>
      </c>
      <c r="Y21" s="128" t="s">
        <v>416</v>
      </c>
      <c r="Z21" s="128" t="s">
        <v>417</v>
      </c>
      <c r="AA21" s="128" t="s">
        <v>418</v>
      </c>
      <c r="AB21" s="131" t="s">
        <v>171</v>
      </c>
      <c r="AC21" s="128" t="s">
        <v>419</v>
      </c>
      <c r="AD21" s="128" t="s">
        <v>420</v>
      </c>
      <c r="AE21" s="128" t="s">
        <v>421</v>
      </c>
      <c r="AF21" s="128" t="s">
        <v>422</v>
      </c>
      <c r="AG21" s="131" t="s">
        <v>172</v>
      </c>
      <c r="AH21" s="128" t="s">
        <v>423</v>
      </c>
      <c r="AI21" s="128" t="s">
        <v>424</v>
      </c>
      <c r="AJ21" s="131" t="s">
        <v>173</v>
      </c>
      <c r="AK21" s="128" t="s">
        <v>425</v>
      </c>
      <c r="AL21" s="128" t="s">
        <v>426</v>
      </c>
      <c r="AM21" s="128" t="s">
        <v>427</v>
      </c>
      <c r="AN21" s="128" t="s">
        <v>428</v>
      </c>
      <c r="AO21" s="131" t="s">
        <v>174</v>
      </c>
      <c r="AP21" s="128" t="s">
        <v>429</v>
      </c>
      <c r="AQ21" s="128" t="s">
        <v>430</v>
      </c>
      <c r="AR21" s="128" t="s">
        <v>431</v>
      </c>
      <c r="AS21" s="128" t="s">
        <v>432</v>
      </c>
      <c r="AT21" s="128" t="s">
        <v>433</v>
      </c>
      <c r="AU21" s="128" t="s">
        <v>434</v>
      </c>
      <c r="AV21" s="128" t="s">
        <v>435</v>
      </c>
      <c r="AW21" s="128" t="s">
        <v>436</v>
      </c>
      <c r="AX21" s="128" t="s">
        <v>437</v>
      </c>
      <c r="AY21" s="128" t="s">
        <v>438</v>
      </c>
    </row>
    <row r="22" spans="1:51" x14ac:dyDescent="0.25">
      <c r="B22" t="s">
        <v>12</v>
      </c>
      <c r="C22">
        <f>SUM(C23:C34)</f>
        <v>0</v>
      </c>
      <c r="D22">
        <f>SUM(D23:D34)</f>
        <v>2</v>
      </c>
      <c r="E22">
        <f t="shared" ref="E22:AY22" si="25">SUM(E23:E34)</f>
        <v>1</v>
      </c>
      <c r="F22">
        <f t="shared" si="25"/>
        <v>2</v>
      </c>
      <c r="G22">
        <f t="shared" si="25"/>
        <v>7</v>
      </c>
      <c r="H22">
        <f t="shared" si="25"/>
        <v>8</v>
      </c>
      <c r="I22">
        <f t="shared" si="25"/>
        <v>8</v>
      </c>
      <c r="J22">
        <f t="shared" si="25"/>
        <v>10</v>
      </c>
      <c r="K22">
        <f t="shared" si="25"/>
        <v>37</v>
      </c>
      <c r="L22">
        <f t="shared" si="25"/>
        <v>51</v>
      </c>
      <c r="M22">
        <f t="shared" si="25"/>
        <v>51</v>
      </c>
      <c r="N22">
        <f t="shared" si="25"/>
        <v>59</v>
      </c>
      <c r="O22">
        <f t="shared" si="25"/>
        <v>61</v>
      </c>
      <c r="P22">
        <f t="shared" si="25"/>
        <v>111</v>
      </c>
      <c r="Q22">
        <f t="shared" si="25"/>
        <v>144</v>
      </c>
      <c r="R22">
        <f t="shared" si="25"/>
        <v>223</v>
      </c>
      <c r="S22">
        <f t="shared" si="25"/>
        <v>210</v>
      </c>
      <c r="T22">
        <f t="shared" si="25"/>
        <v>162</v>
      </c>
      <c r="U22">
        <f t="shared" si="25"/>
        <v>254</v>
      </c>
      <c r="V22">
        <f t="shared" si="25"/>
        <v>159</v>
      </c>
      <c r="W22">
        <f t="shared" si="25"/>
        <v>250</v>
      </c>
      <c r="X22">
        <f t="shared" si="25"/>
        <v>242</v>
      </c>
      <c r="Y22">
        <f t="shared" si="25"/>
        <v>191</v>
      </c>
      <c r="Z22">
        <f t="shared" si="25"/>
        <v>183</v>
      </c>
      <c r="AA22">
        <f t="shared" si="25"/>
        <v>161</v>
      </c>
      <c r="AB22">
        <f t="shared" si="25"/>
        <v>176</v>
      </c>
      <c r="AC22">
        <f t="shared" si="25"/>
        <v>166</v>
      </c>
      <c r="AD22">
        <f t="shared" si="25"/>
        <v>176</v>
      </c>
      <c r="AE22">
        <f t="shared" si="25"/>
        <v>164</v>
      </c>
      <c r="AF22">
        <f t="shared" si="25"/>
        <v>193</v>
      </c>
      <c r="AG22">
        <f t="shared" si="25"/>
        <v>187</v>
      </c>
      <c r="AH22">
        <f t="shared" si="25"/>
        <v>200</v>
      </c>
      <c r="AI22">
        <f t="shared" si="25"/>
        <v>217</v>
      </c>
      <c r="AJ22">
        <f t="shared" si="25"/>
        <v>250</v>
      </c>
      <c r="AK22">
        <f t="shared" si="25"/>
        <v>248</v>
      </c>
      <c r="AL22">
        <f t="shared" si="25"/>
        <v>246</v>
      </c>
      <c r="AM22">
        <f t="shared" si="25"/>
        <v>190</v>
      </c>
      <c r="AN22">
        <f t="shared" si="25"/>
        <v>184</v>
      </c>
      <c r="AO22">
        <f t="shared" si="25"/>
        <v>165</v>
      </c>
      <c r="AP22">
        <f t="shared" si="25"/>
        <v>123</v>
      </c>
      <c r="AQ22">
        <f t="shared" si="25"/>
        <v>109</v>
      </c>
      <c r="AR22">
        <f t="shared" si="25"/>
        <v>81</v>
      </c>
      <c r="AS22">
        <f t="shared" si="25"/>
        <v>71</v>
      </c>
      <c r="AT22">
        <f t="shared" si="25"/>
        <v>40</v>
      </c>
      <c r="AU22">
        <f t="shared" si="25"/>
        <v>18</v>
      </c>
      <c r="AV22">
        <f t="shared" si="25"/>
        <v>10</v>
      </c>
      <c r="AW22">
        <f t="shared" si="25"/>
        <v>20</v>
      </c>
      <c r="AX22">
        <f t="shared" si="25"/>
        <v>0</v>
      </c>
      <c r="AY22">
        <f t="shared" si="25"/>
        <v>0</v>
      </c>
    </row>
    <row r="23" spans="1:51" x14ac:dyDescent="0.25">
      <c r="A23" s="133" t="s">
        <v>439</v>
      </c>
      <c r="B23" t="s">
        <v>440</v>
      </c>
      <c r="C23" s="132">
        <v>0</v>
      </c>
      <c r="D23" s="132">
        <v>0</v>
      </c>
      <c r="E23" s="132">
        <v>0</v>
      </c>
      <c r="F23" s="132">
        <v>1</v>
      </c>
      <c r="G23" s="132">
        <v>2</v>
      </c>
      <c r="H23" s="132">
        <v>2</v>
      </c>
      <c r="I23" s="132">
        <v>2</v>
      </c>
      <c r="J23" s="132">
        <v>4</v>
      </c>
      <c r="K23" s="132">
        <v>17</v>
      </c>
      <c r="L23" s="132">
        <v>15</v>
      </c>
      <c r="M23" s="132">
        <v>19</v>
      </c>
      <c r="N23" s="132">
        <v>24</v>
      </c>
      <c r="O23" s="132">
        <v>23</v>
      </c>
      <c r="P23" s="132">
        <v>12</v>
      </c>
      <c r="Q23" s="132">
        <v>27</v>
      </c>
      <c r="R23" s="132">
        <v>60</v>
      </c>
      <c r="S23" s="132">
        <v>52</v>
      </c>
      <c r="T23" s="132">
        <v>44</v>
      </c>
      <c r="U23" s="132">
        <v>99</v>
      </c>
      <c r="V23" s="132">
        <v>32</v>
      </c>
      <c r="W23" s="132">
        <v>23</v>
      </c>
      <c r="X23" s="132">
        <v>21</v>
      </c>
      <c r="Y23" s="132">
        <v>8</v>
      </c>
      <c r="Z23" s="132">
        <v>9</v>
      </c>
      <c r="AA23" s="132">
        <v>0</v>
      </c>
      <c r="AB23" s="132">
        <v>0</v>
      </c>
      <c r="AC23" s="132">
        <v>0</v>
      </c>
      <c r="AD23" s="132">
        <v>0</v>
      </c>
      <c r="AE23" s="132">
        <v>0</v>
      </c>
      <c r="AF23" s="132">
        <v>0</v>
      </c>
      <c r="AG23" s="132">
        <v>0</v>
      </c>
      <c r="AH23" s="132">
        <v>0</v>
      </c>
      <c r="AI23" s="132">
        <v>0</v>
      </c>
      <c r="AJ23" s="132">
        <v>0</v>
      </c>
      <c r="AK23" s="132">
        <v>0</v>
      </c>
      <c r="AL23" s="132">
        <v>0</v>
      </c>
      <c r="AM23" s="132">
        <v>0</v>
      </c>
      <c r="AN23" s="132">
        <v>0</v>
      </c>
      <c r="AO23" s="132">
        <v>0</v>
      </c>
      <c r="AP23" s="132">
        <v>0</v>
      </c>
      <c r="AQ23" s="132">
        <v>0</v>
      </c>
      <c r="AR23" s="132">
        <v>0</v>
      </c>
      <c r="AS23" s="132">
        <v>0</v>
      </c>
      <c r="AT23" s="132">
        <v>0</v>
      </c>
      <c r="AU23" s="132">
        <v>0</v>
      </c>
      <c r="AV23" s="132">
        <v>0</v>
      </c>
      <c r="AW23" s="132">
        <v>0</v>
      </c>
      <c r="AX23" s="132">
        <v>0</v>
      </c>
      <c r="AY23" s="132"/>
    </row>
    <row r="24" spans="1:51" x14ac:dyDescent="0.25">
      <c r="A24" s="133"/>
      <c r="B24" t="s">
        <v>441</v>
      </c>
      <c r="C24" s="132">
        <v>0</v>
      </c>
      <c r="D24" s="132">
        <v>1</v>
      </c>
      <c r="E24" s="132">
        <v>1</v>
      </c>
      <c r="F24" s="132">
        <v>0</v>
      </c>
      <c r="G24" s="132">
        <v>3</v>
      </c>
      <c r="H24" s="132">
        <v>2</v>
      </c>
      <c r="I24" s="132">
        <v>2</v>
      </c>
      <c r="J24" s="132">
        <v>2</v>
      </c>
      <c r="K24" s="132">
        <v>7</v>
      </c>
      <c r="L24" s="132">
        <v>9</v>
      </c>
      <c r="M24" s="132">
        <v>14</v>
      </c>
      <c r="N24" s="132">
        <v>16</v>
      </c>
      <c r="O24" s="132">
        <v>19</v>
      </c>
      <c r="P24" s="132">
        <v>30</v>
      </c>
      <c r="Q24" s="132">
        <v>48</v>
      </c>
      <c r="R24" s="132">
        <v>91</v>
      </c>
      <c r="S24" s="132">
        <v>82</v>
      </c>
      <c r="T24" s="132">
        <v>25</v>
      </c>
      <c r="U24" s="132">
        <v>20</v>
      </c>
      <c r="V24" s="132">
        <v>25</v>
      </c>
      <c r="W24" s="132">
        <v>17</v>
      </c>
      <c r="X24" s="132">
        <v>11</v>
      </c>
      <c r="Y24" s="132">
        <v>7</v>
      </c>
      <c r="Z24" s="132">
        <v>6</v>
      </c>
      <c r="AA24" s="132">
        <v>3</v>
      </c>
      <c r="AB24" s="132">
        <v>7</v>
      </c>
      <c r="AC24" s="132">
        <v>0</v>
      </c>
      <c r="AD24" s="132">
        <v>0</v>
      </c>
      <c r="AE24" s="132">
        <v>0</v>
      </c>
      <c r="AF24" s="132">
        <v>0</v>
      </c>
      <c r="AG24" s="132">
        <v>0</v>
      </c>
      <c r="AH24" s="132">
        <v>0</v>
      </c>
      <c r="AI24" s="132">
        <v>0</v>
      </c>
      <c r="AJ24" s="132">
        <v>0</v>
      </c>
      <c r="AK24" s="132">
        <v>0</v>
      </c>
      <c r="AL24" s="132">
        <v>0</v>
      </c>
      <c r="AM24" s="132">
        <v>0</v>
      </c>
      <c r="AN24" s="132">
        <v>0</v>
      </c>
      <c r="AO24" s="132">
        <v>0</v>
      </c>
      <c r="AP24" s="132">
        <v>0</v>
      </c>
      <c r="AQ24" s="132">
        <v>0</v>
      </c>
      <c r="AR24" s="132">
        <v>0</v>
      </c>
      <c r="AS24" s="132">
        <v>0</v>
      </c>
      <c r="AT24" s="132">
        <v>0</v>
      </c>
      <c r="AU24" s="132">
        <v>0</v>
      </c>
      <c r="AV24" s="132">
        <v>0</v>
      </c>
      <c r="AW24" s="132">
        <v>0</v>
      </c>
      <c r="AX24" s="132">
        <v>0</v>
      </c>
      <c r="AY24" s="132"/>
    </row>
    <row r="25" spans="1:51" x14ac:dyDescent="0.25">
      <c r="A25" s="133"/>
      <c r="B25" t="s">
        <v>442</v>
      </c>
      <c r="C25" s="132">
        <v>0</v>
      </c>
      <c r="D25" s="132">
        <v>0</v>
      </c>
      <c r="E25" s="132">
        <v>0</v>
      </c>
      <c r="F25" s="132">
        <v>0</v>
      </c>
      <c r="G25" s="132">
        <v>0</v>
      </c>
      <c r="H25" s="132">
        <v>0</v>
      </c>
      <c r="I25" s="132">
        <v>0</v>
      </c>
      <c r="J25" s="132">
        <v>0</v>
      </c>
      <c r="K25" s="132">
        <v>0</v>
      </c>
      <c r="L25" s="132">
        <v>0</v>
      </c>
      <c r="M25" s="132">
        <v>0</v>
      </c>
      <c r="N25" s="132">
        <v>0</v>
      </c>
      <c r="O25" s="132">
        <v>2</v>
      </c>
      <c r="P25" s="132">
        <v>9</v>
      </c>
      <c r="Q25" s="132">
        <v>6</v>
      </c>
      <c r="R25" s="132">
        <v>10</v>
      </c>
      <c r="S25" s="132">
        <v>15</v>
      </c>
      <c r="T25" s="132">
        <v>43</v>
      </c>
      <c r="U25" s="132">
        <v>57</v>
      </c>
      <c r="V25" s="132">
        <v>30</v>
      </c>
      <c r="W25" s="132">
        <v>57</v>
      </c>
      <c r="X25" s="132">
        <v>53</v>
      </c>
      <c r="Y25" s="132">
        <v>47</v>
      </c>
      <c r="Z25" s="132">
        <v>41</v>
      </c>
      <c r="AA25" s="132">
        <v>36</v>
      </c>
      <c r="AB25" s="132">
        <v>27</v>
      </c>
      <c r="AC25" s="132">
        <v>26</v>
      </c>
      <c r="AD25" s="132">
        <v>12</v>
      </c>
      <c r="AE25" s="132">
        <v>13</v>
      </c>
      <c r="AF25" s="132">
        <v>5</v>
      </c>
      <c r="AG25" s="132">
        <v>2</v>
      </c>
      <c r="AH25" s="132">
        <v>5</v>
      </c>
      <c r="AI25" s="132">
        <v>0</v>
      </c>
      <c r="AJ25" s="132">
        <v>0</v>
      </c>
      <c r="AK25" s="132">
        <v>0</v>
      </c>
      <c r="AL25" s="132">
        <v>0</v>
      </c>
      <c r="AM25" s="132">
        <v>0</v>
      </c>
      <c r="AN25" s="132">
        <v>0</v>
      </c>
      <c r="AO25" s="132">
        <v>0</v>
      </c>
      <c r="AP25" s="132">
        <v>0</v>
      </c>
      <c r="AQ25" s="132">
        <v>0</v>
      </c>
      <c r="AR25" s="132">
        <v>0</v>
      </c>
      <c r="AS25" s="132">
        <v>0</v>
      </c>
      <c r="AT25" s="132">
        <v>0</v>
      </c>
      <c r="AU25" s="132">
        <v>0</v>
      </c>
      <c r="AV25" s="132">
        <v>0</v>
      </c>
      <c r="AW25" s="132">
        <v>0</v>
      </c>
      <c r="AX25" s="132">
        <v>0</v>
      </c>
      <c r="AY25" s="132"/>
    </row>
    <row r="26" spans="1:51" x14ac:dyDescent="0.25">
      <c r="A26" s="133"/>
      <c r="B26" t="s">
        <v>443</v>
      </c>
      <c r="C26" s="132">
        <v>0</v>
      </c>
      <c r="D26" s="132">
        <v>0</v>
      </c>
      <c r="E26" s="132">
        <v>0</v>
      </c>
      <c r="F26" s="132">
        <v>0</v>
      </c>
      <c r="G26" s="132">
        <v>0</v>
      </c>
      <c r="H26" s="132">
        <v>0</v>
      </c>
      <c r="I26" s="132">
        <v>0</v>
      </c>
      <c r="J26" s="132">
        <v>0</v>
      </c>
      <c r="K26" s="132">
        <v>0</v>
      </c>
      <c r="L26" s="132">
        <v>0</v>
      </c>
      <c r="M26" s="132">
        <v>0</v>
      </c>
      <c r="N26" s="132">
        <v>0</v>
      </c>
      <c r="O26" s="132">
        <v>0</v>
      </c>
      <c r="P26" s="132">
        <v>0</v>
      </c>
      <c r="Q26" s="132">
        <v>0</v>
      </c>
      <c r="R26" s="132">
        <v>0</v>
      </c>
      <c r="S26" s="132">
        <v>0</v>
      </c>
      <c r="T26" s="132">
        <v>5</v>
      </c>
      <c r="U26" s="132">
        <v>8</v>
      </c>
      <c r="V26" s="132">
        <v>20</v>
      </c>
      <c r="W26" s="132">
        <v>20</v>
      </c>
      <c r="X26" s="132">
        <v>27</v>
      </c>
      <c r="Y26" s="132">
        <v>27</v>
      </c>
      <c r="Z26" s="132">
        <v>29</v>
      </c>
      <c r="AA26" s="132">
        <v>36</v>
      </c>
      <c r="AB26" s="132">
        <v>36</v>
      </c>
      <c r="AC26" s="132">
        <v>35</v>
      </c>
      <c r="AD26" s="132">
        <v>51</v>
      </c>
      <c r="AE26" s="132">
        <v>27</v>
      </c>
      <c r="AF26" s="132">
        <v>32</v>
      </c>
      <c r="AG26" s="132">
        <v>23</v>
      </c>
      <c r="AH26" s="132">
        <v>14</v>
      </c>
      <c r="AI26" s="132">
        <v>18</v>
      </c>
      <c r="AJ26" s="132">
        <v>8</v>
      </c>
      <c r="AK26" s="132">
        <v>9</v>
      </c>
      <c r="AL26" s="132">
        <v>20</v>
      </c>
      <c r="AM26" s="132">
        <v>17</v>
      </c>
      <c r="AN26" s="132">
        <v>10</v>
      </c>
      <c r="AO26" s="132">
        <v>4</v>
      </c>
      <c r="AP26" s="132">
        <v>4</v>
      </c>
      <c r="AQ26" s="132">
        <v>0</v>
      </c>
      <c r="AR26" s="132">
        <v>0</v>
      </c>
      <c r="AS26" s="132">
        <v>0</v>
      </c>
      <c r="AT26" s="132">
        <v>0</v>
      </c>
      <c r="AU26" s="132">
        <v>0</v>
      </c>
      <c r="AV26" s="132">
        <v>0</v>
      </c>
      <c r="AW26" s="132">
        <v>0</v>
      </c>
      <c r="AX26" s="132">
        <v>0</v>
      </c>
      <c r="AY26" s="132"/>
    </row>
    <row r="27" spans="1:51" x14ac:dyDescent="0.25">
      <c r="A27" s="133"/>
      <c r="B27" t="s">
        <v>444</v>
      </c>
      <c r="C27" s="132">
        <v>0</v>
      </c>
      <c r="D27" s="132">
        <v>0</v>
      </c>
      <c r="E27" s="132">
        <v>0</v>
      </c>
      <c r="F27" s="132">
        <v>0</v>
      </c>
      <c r="G27" s="132">
        <v>0</v>
      </c>
      <c r="H27" s="132">
        <v>0</v>
      </c>
      <c r="I27" s="132">
        <v>0</v>
      </c>
      <c r="J27" s="132">
        <v>0</v>
      </c>
      <c r="K27" s="132">
        <v>0</v>
      </c>
      <c r="L27" s="132">
        <v>0</v>
      </c>
      <c r="M27" s="132">
        <v>0</v>
      </c>
      <c r="N27" s="132">
        <v>0</v>
      </c>
      <c r="O27" s="132">
        <v>0</v>
      </c>
      <c r="P27" s="132">
        <v>0</v>
      </c>
      <c r="Q27" s="132">
        <v>0</v>
      </c>
      <c r="R27" s="132">
        <v>0</v>
      </c>
      <c r="S27" s="132">
        <v>0</v>
      </c>
      <c r="T27" s="132">
        <v>0</v>
      </c>
      <c r="U27" s="132">
        <v>0</v>
      </c>
      <c r="V27" s="132">
        <v>0</v>
      </c>
      <c r="W27" s="132">
        <v>0</v>
      </c>
      <c r="X27" s="132">
        <v>3</v>
      </c>
      <c r="Y27" s="132">
        <v>6</v>
      </c>
      <c r="Z27" s="132">
        <v>11</v>
      </c>
      <c r="AA27" s="132">
        <v>6</v>
      </c>
      <c r="AB27" s="132">
        <v>8</v>
      </c>
      <c r="AC27" s="132">
        <v>22</v>
      </c>
      <c r="AD27" s="132">
        <v>25</v>
      </c>
      <c r="AE27" s="132">
        <v>24</v>
      </c>
      <c r="AF27" s="132">
        <v>22</v>
      </c>
      <c r="AG27" s="132">
        <v>38</v>
      </c>
      <c r="AH27" s="132">
        <v>44</v>
      </c>
      <c r="AI27" s="132">
        <v>35</v>
      </c>
      <c r="AJ27" s="132">
        <v>53</v>
      </c>
      <c r="AK27" s="132">
        <v>46</v>
      </c>
      <c r="AL27" s="132">
        <v>40</v>
      </c>
      <c r="AM27" s="132">
        <v>26</v>
      </c>
      <c r="AN27" s="132">
        <v>24</v>
      </c>
      <c r="AO27" s="132">
        <v>27</v>
      </c>
      <c r="AP27" s="132">
        <v>20</v>
      </c>
      <c r="AQ27" s="132">
        <v>13</v>
      </c>
      <c r="AR27" s="132">
        <v>3</v>
      </c>
      <c r="AS27" s="132">
        <v>0</v>
      </c>
      <c r="AT27" s="132">
        <v>0</v>
      </c>
      <c r="AU27" s="132">
        <v>0</v>
      </c>
      <c r="AV27" s="132">
        <v>0</v>
      </c>
      <c r="AW27" s="132">
        <v>0</v>
      </c>
      <c r="AX27" s="132">
        <v>0</v>
      </c>
      <c r="AY27" s="132"/>
    </row>
    <row r="28" spans="1:51" x14ac:dyDescent="0.25">
      <c r="A28" s="133"/>
      <c r="B28" t="s">
        <v>445</v>
      </c>
      <c r="C28" s="132">
        <v>0</v>
      </c>
      <c r="D28" s="132">
        <v>0</v>
      </c>
      <c r="E28" s="132">
        <v>0</v>
      </c>
      <c r="F28" s="132">
        <v>0</v>
      </c>
      <c r="G28" s="132">
        <v>0</v>
      </c>
      <c r="H28" s="132">
        <v>0</v>
      </c>
      <c r="I28" s="132">
        <v>0</v>
      </c>
      <c r="J28" s="132">
        <v>0</v>
      </c>
      <c r="K28" s="132">
        <v>0</v>
      </c>
      <c r="L28" s="132">
        <v>0</v>
      </c>
      <c r="M28" s="132">
        <v>0</v>
      </c>
      <c r="N28" s="132">
        <v>0</v>
      </c>
      <c r="O28" s="132">
        <v>0</v>
      </c>
      <c r="P28" s="132">
        <v>0</v>
      </c>
      <c r="Q28" s="132">
        <v>0</v>
      </c>
      <c r="R28" s="132">
        <v>0</v>
      </c>
      <c r="S28" s="132">
        <v>0</v>
      </c>
      <c r="T28" s="132">
        <v>0</v>
      </c>
      <c r="U28" s="132">
        <v>0</v>
      </c>
      <c r="V28" s="132">
        <v>0</v>
      </c>
      <c r="W28" s="132">
        <v>0</v>
      </c>
      <c r="X28" s="132">
        <v>0</v>
      </c>
      <c r="Y28" s="132">
        <v>0</v>
      </c>
      <c r="Z28" s="132">
        <v>0</v>
      </c>
      <c r="AA28" s="132">
        <v>0</v>
      </c>
      <c r="AB28" s="132">
        <v>2</v>
      </c>
      <c r="AC28" s="132">
        <v>2</v>
      </c>
      <c r="AD28" s="132">
        <v>8</v>
      </c>
      <c r="AE28" s="132">
        <v>25</v>
      </c>
      <c r="AF28" s="132">
        <v>46</v>
      </c>
      <c r="AG28" s="132">
        <v>26</v>
      </c>
      <c r="AH28" s="132">
        <v>28</v>
      </c>
      <c r="AI28" s="132">
        <v>34</v>
      </c>
      <c r="AJ28" s="132">
        <v>44</v>
      </c>
      <c r="AK28" s="132">
        <v>29</v>
      </c>
      <c r="AL28" s="132">
        <v>42</v>
      </c>
      <c r="AM28" s="132">
        <v>26</v>
      </c>
      <c r="AN28" s="132">
        <v>39</v>
      </c>
      <c r="AO28" s="132">
        <v>19</v>
      </c>
      <c r="AP28" s="132">
        <v>20</v>
      </c>
      <c r="AQ28" s="132">
        <v>20</v>
      </c>
      <c r="AR28" s="132">
        <v>21</v>
      </c>
      <c r="AS28" s="132">
        <v>23</v>
      </c>
      <c r="AT28" s="132">
        <v>15</v>
      </c>
      <c r="AU28" s="132">
        <v>3</v>
      </c>
      <c r="AV28" s="132">
        <v>3</v>
      </c>
      <c r="AW28" s="132">
        <v>5</v>
      </c>
      <c r="AX28" s="132">
        <v>0</v>
      </c>
      <c r="AY28" s="132"/>
    </row>
    <row r="29" spans="1:51" x14ac:dyDescent="0.25">
      <c r="A29" s="133"/>
      <c r="B29" t="s">
        <v>446</v>
      </c>
      <c r="C29" s="132">
        <v>0</v>
      </c>
      <c r="D29" s="132">
        <v>0</v>
      </c>
      <c r="E29" s="132">
        <v>0</v>
      </c>
      <c r="F29" s="132">
        <v>0</v>
      </c>
      <c r="G29" s="132">
        <v>0</v>
      </c>
      <c r="H29" s="132">
        <v>0</v>
      </c>
      <c r="I29" s="132">
        <v>0</v>
      </c>
      <c r="J29" s="132">
        <v>0</v>
      </c>
      <c r="K29" s="132">
        <v>0</v>
      </c>
      <c r="L29" s="132">
        <v>0</v>
      </c>
      <c r="M29" s="132">
        <v>0</v>
      </c>
      <c r="N29" s="132">
        <v>0</v>
      </c>
      <c r="O29" s="132">
        <v>0</v>
      </c>
      <c r="P29" s="132">
        <v>0</v>
      </c>
      <c r="Q29" s="132">
        <v>0</v>
      </c>
      <c r="R29" s="132">
        <v>0</v>
      </c>
      <c r="S29" s="132">
        <v>0</v>
      </c>
      <c r="T29" s="132">
        <v>0</v>
      </c>
      <c r="U29" s="132">
        <v>0</v>
      </c>
      <c r="V29" s="132">
        <v>0</v>
      </c>
      <c r="W29" s="132">
        <v>0</v>
      </c>
      <c r="X29" s="132">
        <v>0</v>
      </c>
      <c r="Y29" s="132">
        <v>0</v>
      </c>
      <c r="Z29" s="132">
        <v>0</v>
      </c>
      <c r="AA29" s="132">
        <v>0</v>
      </c>
      <c r="AB29" s="132">
        <v>0</v>
      </c>
      <c r="AC29" s="132">
        <v>3</v>
      </c>
      <c r="AD29" s="132">
        <v>8</v>
      </c>
      <c r="AE29" s="132">
        <v>7</v>
      </c>
      <c r="AF29" s="132">
        <v>15</v>
      </c>
      <c r="AG29" s="132">
        <v>21</v>
      </c>
      <c r="AH29" s="132">
        <v>13</v>
      </c>
      <c r="AI29" s="132">
        <v>27</v>
      </c>
      <c r="AJ29" s="132">
        <v>37</v>
      </c>
      <c r="AK29" s="132">
        <v>45</v>
      </c>
      <c r="AL29" s="132">
        <v>36</v>
      </c>
      <c r="AM29" s="132">
        <v>34</v>
      </c>
      <c r="AN29" s="132">
        <v>36</v>
      </c>
      <c r="AO29" s="132">
        <v>45</v>
      </c>
      <c r="AP29" s="132">
        <v>32</v>
      </c>
      <c r="AQ29" s="132">
        <v>36</v>
      </c>
      <c r="AR29" s="132">
        <v>30</v>
      </c>
      <c r="AS29" s="132">
        <v>26</v>
      </c>
      <c r="AT29" s="132">
        <v>12</v>
      </c>
      <c r="AU29" s="132">
        <v>7</v>
      </c>
      <c r="AV29" s="132">
        <v>3</v>
      </c>
      <c r="AW29" s="132">
        <v>10</v>
      </c>
      <c r="AX29" s="132">
        <v>0</v>
      </c>
      <c r="AY29" s="132"/>
    </row>
    <row r="30" spans="1:51" x14ac:dyDescent="0.25">
      <c r="A30" s="133"/>
      <c r="B30" t="s">
        <v>447</v>
      </c>
      <c r="C30" s="132">
        <v>0</v>
      </c>
      <c r="D30" s="132">
        <v>0</v>
      </c>
      <c r="E30" s="132">
        <v>0</v>
      </c>
      <c r="F30" s="132">
        <v>0</v>
      </c>
      <c r="G30" s="132">
        <v>0</v>
      </c>
      <c r="H30" s="132">
        <v>0</v>
      </c>
      <c r="I30" s="132">
        <v>0</v>
      </c>
      <c r="J30" s="132">
        <v>0</v>
      </c>
      <c r="K30" s="132">
        <v>0</v>
      </c>
      <c r="L30" s="132">
        <v>0</v>
      </c>
      <c r="M30" s="132">
        <v>0</v>
      </c>
      <c r="N30" s="132">
        <v>0</v>
      </c>
      <c r="O30" s="132">
        <v>0</v>
      </c>
      <c r="P30" s="132">
        <v>0</v>
      </c>
      <c r="Q30" s="132">
        <v>0</v>
      </c>
      <c r="R30" s="132">
        <v>0</v>
      </c>
      <c r="S30" s="132">
        <v>0</v>
      </c>
      <c r="T30" s="132">
        <v>0</v>
      </c>
      <c r="U30" s="132">
        <v>0</v>
      </c>
      <c r="V30" s="132">
        <v>0</v>
      </c>
      <c r="W30" s="132">
        <v>0</v>
      </c>
      <c r="X30" s="132">
        <v>0</v>
      </c>
      <c r="Y30" s="132">
        <v>0</v>
      </c>
      <c r="Z30" s="132">
        <v>0</v>
      </c>
      <c r="AA30" s="132">
        <v>0</v>
      </c>
      <c r="AB30" s="132">
        <v>0</v>
      </c>
      <c r="AC30" s="132">
        <v>0</v>
      </c>
      <c r="AD30" s="132">
        <v>0</v>
      </c>
      <c r="AE30" s="132">
        <v>2</v>
      </c>
      <c r="AF30" s="132">
        <v>7</v>
      </c>
      <c r="AG30" s="132">
        <v>12</v>
      </c>
      <c r="AH30" s="132">
        <v>34</v>
      </c>
      <c r="AI30" s="132">
        <v>29</v>
      </c>
      <c r="AJ30" s="132">
        <v>37</v>
      </c>
      <c r="AK30" s="132">
        <v>44</v>
      </c>
      <c r="AL30" s="132">
        <v>59</v>
      </c>
      <c r="AM30" s="132">
        <v>60</v>
      </c>
      <c r="AN30" s="132">
        <v>43</v>
      </c>
      <c r="AO30" s="132">
        <v>41</v>
      </c>
      <c r="AP30" s="132">
        <v>32</v>
      </c>
      <c r="AQ30" s="132">
        <v>22</v>
      </c>
      <c r="AR30" s="132">
        <v>21</v>
      </c>
      <c r="AS30" s="132">
        <v>19</v>
      </c>
      <c r="AT30" s="132">
        <v>11</v>
      </c>
      <c r="AU30" s="132">
        <v>8</v>
      </c>
      <c r="AV30" s="132">
        <v>4</v>
      </c>
      <c r="AW30" s="132">
        <v>5</v>
      </c>
      <c r="AX30" s="132">
        <v>0</v>
      </c>
      <c r="AY30" s="132"/>
    </row>
    <row r="31" spans="1:51" x14ac:dyDescent="0.25">
      <c r="A31" s="133"/>
      <c r="B31" t="s">
        <v>448</v>
      </c>
      <c r="C31" s="132">
        <v>0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2">
        <v>0</v>
      </c>
      <c r="J31" s="132">
        <v>0</v>
      </c>
      <c r="K31" s="132">
        <v>0</v>
      </c>
      <c r="L31" s="132">
        <v>0</v>
      </c>
      <c r="M31" s="132">
        <v>0</v>
      </c>
      <c r="N31" s="132">
        <v>0</v>
      </c>
      <c r="O31" s="132">
        <v>0</v>
      </c>
      <c r="P31" s="132">
        <v>0</v>
      </c>
      <c r="Q31" s="132">
        <v>0</v>
      </c>
      <c r="R31" s="132">
        <v>0</v>
      </c>
      <c r="S31" s="132">
        <v>0</v>
      </c>
      <c r="T31" s="132">
        <v>0</v>
      </c>
      <c r="U31" s="132">
        <v>0</v>
      </c>
      <c r="V31" s="132">
        <v>0</v>
      </c>
      <c r="W31" s="132">
        <v>2</v>
      </c>
      <c r="X31" s="132">
        <v>4</v>
      </c>
      <c r="Y31" s="132">
        <v>4</v>
      </c>
      <c r="Z31" s="132">
        <v>9</v>
      </c>
      <c r="AA31" s="132">
        <v>10</v>
      </c>
      <c r="AB31" s="132">
        <v>14</v>
      </c>
      <c r="AC31" s="132">
        <v>22</v>
      </c>
      <c r="AD31" s="132">
        <v>27</v>
      </c>
      <c r="AE31" s="132">
        <v>34</v>
      </c>
      <c r="AF31" s="132">
        <v>41</v>
      </c>
      <c r="AG31" s="132">
        <v>37</v>
      </c>
      <c r="AH31" s="132">
        <v>36</v>
      </c>
      <c r="AI31" s="132">
        <v>33</v>
      </c>
      <c r="AJ31" s="132">
        <v>42</v>
      </c>
      <c r="AK31" s="132">
        <v>50</v>
      </c>
      <c r="AL31" s="132">
        <v>27</v>
      </c>
      <c r="AM31" s="132">
        <v>18</v>
      </c>
      <c r="AN31" s="132">
        <v>19</v>
      </c>
      <c r="AO31" s="132">
        <v>18</v>
      </c>
      <c r="AP31" s="132">
        <v>9</v>
      </c>
      <c r="AQ31" s="132">
        <v>13</v>
      </c>
      <c r="AR31" s="132">
        <v>6</v>
      </c>
      <c r="AS31" s="132">
        <v>3</v>
      </c>
      <c r="AT31" s="132">
        <v>2</v>
      </c>
      <c r="AU31" s="132">
        <v>0</v>
      </c>
      <c r="AV31" s="132">
        <v>0</v>
      </c>
      <c r="AW31" s="132">
        <v>0</v>
      </c>
      <c r="AX31" s="132">
        <v>0</v>
      </c>
      <c r="AY31" s="132"/>
    </row>
    <row r="32" spans="1:51" x14ac:dyDescent="0.25">
      <c r="A32" s="133"/>
      <c r="B32" t="s">
        <v>449</v>
      </c>
      <c r="C32" s="132">
        <v>0</v>
      </c>
      <c r="D32" s="132">
        <v>0</v>
      </c>
      <c r="E32" s="132">
        <v>0</v>
      </c>
      <c r="F32" s="132">
        <v>0</v>
      </c>
      <c r="G32" s="132">
        <v>0</v>
      </c>
      <c r="H32" s="132">
        <v>0</v>
      </c>
      <c r="I32" s="132">
        <v>0</v>
      </c>
      <c r="J32" s="132">
        <v>0</v>
      </c>
      <c r="K32" s="132">
        <v>0</v>
      </c>
      <c r="L32" s="132">
        <v>0</v>
      </c>
      <c r="M32" s="132">
        <v>0</v>
      </c>
      <c r="N32" s="132">
        <v>0</v>
      </c>
      <c r="O32" s="132">
        <v>0</v>
      </c>
      <c r="P32" s="132">
        <v>0</v>
      </c>
      <c r="Q32" s="132">
        <v>0</v>
      </c>
      <c r="R32" s="132">
        <v>0</v>
      </c>
      <c r="S32" s="132">
        <v>2</v>
      </c>
      <c r="T32" s="132">
        <v>8</v>
      </c>
      <c r="U32" s="132">
        <v>31</v>
      </c>
      <c r="V32" s="132">
        <v>11</v>
      </c>
      <c r="W32" s="132">
        <v>26</v>
      </c>
      <c r="X32" s="132">
        <v>20</v>
      </c>
      <c r="Y32" s="132">
        <v>24</v>
      </c>
      <c r="Z32" s="132">
        <v>21</v>
      </c>
      <c r="AA32" s="132">
        <v>21</v>
      </c>
      <c r="AB32" s="132">
        <v>38</v>
      </c>
      <c r="AC32" s="132">
        <v>23</v>
      </c>
      <c r="AD32" s="132">
        <v>23</v>
      </c>
      <c r="AE32" s="132">
        <v>23</v>
      </c>
      <c r="AF32" s="132">
        <v>21</v>
      </c>
      <c r="AG32" s="132">
        <v>24</v>
      </c>
      <c r="AH32" s="132">
        <v>24</v>
      </c>
      <c r="AI32" s="132">
        <v>37</v>
      </c>
      <c r="AJ32" s="132">
        <v>28</v>
      </c>
      <c r="AK32" s="132">
        <v>25</v>
      </c>
      <c r="AL32" s="132">
        <v>22</v>
      </c>
      <c r="AM32" s="132">
        <v>9</v>
      </c>
      <c r="AN32" s="132">
        <v>13</v>
      </c>
      <c r="AO32" s="132">
        <v>11</v>
      </c>
      <c r="AP32" s="132">
        <v>6</v>
      </c>
      <c r="AQ32" s="132">
        <v>5</v>
      </c>
      <c r="AR32" s="132">
        <v>0</v>
      </c>
      <c r="AS32" s="132">
        <v>0</v>
      </c>
      <c r="AT32" s="132">
        <v>0</v>
      </c>
      <c r="AU32" s="132">
        <v>0</v>
      </c>
      <c r="AV32" s="132">
        <v>0</v>
      </c>
      <c r="AW32" s="132">
        <v>0</v>
      </c>
      <c r="AX32" s="132">
        <v>0</v>
      </c>
      <c r="AY32" s="132"/>
    </row>
    <row r="33" spans="1:51" x14ac:dyDescent="0.25">
      <c r="A33" s="133"/>
      <c r="B33" t="s">
        <v>450</v>
      </c>
      <c r="C33" s="132">
        <v>0</v>
      </c>
      <c r="D33" s="132">
        <v>0</v>
      </c>
      <c r="E33" s="132">
        <v>0</v>
      </c>
      <c r="F33" s="132">
        <v>0</v>
      </c>
      <c r="G33" s="132">
        <v>0</v>
      </c>
      <c r="H33" s="132">
        <v>0</v>
      </c>
      <c r="I33" s="132">
        <v>0</v>
      </c>
      <c r="J33" s="132">
        <v>0</v>
      </c>
      <c r="K33" s="132">
        <v>0</v>
      </c>
      <c r="L33" s="132">
        <v>0</v>
      </c>
      <c r="M33" s="132">
        <v>0</v>
      </c>
      <c r="N33" s="132">
        <v>0</v>
      </c>
      <c r="O33" s="132">
        <v>0</v>
      </c>
      <c r="P33" s="132">
        <v>2</v>
      </c>
      <c r="Q33" s="132">
        <v>19</v>
      </c>
      <c r="R33" s="132">
        <v>11</v>
      </c>
      <c r="S33" s="132">
        <v>15</v>
      </c>
      <c r="T33" s="132">
        <v>17</v>
      </c>
      <c r="U33" s="132">
        <v>26</v>
      </c>
      <c r="V33" s="132">
        <v>24</v>
      </c>
      <c r="W33" s="132">
        <v>45</v>
      </c>
      <c r="X33" s="132">
        <v>50</v>
      </c>
      <c r="Y33" s="132">
        <v>56</v>
      </c>
      <c r="Z33" s="132">
        <v>50</v>
      </c>
      <c r="AA33" s="132">
        <v>44</v>
      </c>
      <c r="AB33" s="132">
        <v>43</v>
      </c>
      <c r="AC33" s="132">
        <v>32</v>
      </c>
      <c r="AD33" s="132">
        <v>22</v>
      </c>
      <c r="AE33" s="132">
        <v>9</v>
      </c>
      <c r="AF33" s="132">
        <v>4</v>
      </c>
      <c r="AG33" s="132">
        <v>4</v>
      </c>
      <c r="AH33" s="132">
        <v>2</v>
      </c>
      <c r="AI33" s="132">
        <v>4</v>
      </c>
      <c r="AJ33" s="132">
        <v>1</v>
      </c>
      <c r="AK33" s="132">
        <v>0</v>
      </c>
      <c r="AL33" s="132">
        <v>0</v>
      </c>
      <c r="AM33" s="132">
        <v>0</v>
      </c>
      <c r="AN33" s="132">
        <v>0</v>
      </c>
      <c r="AO33" s="132">
        <v>0</v>
      </c>
      <c r="AP33" s="132">
        <v>0</v>
      </c>
      <c r="AQ33" s="132">
        <v>0</v>
      </c>
      <c r="AR33" s="132">
        <v>0</v>
      </c>
      <c r="AS33" s="132">
        <v>0</v>
      </c>
      <c r="AT33" s="132">
        <v>0</v>
      </c>
      <c r="AU33" s="132">
        <v>0</v>
      </c>
      <c r="AV33" s="132">
        <v>0</v>
      </c>
      <c r="AW33" s="132">
        <v>0</v>
      </c>
      <c r="AX33" s="132">
        <v>0</v>
      </c>
      <c r="AY33" s="132"/>
    </row>
    <row r="34" spans="1:51" x14ac:dyDescent="0.25">
      <c r="A34" s="133"/>
      <c r="B34" t="s">
        <v>451</v>
      </c>
      <c r="C34" s="132">
        <v>0</v>
      </c>
      <c r="D34" s="132">
        <v>1</v>
      </c>
      <c r="E34" s="132">
        <v>0</v>
      </c>
      <c r="F34" s="132">
        <v>1</v>
      </c>
      <c r="G34" s="132">
        <v>2</v>
      </c>
      <c r="H34" s="132">
        <v>4</v>
      </c>
      <c r="I34" s="132">
        <v>4</v>
      </c>
      <c r="J34" s="132">
        <v>4</v>
      </c>
      <c r="K34" s="132">
        <v>13</v>
      </c>
      <c r="L34" s="132">
        <v>27</v>
      </c>
      <c r="M34" s="132">
        <v>18</v>
      </c>
      <c r="N34" s="132">
        <v>19</v>
      </c>
      <c r="O34" s="132">
        <v>17</v>
      </c>
      <c r="P34" s="132">
        <v>58</v>
      </c>
      <c r="Q34" s="132">
        <v>44</v>
      </c>
      <c r="R34" s="132">
        <v>51</v>
      </c>
      <c r="S34" s="132">
        <v>44</v>
      </c>
      <c r="T34" s="132">
        <v>20</v>
      </c>
      <c r="U34" s="132">
        <v>13</v>
      </c>
      <c r="V34" s="132">
        <v>17</v>
      </c>
      <c r="W34" s="132">
        <v>60</v>
      </c>
      <c r="X34" s="132">
        <v>53</v>
      </c>
      <c r="Y34" s="132">
        <v>12</v>
      </c>
      <c r="Z34" s="132">
        <v>7</v>
      </c>
      <c r="AA34" s="132">
        <v>5</v>
      </c>
      <c r="AB34" s="132">
        <v>1</v>
      </c>
      <c r="AC34" s="132">
        <v>1</v>
      </c>
      <c r="AD34" s="132">
        <v>0</v>
      </c>
      <c r="AE34" s="132">
        <v>0</v>
      </c>
      <c r="AF34" s="132">
        <v>0</v>
      </c>
      <c r="AG34" s="132">
        <v>0</v>
      </c>
      <c r="AH34" s="132">
        <v>0</v>
      </c>
      <c r="AI34" s="132">
        <v>0</v>
      </c>
      <c r="AJ34" s="132">
        <v>0</v>
      </c>
      <c r="AK34" s="132">
        <v>0</v>
      </c>
      <c r="AL34" s="132">
        <v>0</v>
      </c>
      <c r="AM34" s="132">
        <v>0</v>
      </c>
      <c r="AN34" s="132">
        <v>0</v>
      </c>
      <c r="AO34" s="132">
        <v>0</v>
      </c>
      <c r="AP34" s="132">
        <v>0</v>
      </c>
      <c r="AQ34" s="132">
        <v>0</v>
      </c>
      <c r="AR34" s="132">
        <v>0</v>
      </c>
      <c r="AS34" s="132">
        <v>0</v>
      </c>
      <c r="AT34" s="132">
        <v>0</v>
      </c>
      <c r="AU34" s="132">
        <v>0</v>
      </c>
      <c r="AV34" s="132">
        <v>0</v>
      </c>
      <c r="AW34" s="132">
        <v>0</v>
      </c>
      <c r="AX34" s="132">
        <v>0</v>
      </c>
      <c r="AY34" s="132"/>
    </row>
    <row r="35" spans="1:51" ht="15.75" thickBot="1" x14ac:dyDescent="0.3"/>
    <row r="36" spans="1:51" x14ac:dyDescent="0.25">
      <c r="A36" s="134" t="s">
        <v>452</v>
      </c>
      <c r="B36" s="135"/>
    </row>
    <row r="37" spans="1:51" x14ac:dyDescent="0.25">
      <c r="A37" s="136" t="s">
        <v>440</v>
      </c>
      <c r="B37" s="137">
        <f>SUM(C37:AY37)</f>
        <v>423.80477975506795</v>
      </c>
      <c r="C37">
        <f t="shared" ref="C37:AY42" si="26">(C$13+C$14)/(C$3+C$4)*C$10*C23</f>
        <v>0</v>
      </c>
      <c r="D37">
        <f t="shared" si="26"/>
        <v>0</v>
      </c>
      <c r="E37">
        <f t="shared" si="26"/>
        <v>0</v>
      </c>
      <c r="F37">
        <f t="shared" si="26"/>
        <v>1.812564438013182</v>
      </c>
      <c r="G37">
        <f t="shared" si="26"/>
        <v>3.4275691123687162</v>
      </c>
      <c r="H37">
        <f t="shared" si="26"/>
        <v>3.236107343031783</v>
      </c>
      <c r="I37">
        <f t="shared" si="26"/>
        <v>3.0506829249781218</v>
      </c>
      <c r="J37">
        <f t="shared" si="26"/>
        <v>5.7424720332402455</v>
      </c>
      <c r="K37">
        <f t="shared" si="26"/>
        <v>22.930514299302299</v>
      </c>
      <c r="L37">
        <f t="shared" si="26"/>
        <v>18.97529468229348</v>
      </c>
      <c r="M37">
        <f t="shared" si="26"/>
        <v>22.497649962701036</v>
      </c>
      <c r="N37">
        <f t="shared" si="26"/>
        <v>26.544647608538469</v>
      </c>
      <c r="O37">
        <f t="shared" si="26"/>
        <v>24.01934326463341</v>
      </c>
      <c r="P37">
        <f t="shared" si="26"/>
        <v>11.818744834616966</v>
      </c>
      <c r="Q37">
        <f t="shared" si="26"/>
        <v>25.045698667533443</v>
      </c>
      <c r="R37">
        <f t="shared" si="26"/>
        <v>52.341737600592651</v>
      </c>
      <c r="S37">
        <f t="shared" si="26"/>
        <v>42.588540542240253</v>
      </c>
      <c r="T37">
        <f t="shared" si="26"/>
        <v>33.768023402876764</v>
      </c>
      <c r="U37">
        <f t="shared" si="26"/>
        <v>71.042064799834762</v>
      </c>
      <c r="V37">
        <f t="shared" si="26"/>
        <v>21.418960837656996</v>
      </c>
      <c r="W37">
        <f t="shared" si="26"/>
        <v>14.319959493105433</v>
      </c>
      <c r="X37">
        <f t="shared" si="26"/>
        <v>11.565873475230813</v>
      </c>
      <c r="Y37">
        <f t="shared" si="26"/>
        <v>3.868759813813484</v>
      </c>
      <c r="Z37">
        <f t="shared" si="26"/>
        <v>3.7895706184657008</v>
      </c>
      <c r="AA37">
        <f t="shared" si="26"/>
        <v>0</v>
      </c>
      <c r="AB37">
        <f t="shared" si="26"/>
        <v>0</v>
      </c>
      <c r="AC37">
        <f t="shared" si="26"/>
        <v>0</v>
      </c>
      <c r="AD37">
        <f t="shared" si="26"/>
        <v>0</v>
      </c>
      <c r="AE37">
        <f t="shared" si="26"/>
        <v>0</v>
      </c>
      <c r="AF37">
        <f t="shared" si="26"/>
        <v>0</v>
      </c>
      <c r="AG37">
        <f t="shared" si="26"/>
        <v>0</v>
      </c>
      <c r="AH37">
        <f t="shared" si="26"/>
        <v>0</v>
      </c>
      <c r="AI37">
        <f t="shared" si="26"/>
        <v>0</v>
      </c>
      <c r="AJ37">
        <f t="shared" si="26"/>
        <v>0</v>
      </c>
      <c r="AK37">
        <f t="shared" si="26"/>
        <v>0</v>
      </c>
      <c r="AL37">
        <f t="shared" si="26"/>
        <v>0</v>
      </c>
      <c r="AM37">
        <f t="shared" si="26"/>
        <v>0</v>
      </c>
      <c r="AN37">
        <f t="shared" si="26"/>
        <v>0</v>
      </c>
      <c r="AO37">
        <f t="shared" si="26"/>
        <v>0</v>
      </c>
      <c r="AP37">
        <f t="shared" si="26"/>
        <v>0</v>
      </c>
      <c r="AQ37">
        <f t="shared" si="26"/>
        <v>0</v>
      </c>
      <c r="AR37">
        <f t="shared" si="26"/>
        <v>0</v>
      </c>
      <c r="AS37">
        <f t="shared" si="26"/>
        <v>0</v>
      </c>
      <c r="AT37">
        <f t="shared" si="26"/>
        <v>0</v>
      </c>
      <c r="AU37">
        <f t="shared" si="26"/>
        <v>0</v>
      </c>
      <c r="AV37">
        <f t="shared" si="26"/>
        <v>0</v>
      </c>
      <c r="AW37">
        <f t="shared" si="26"/>
        <v>0</v>
      </c>
      <c r="AX37">
        <f t="shared" si="26"/>
        <v>0</v>
      </c>
      <c r="AY37">
        <f t="shared" si="26"/>
        <v>0</v>
      </c>
    </row>
    <row r="38" spans="1:51" x14ac:dyDescent="0.25">
      <c r="A38" s="136" t="s">
        <v>441</v>
      </c>
      <c r="B38" s="137">
        <f t="shared" ref="B38:B48" si="27">SUM(C38:AY38)</f>
        <v>389.87534060776449</v>
      </c>
      <c r="C38">
        <f t="shared" si="26"/>
        <v>0</v>
      </c>
      <c r="D38">
        <f t="shared" si="26"/>
        <v>2.0193945233741202</v>
      </c>
      <c r="E38">
        <f t="shared" si="26"/>
        <v>1.9144240459771045</v>
      </c>
      <c r="F38">
        <f t="shared" si="26"/>
        <v>0</v>
      </c>
      <c r="G38">
        <f t="shared" si="26"/>
        <v>5.1413536685530747</v>
      </c>
      <c r="H38">
        <f t="shared" si="26"/>
        <v>3.236107343031783</v>
      </c>
      <c r="I38">
        <f t="shared" si="26"/>
        <v>3.0506829249781218</v>
      </c>
      <c r="J38">
        <f t="shared" si="26"/>
        <v>2.8712360166201227</v>
      </c>
      <c r="K38">
        <f t="shared" si="26"/>
        <v>9.4419764761832994</v>
      </c>
      <c r="L38">
        <f t="shared" si="26"/>
        <v>11.385176809376087</v>
      </c>
      <c r="M38">
        <f t="shared" si="26"/>
        <v>16.577215761990239</v>
      </c>
      <c r="N38">
        <f t="shared" si="26"/>
        <v>17.696431739025645</v>
      </c>
      <c r="O38">
        <f t="shared" si="26"/>
        <v>19.842066175131947</v>
      </c>
      <c r="P38">
        <f t="shared" si="26"/>
        <v>29.546862086542415</v>
      </c>
      <c r="Q38">
        <f t="shared" si="26"/>
        <v>44.525686520059459</v>
      </c>
      <c r="R38">
        <f t="shared" si="26"/>
        <v>79.384968694232199</v>
      </c>
      <c r="S38">
        <f t="shared" si="26"/>
        <v>67.158852393532712</v>
      </c>
      <c r="T38">
        <f t="shared" si="26"/>
        <v>19.18637693345271</v>
      </c>
      <c r="U38">
        <f t="shared" si="26"/>
        <v>14.351932282794902</v>
      </c>
      <c r="V38">
        <f t="shared" si="26"/>
        <v>16.733563154419528</v>
      </c>
      <c r="W38">
        <f t="shared" si="26"/>
        <v>10.584317886208362</v>
      </c>
      <c r="X38">
        <f t="shared" si="26"/>
        <v>6.0583146775018548</v>
      </c>
      <c r="Y38">
        <f t="shared" si="26"/>
        <v>3.3851648370867986</v>
      </c>
      <c r="Z38">
        <f t="shared" si="26"/>
        <v>2.5263804123104672</v>
      </c>
      <c r="AA38">
        <f t="shared" si="26"/>
        <v>1.0893041388855043</v>
      </c>
      <c r="AB38">
        <f t="shared" si="26"/>
        <v>2.1675511064960404</v>
      </c>
      <c r="AC38">
        <f t="shared" si="26"/>
        <v>0</v>
      </c>
      <c r="AD38">
        <f t="shared" si="26"/>
        <v>0</v>
      </c>
      <c r="AE38">
        <f t="shared" si="26"/>
        <v>0</v>
      </c>
      <c r="AF38">
        <f t="shared" si="26"/>
        <v>0</v>
      </c>
      <c r="AG38">
        <f t="shared" si="26"/>
        <v>0</v>
      </c>
      <c r="AH38">
        <f t="shared" si="26"/>
        <v>0</v>
      </c>
      <c r="AI38">
        <f t="shared" si="26"/>
        <v>0</v>
      </c>
      <c r="AJ38">
        <f t="shared" si="26"/>
        <v>0</v>
      </c>
      <c r="AK38">
        <f t="shared" si="26"/>
        <v>0</v>
      </c>
      <c r="AL38">
        <f t="shared" si="26"/>
        <v>0</v>
      </c>
      <c r="AM38">
        <f t="shared" si="26"/>
        <v>0</v>
      </c>
      <c r="AN38">
        <f t="shared" si="26"/>
        <v>0</v>
      </c>
      <c r="AO38">
        <f t="shared" si="26"/>
        <v>0</v>
      </c>
      <c r="AP38">
        <f t="shared" si="26"/>
        <v>0</v>
      </c>
      <c r="AQ38">
        <f t="shared" si="26"/>
        <v>0</v>
      </c>
      <c r="AR38">
        <f t="shared" si="26"/>
        <v>0</v>
      </c>
      <c r="AS38">
        <f t="shared" si="26"/>
        <v>0</v>
      </c>
      <c r="AT38">
        <f t="shared" si="26"/>
        <v>0</v>
      </c>
      <c r="AU38">
        <f t="shared" si="26"/>
        <v>0</v>
      </c>
      <c r="AV38">
        <f t="shared" si="26"/>
        <v>0</v>
      </c>
      <c r="AW38">
        <f t="shared" si="26"/>
        <v>0</v>
      </c>
      <c r="AX38">
        <f t="shared" si="26"/>
        <v>0</v>
      </c>
      <c r="AY38">
        <f t="shared" si="26"/>
        <v>0</v>
      </c>
    </row>
    <row r="39" spans="1:51" x14ac:dyDescent="0.25">
      <c r="A39" s="136" t="s">
        <v>442</v>
      </c>
      <c r="B39" s="137">
        <f t="shared" si="27"/>
        <v>273.27759934232529</v>
      </c>
      <c r="C39">
        <f t="shared" si="26"/>
        <v>0</v>
      </c>
      <c r="D39">
        <f t="shared" si="26"/>
        <v>0</v>
      </c>
      <c r="E39">
        <f t="shared" si="26"/>
        <v>0</v>
      </c>
      <c r="F39">
        <f t="shared" si="26"/>
        <v>0</v>
      </c>
      <c r="G39">
        <f t="shared" si="26"/>
        <v>0</v>
      </c>
      <c r="H39">
        <f t="shared" si="26"/>
        <v>0</v>
      </c>
      <c r="I39">
        <f t="shared" si="26"/>
        <v>0</v>
      </c>
      <c r="J39">
        <f t="shared" si="26"/>
        <v>0</v>
      </c>
      <c r="K39">
        <f t="shared" si="26"/>
        <v>0</v>
      </c>
      <c r="L39">
        <f t="shared" si="26"/>
        <v>0</v>
      </c>
      <c r="M39">
        <f t="shared" si="26"/>
        <v>0</v>
      </c>
      <c r="N39">
        <f t="shared" si="26"/>
        <v>0</v>
      </c>
      <c r="O39">
        <f t="shared" si="26"/>
        <v>2.0886385447507312</v>
      </c>
      <c r="P39">
        <f t="shared" si="26"/>
        <v>8.8640586259627252</v>
      </c>
      <c r="Q39">
        <f t="shared" si="26"/>
        <v>5.5657108150074324</v>
      </c>
      <c r="R39">
        <f t="shared" si="26"/>
        <v>8.7236229334321091</v>
      </c>
      <c r="S39">
        <f t="shared" si="26"/>
        <v>12.285155925646228</v>
      </c>
      <c r="T39">
        <f t="shared" si="26"/>
        <v>33.000568325538659</v>
      </c>
      <c r="U39">
        <f t="shared" si="26"/>
        <v>40.90300700596547</v>
      </c>
      <c r="V39">
        <f t="shared" si="26"/>
        <v>20.080275785303435</v>
      </c>
      <c r="W39">
        <f t="shared" si="26"/>
        <v>35.488595265522157</v>
      </c>
      <c r="X39">
        <f t="shared" si="26"/>
        <v>29.19006162796348</v>
      </c>
      <c r="Y39">
        <f t="shared" si="26"/>
        <v>22.728963906154217</v>
      </c>
      <c r="Z39">
        <f t="shared" si="26"/>
        <v>17.263599484121524</v>
      </c>
      <c r="AA39">
        <f t="shared" si="26"/>
        <v>13.071649666626051</v>
      </c>
      <c r="AB39">
        <f t="shared" si="26"/>
        <v>8.3605542679132991</v>
      </c>
      <c r="AC39">
        <f t="shared" si="26"/>
        <v>7.3799954340222351</v>
      </c>
      <c r="AD39">
        <f t="shared" si="26"/>
        <v>3.0965015807086296</v>
      </c>
      <c r="AE39">
        <f t="shared" si="26"/>
        <v>3.019089041190913</v>
      </c>
      <c r="AF39">
        <f t="shared" si="26"/>
        <v>1.0321671935695433</v>
      </c>
      <c r="AG39">
        <f t="shared" si="26"/>
        <v>0.3612585177493402</v>
      </c>
      <c r="AH39">
        <f t="shared" si="26"/>
        <v>0.77412539517715739</v>
      </c>
      <c r="AI39">
        <f t="shared" si="26"/>
        <v>0</v>
      </c>
      <c r="AJ39">
        <f t="shared" si="26"/>
        <v>0</v>
      </c>
      <c r="AK39">
        <f t="shared" si="26"/>
        <v>0</v>
      </c>
      <c r="AL39">
        <f t="shared" si="26"/>
        <v>0</v>
      </c>
      <c r="AM39">
        <f t="shared" si="26"/>
        <v>0</v>
      </c>
      <c r="AN39">
        <f t="shared" si="26"/>
        <v>0</v>
      </c>
      <c r="AO39">
        <f t="shared" si="26"/>
        <v>0</v>
      </c>
      <c r="AP39">
        <f t="shared" si="26"/>
        <v>0</v>
      </c>
      <c r="AQ39">
        <f t="shared" si="26"/>
        <v>0</v>
      </c>
      <c r="AR39">
        <f t="shared" si="26"/>
        <v>0</v>
      </c>
      <c r="AS39">
        <f t="shared" si="26"/>
        <v>0</v>
      </c>
      <c r="AT39">
        <f t="shared" si="26"/>
        <v>0</v>
      </c>
      <c r="AU39">
        <f t="shared" si="26"/>
        <v>0</v>
      </c>
      <c r="AV39">
        <f t="shared" si="26"/>
        <v>0</v>
      </c>
      <c r="AW39">
        <f t="shared" si="26"/>
        <v>0</v>
      </c>
      <c r="AX39">
        <f t="shared" si="26"/>
        <v>0</v>
      </c>
      <c r="AY39">
        <f t="shared" si="26"/>
        <v>0</v>
      </c>
    </row>
    <row r="40" spans="1:51" x14ac:dyDescent="0.25">
      <c r="A40" s="136" t="s">
        <v>443</v>
      </c>
      <c r="B40" s="137">
        <f t="shared" si="27"/>
        <v>147.3831164585626</v>
      </c>
      <c r="C40">
        <f t="shared" si="26"/>
        <v>0</v>
      </c>
      <c r="D40">
        <f t="shared" si="26"/>
        <v>0</v>
      </c>
      <c r="E40">
        <f t="shared" si="26"/>
        <v>0</v>
      </c>
      <c r="F40">
        <f t="shared" si="26"/>
        <v>0</v>
      </c>
      <c r="G40">
        <f t="shared" si="26"/>
        <v>0</v>
      </c>
      <c r="H40">
        <f t="shared" si="26"/>
        <v>0</v>
      </c>
      <c r="I40">
        <f t="shared" si="26"/>
        <v>0</v>
      </c>
      <c r="J40">
        <f t="shared" si="26"/>
        <v>0</v>
      </c>
      <c r="K40">
        <f t="shared" si="26"/>
        <v>0</v>
      </c>
      <c r="L40">
        <f t="shared" si="26"/>
        <v>0</v>
      </c>
      <c r="M40">
        <f t="shared" si="26"/>
        <v>0</v>
      </c>
      <c r="N40">
        <f t="shared" si="26"/>
        <v>0</v>
      </c>
      <c r="O40">
        <f t="shared" si="26"/>
        <v>0</v>
      </c>
      <c r="P40">
        <f t="shared" si="26"/>
        <v>0</v>
      </c>
      <c r="Q40">
        <f t="shared" si="26"/>
        <v>0</v>
      </c>
      <c r="R40">
        <f t="shared" si="26"/>
        <v>0</v>
      </c>
      <c r="S40">
        <f t="shared" si="26"/>
        <v>0</v>
      </c>
      <c r="T40">
        <f t="shared" si="26"/>
        <v>3.8372753866905418</v>
      </c>
      <c r="U40">
        <f t="shared" si="26"/>
        <v>5.7407729131179606</v>
      </c>
      <c r="V40">
        <f t="shared" si="26"/>
        <v>13.386850523535623</v>
      </c>
      <c r="W40">
        <f t="shared" si="26"/>
        <v>12.452138689656898</v>
      </c>
      <c r="X40">
        <f t="shared" si="26"/>
        <v>14.870408753868189</v>
      </c>
      <c r="Y40">
        <f t="shared" si="26"/>
        <v>13.057064371620509</v>
      </c>
      <c r="Z40">
        <f t="shared" si="26"/>
        <v>12.210838659500592</v>
      </c>
      <c r="AA40">
        <f t="shared" si="26"/>
        <v>13.071649666626051</v>
      </c>
      <c r="AB40">
        <f t="shared" si="26"/>
        <v>11.147405690551066</v>
      </c>
      <c r="AC40">
        <f t="shared" si="26"/>
        <v>9.9346092381068551</v>
      </c>
      <c r="AD40">
        <f t="shared" si="26"/>
        <v>13.160131718011675</v>
      </c>
      <c r="AE40">
        <f t="shared" si="26"/>
        <v>6.2704157009349739</v>
      </c>
      <c r="AF40">
        <f t="shared" si="26"/>
        <v>6.6058700388450768</v>
      </c>
      <c r="AG40">
        <f t="shared" si="26"/>
        <v>4.1544729541174119</v>
      </c>
      <c r="AH40">
        <f t="shared" si="26"/>
        <v>2.1675511064960404</v>
      </c>
      <c r="AI40">
        <f t="shared" si="26"/>
        <v>2.3223761855314713</v>
      </c>
      <c r="AJ40">
        <f t="shared" si="26"/>
        <v>0.82573375485563461</v>
      </c>
      <c r="AK40">
        <f t="shared" si="26"/>
        <v>0.69671285565944208</v>
      </c>
      <c r="AL40">
        <f t="shared" si="26"/>
        <v>1.0321671935695451</v>
      </c>
      <c r="AM40">
        <f t="shared" si="26"/>
        <v>0.43867105726705508</v>
      </c>
      <c r="AN40">
        <f t="shared" si="26"/>
        <v>0</v>
      </c>
      <c r="AO40">
        <f t="shared" si="26"/>
        <v>0</v>
      </c>
      <c r="AP40">
        <f t="shared" si="26"/>
        <v>0</v>
      </c>
      <c r="AQ40">
        <f t="shared" si="26"/>
        <v>0</v>
      </c>
      <c r="AR40">
        <f t="shared" si="26"/>
        <v>0</v>
      </c>
      <c r="AS40">
        <f t="shared" si="26"/>
        <v>0</v>
      </c>
      <c r="AT40">
        <f t="shared" si="26"/>
        <v>0</v>
      </c>
      <c r="AU40">
        <f t="shared" si="26"/>
        <v>0</v>
      </c>
      <c r="AV40">
        <f t="shared" si="26"/>
        <v>0</v>
      </c>
      <c r="AW40">
        <f t="shared" si="26"/>
        <v>0</v>
      </c>
      <c r="AX40">
        <f t="shared" si="26"/>
        <v>0</v>
      </c>
      <c r="AY40">
        <f t="shared" si="26"/>
        <v>0</v>
      </c>
    </row>
    <row r="41" spans="1:51" x14ac:dyDescent="0.25">
      <c r="A41" s="136" t="s">
        <v>444</v>
      </c>
      <c r="B41" s="137">
        <f t="shared" si="27"/>
        <v>66.6108922358288</v>
      </c>
      <c r="C41">
        <f t="shared" si="26"/>
        <v>0</v>
      </c>
      <c r="D41">
        <f t="shared" si="26"/>
        <v>0</v>
      </c>
      <c r="E41">
        <f t="shared" si="26"/>
        <v>0</v>
      </c>
      <c r="F41">
        <f t="shared" si="26"/>
        <v>0</v>
      </c>
      <c r="G41">
        <f t="shared" si="26"/>
        <v>0</v>
      </c>
      <c r="H41">
        <f t="shared" si="26"/>
        <v>0</v>
      </c>
      <c r="I41">
        <f t="shared" si="26"/>
        <v>0</v>
      </c>
      <c r="J41">
        <f t="shared" si="26"/>
        <v>0</v>
      </c>
      <c r="K41">
        <f t="shared" si="26"/>
        <v>0</v>
      </c>
      <c r="L41">
        <f t="shared" si="26"/>
        <v>0</v>
      </c>
      <c r="M41">
        <f t="shared" si="26"/>
        <v>0</v>
      </c>
      <c r="N41">
        <f t="shared" si="26"/>
        <v>0</v>
      </c>
      <c r="O41">
        <f t="shared" si="26"/>
        <v>0</v>
      </c>
      <c r="P41">
        <f t="shared" si="26"/>
        <v>0</v>
      </c>
      <c r="Q41">
        <f t="shared" si="26"/>
        <v>0</v>
      </c>
      <c r="R41">
        <f t="shared" si="26"/>
        <v>0</v>
      </c>
      <c r="S41">
        <f t="shared" si="26"/>
        <v>0</v>
      </c>
      <c r="T41">
        <f t="shared" si="26"/>
        <v>0</v>
      </c>
      <c r="U41">
        <f t="shared" si="26"/>
        <v>0</v>
      </c>
      <c r="V41">
        <f t="shared" si="26"/>
        <v>0</v>
      </c>
      <c r="W41">
        <f t="shared" si="26"/>
        <v>0</v>
      </c>
      <c r="X41">
        <f t="shared" si="26"/>
        <v>1.6522676393186875</v>
      </c>
      <c r="Y41">
        <f t="shared" si="26"/>
        <v>2.9015698603601132</v>
      </c>
      <c r="Z41">
        <f t="shared" si="26"/>
        <v>4.6316974225691894</v>
      </c>
      <c r="AA41">
        <f t="shared" si="26"/>
        <v>2.1786082777710085</v>
      </c>
      <c r="AB41">
        <f t="shared" si="26"/>
        <v>2.4772012645669035</v>
      </c>
      <c r="AC41">
        <f t="shared" si="26"/>
        <v>6.244611521095738</v>
      </c>
      <c r="AD41">
        <f t="shared" si="26"/>
        <v>6.4510449598096447</v>
      </c>
      <c r="AE41">
        <f t="shared" si="26"/>
        <v>5.5737028452755322</v>
      </c>
      <c r="AF41">
        <f t="shared" si="26"/>
        <v>4.5415356517059902</v>
      </c>
      <c r="AG41">
        <f t="shared" si="26"/>
        <v>6.8639118372374641</v>
      </c>
      <c r="AH41">
        <f t="shared" si="26"/>
        <v>6.8123034775589844</v>
      </c>
      <c r="AI41">
        <f t="shared" si="26"/>
        <v>4.5157314718667498</v>
      </c>
      <c r="AJ41">
        <f t="shared" si="26"/>
        <v>5.4704861259185789</v>
      </c>
      <c r="AK41">
        <f t="shared" si="26"/>
        <v>3.5609768178149261</v>
      </c>
      <c r="AL41">
        <f t="shared" si="26"/>
        <v>2.0643343871390902</v>
      </c>
      <c r="AM41">
        <f t="shared" si="26"/>
        <v>0.67090867582020186</v>
      </c>
      <c r="AN41">
        <f t="shared" si="26"/>
        <v>0</v>
      </c>
      <c r="AO41">
        <f t="shared" si="26"/>
        <v>0</v>
      </c>
      <c r="AP41">
        <f t="shared" si="26"/>
        <v>0</v>
      </c>
      <c r="AQ41">
        <f t="shared" si="26"/>
        <v>0</v>
      </c>
      <c r="AR41">
        <f t="shared" si="26"/>
        <v>0</v>
      </c>
      <c r="AS41">
        <f t="shared" si="26"/>
        <v>0</v>
      </c>
      <c r="AT41">
        <f t="shared" si="26"/>
        <v>0</v>
      </c>
      <c r="AU41">
        <f t="shared" si="26"/>
        <v>0</v>
      </c>
      <c r="AV41">
        <f t="shared" si="26"/>
        <v>0</v>
      </c>
      <c r="AW41">
        <f t="shared" si="26"/>
        <v>0</v>
      </c>
      <c r="AX41">
        <f t="shared" si="26"/>
        <v>0</v>
      </c>
      <c r="AY41">
        <f t="shared" si="26"/>
        <v>0</v>
      </c>
    </row>
    <row r="42" spans="1:51" x14ac:dyDescent="0.25">
      <c r="A42" s="136" t="s">
        <v>445</v>
      </c>
      <c r="B42" s="137">
        <f t="shared" si="27"/>
        <v>41.596337900852589</v>
      </c>
      <c r="C42">
        <f t="shared" si="26"/>
        <v>0</v>
      </c>
      <c r="D42">
        <f t="shared" si="26"/>
        <v>0</v>
      </c>
      <c r="E42">
        <f t="shared" si="26"/>
        <v>0</v>
      </c>
      <c r="F42">
        <f t="shared" si="26"/>
        <v>0</v>
      </c>
      <c r="G42">
        <f t="shared" si="26"/>
        <v>0</v>
      </c>
      <c r="H42">
        <f t="shared" si="26"/>
        <v>0</v>
      </c>
      <c r="I42">
        <f t="shared" si="26"/>
        <v>0</v>
      </c>
      <c r="J42">
        <f t="shared" si="26"/>
        <v>0</v>
      </c>
      <c r="K42">
        <f t="shared" si="26"/>
        <v>0</v>
      </c>
      <c r="L42">
        <f t="shared" si="26"/>
        <v>0</v>
      </c>
      <c r="M42">
        <f t="shared" ref="M42:AY48" si="28">(M$13+M$14)/(M$3+M$4)*M$10*M28</f>
        <v>0</v>
      </c>
      <c r="N42">
        <f t="shared" si="28"/>
        <v>0</v>
      </c>
      <c r="O42">
        <f t="shared" si="28"/>
        <v>0</v>
      </c>
      <c r="P42">
        <f t="shared" si="28"/>
        <v>0</v>
      </c>
      <c r="Q42">
        <f t="shared" si="28"/>
        <v>0</v>
      </c>
      <c r="R42">
        <f t="shared" si="28"/>
        <v>0</v>
      </c>
      <c r="S42">
        <f t="shared" si="28"/>
        <v>0</v>
      </c>
      <c r="T42">
        <f t="shared" si="28"/>
        <v>0</v>
      </c>
      <c r="U42">
        <f t="shared" si="28"/>
        <v>0</v>
      </c>
      <c r="V42">
        <f t="shared" si="28"/>
        <v>0</v>
      </c>
      <c r="W42">
        <f t="shared" si="28"/>
        <v>0</v>
      </c>
      <c r="X42">
        <f t="shared" si="28"/>
        <v>0</v>
      </c>
      <c r="Y42">
        <f t="shared" si="28"/>
        <v>0</v>
      </c>
      <c r="Z42">
        <f t="shared" si="28"/>
        <v>0</v>
      </c>
      <c r="AA42">
        <f t="shared" si="28"/>
        <v>0</v>
      </c>
      <c r="AB42">
        <f t="shared" si="28"/>
        <v>0.61930031614172587</v>
      </c>
      <c r="AC42">
        <f t="shared" si="28"/>
        <v>0.56769195646324888</v>
      </c>
      <c r="AD42">
        <f t="shared" si="28"/>
        <v>2.0643343871390862</v>
      </c>
      <c r="AE42">
        <f t="shared" si="28"/>
        <v>5.8059404638286791</v>
      </c>
      <c r="AF42">
        <f t="shared" si="28"/>
        <v>9.4959381808397971</v>
      </c>
      <c r="AG42">
        <f t="shared" si="28"/>
        <v>4.6963607307414224</v>
      </c>
      <c r="AH42">
        <f t="shared" si="28"/>
        <v>4.3351022129920809</v>
      </c>
      <c r="AI42">
        <f t="shared" si="28"/>
        <v>4.3867105726705571</v>
      </c>
      <c r="AJ42">
        <f t="shared" si="28"/>
        <v>4.5415356517059902</v>
      </c>
      <c r="AK42">
        <f t="shared" si="28"/>
        <v>2.2449636460137579</v>
      </c>
      <c r="AL42">
        <f t="shared" si="28"/>
        <v>2.1675511064960444</v>
      </c>
      <c r="AM42">
        <f t="shared" si="28"/>
        <v>0.67090867582020186</v>
      </c>
      <c r="AN42">
        <f t="shared" si="28"/>
        <v>0</v>
      </c>
      <c r="AO42">
        <f t="shared" si="28"/>
        <v>0</v>
      </c>
      <c r="AP42">
        <f t="shared" si="28"/>
        <v>0</v>
      </c>
      <c r="AQ42">
        <f t="shared" si="28"/>
        <v>0</v>
      </c>
      <c r="AR42">
        <f t="shared" si="28"/>
        <v>0</v>
      </c>
      <c r="AS42">
        <f t="shared" si="28"/>
        <v>0</v>
      </c>
      <c r="AT42">
        <f t="shared" si="28"/>
        <v>0</v>
      </c>
      <c r="AU42">
        <f t="shared" si="28"/>
        <v>0</v>
      </c>
      <c r="AV42">
        <f t="shared" si="28"/>
        <v>0</v>
      </c>
      <c r="AW42">
        <f t="shared" si="28"/>
        <v>0</v>
      </c>
      <c r="AX42">
        <f t="shared" si="28"/>
        <v>0</v>
      </c>
      <c r="AY42">
        <f t="shared" si="28"/>
        <v>0</v>
      </c>
    </row>
    <row r="43" spans="1:51" x14ac:dyDescent="0.25">
      <c r="A43" s="136" t="s">
        <v>446</v>
      </c>
      <c r="B43" s="137">
        <f t="shared" si="27"/>
        <v>26.96536793200432</v>
      </c>
      <c r="C43">
        <f t="shared" ref="C43:AH48" si="29">(C$13+C$14)/(C$3+C$4)*C$10*C29</f>
        <v>0</v>
      </c>
      <c r="D43">
        <f t="shared" si="29"/>
        <v>0</v>
      </c>
      <c r="E43">
        <f t="shared" si="29"/>
        <v>0</v>
      </c>
      <c r="F43">
        <f t="shared" si="29"/>
        <v>0</v>
      </c>
      <c r="G43">
        <f t="shared" si="29"/>
        <v>0</v>
      </c>
      <c r="H43">
        <f t="shared" si="29"/>
        <v>0</v>
      </c>
      <c r="I43">
        <f t="shared" si="29"/>
        <v>0</v>
      </c>
      <c r="J43">
        <f t="shared" si="29"/>
        <v>0</v>
      </c>
      <c r="K43">
        <f t="shared" si="29"/>
        <v>0</v>
      </c>
      <c r="L43">
        <f t="shared" si="29"/>
        <v>0</v>
      </c>
      <c r="M43">
        <f t="shared" si="29"/>
        <v>0</v>
      </c>
      <c r="N43">
        <f t="shared" si="29"/>
        <v>0</v>
      </c>
      <c r="O43">
        <f t="shared" si="29"/>
        <v>0</v>
      </c>
      <c r="P43">
        <f t="shared" si="29"/>
        <v>0</v>
      </c>
      <c r="Q43">
        <f t="shared" si="29"/>
        <v>0</v>
      </c>
      <c r="R43">
        <f t="shared" si="29"/>
        <v>0</v>
      </c>
      <c r="S43">
        <f t="shared" si="29"/>
        <v>0</v>
      </c>
      <c r="T43">
        <f t="shared" si="29"/>
        <v>0</v>
      </c>
      <c r="U43">
        <f t="shared" si="29"/>
        <v>0</v>
      </c>
      <c r="V43">
        <f t="shared" si="29"/>
        <v>0</v>
      </c>
      <c r="W43">
        <f t="shared" si="29"/>
        <v>0</v>
      </c>
      <c r="X43">
        <f t="shared" si="29"/>
        <v>0</v>
      </c>
      <c r="Y43">
        <f t="shared" si="29"/>
        <v>0</v>
      </c>
      <c r="Z43">
        <f t="shared" si="29"/>
        <v>0</v>
      </c>
      <c r="AA43">
        <f t="shared" si="29"/>
        <v>0</v>
      </c>
      <c r="AB43">
        <f t="shared" si="29"/>
        <v>0</v>
      </c>
      <c r="AC43">
        <f t="shared" si="29"/>
        <v>0.85153793469487327</v>
      </c>
      <c r="AD43">
        <f t="shared" si="29"/>
        <v>2.0643343871390862</v>
      </c>
      <c r="AE43">
        <f t="shared" si="29"/>
        <v>1.6256633298720302</v>
      </c>
      <c r="AF43">
        <f t="shared" si="29"/>
        <v>3.0965015807086296</v>
      </c>
      <c r="AG43">
        <f t="shared" si="29"/>
        <v>3.7932144363680722</v>
      </c>
      <c r="AH43">
        <f t="shared" si="29"/>
        <v>2.0127260274606091</v>
      </c>
      <c r="AI43">
        <f t="shared" si="28"/>
        <v>3.4835642782972074</v>
      </c>
      <c r="AJ43">
        <f t="shared" si="28"/>
        <v>3.8190186162073099</v>
      </c>
      <c r="AK43">
        <f t="shared" si="28"/>
        <v>3.4835642782972105</v>
      </c>
      <c r="AL43">
        <f t="shared" si="28"/>
        <v>1.8579009484251812</v>
      </c>
      <c r="AM43">
        <f t="shared" si="28"/>
        <v>0.87734211453411015</v>
      </c>
      <c r="AN43">
        <f t="shared" si="28"/>
        <v>0</v>
      </c>
      <c r="AO43">
        <f t="shared" si="28"/>
        <v>0</v>
      </c>
      <c r="AP43">
        <f t="shared" si="28"/>
        <v>0</v>
      </c>
      <c r="AQ43">
        <f t="shared" si="28"/>
        <v>0</v>
      </c>
      <c r="AR43">
        <f t="shared" si="28"/>
        <v>0</v>
      </c>
      <c r="AS43">
        <f t="shared" si="28"/>
        <v>0</v>
      </c>
      <c r="AT43">
        <f t="shared" si="28"/>
        <v>0</v>
      </c>
      <c r="AU43">
        <f t="shared" si="28"/>
        <v>0</v>
      </c>
      <c r="AV43">
        <f t="shared" si="28"/>
        <v>0</v>
      </c>
      <c r="AW43">
        <f t="shared" si="28"/>
        <v>0</v>
      </c>
      <c r="AX43">
        <f t="shared" si="28"/>
        <v>0</v>
      </c>
      <c r="AY43">
        <f t="shared" si="28"/>
        <v>0</v>
      </c>
    </row>
    <row r="44" spans="1:51" x14ac:dyDescent="0.25">
      <c r="A44" s="136" t="s">
        <v>447</v>
      </c>
      <c r="B44" s="137">
        <f t="shared" si="27"/>
        <v>24.901033544865236</v>
      </c>
      <c r="C44">
        <f t="shared" si="29"/>
        <v>0</v>
      </c>
      <c r="D44">
        <f t="shared" si="29"/>
        <v>0</v>
      </c>
      <c r="E44">
        <f t="shared" si="29"/>
        <v>0</v>
      </c>
      <c r="F44">
        <f t="shared" si="29"/>
        <v>0</v>
      </c>
      <c r="G44">
        <f t="shared" si="29"/>
        <v>0</v>
      </c>
      <c r="H44">
        <f t="shared" si="29"/>
        <v>0</v>
      </c>
      <c r="I44">
        <f t="shared" si="29"/>
        <v>0</v>
      </c>
      <c r="J44">
        <f t="shared" si="29"/>
        <v>0</v>
      </c>
      <c r="K44">
        <f t="shared" si="29"/>
        <v>0</v>
      </c>
      <c r="L44">
        <f t="shared" si="29"/>
        <v>0</v>
      </c>
      <c r="M44">
        <f t="shared" si="29"/>
        <v>0</v>
      </c>
      <c r="N44">
        <f t="shared" si="29"/>
        <v>0</v>
      </c>
      <c r="O44">
        <f t="shared" si="29"/>
        <v>0</v>
      </c>
      <c r="P44">
        <f t="shared" si="29"/>
        <v>0</v>
      </c>
      <c r="Q44">
        <f t="shared" si="29"/>
        <v>0</v>
      </c>
      <c r="R44">
        <f t="shared" si="29"/>
        <v>0</v>
      </c>
      <c r="S44">
        <f t="shared" si="29"/>
        <v>0</v>
      </c>
      <c r="T44">
        <f t="shared" si="29"/>
        <v>0</v>
      </c>
      <c r="U44">
        <f t="shared" si="29"/>
        <v>0</v>
      </c>
      <c r="V44">
        <f t="shared" si="29"/>
        <v>0</v>
      </c>
      <c r="W44">
        <f t="shared" si="29"/>
        <v>0</v>
      </c>
      <c r="X44">
        <f t="shared" si="29"/>
        <v>0</v>
      </c>
      <c r="Y44">
        <f t="shared" si="29"/>
        <v>0</v>
      </c>
      <c r="Z44">
        <f t="shared" si="29"/>
        <v>0</v>
      </c>
      <c r="AA44">
        <f t="shared" si="29"/>
        <v>0</v>
      </c>
      <c r="AB44">
        <f t="shared" si="29"/>
        <v>0</v>
      </c>
      <c r="AC44">
        <f t="shared" si="29"/>
        <v>0</v>
      </c>
      <c r="AD44">
        <f t="shared" si="29"/>
        <v>0</v>
      </c>
      <c r="AE44">
        <f t="shared" si="29"/>
        <v>0.46447523710629435</v>
      </c>
      <c r="AF44">
        <f t="shared" si="29"/>
        <v>1.4450340709973606</v>
      </c>
      <c r="AG44">
        <f t="shared" si="29"/>
        <v>2.1675511064960413</v>
      </c>
      <c r="AH44">
        <f t="shared" si="29"/>
        <v>5.2640526872046696</v>
      </c>
      <c r="AI44">
        <f t="shared" si="28"/>
        <v>3.7416060766895929</v>
      </c>
      <c r="AJ44">
        <f t="shared" si="28"/>
        <v>3.8190186162073099</v>
      </c>
      <c r="AK44">
        <f t="shared" si="28"/>
        <v>3.4061517387794948</v>
      </c>
      <c r="AL44">
        <f t="shared" si="28"/>
        <v>3.0448932210301578</v>
      </c>
      <c r="AM44">
        <f t="shared" si="28"/>
        <v>1.5482507903543119</v>
      </c>
      <c r="AN44">
        <f t="shared" si="28"/>
        <v>0</v>
      </c>
      <c r="AO44">
        <f t="shared" si="28"/>
        <v>0</v>
      </c>
      <c r="AP44">
        <f t="shared" si="28"/>
        <v>0</v>
      </c>
      <c r="AQ44">
        <f t="shared" si="28"/>
        <v>0</v>
      </c>
      <c r="AR44">
        <f t="shared" si="28"/>
        <v>0</v>
      </c>
      <c r="AS44">
        <f t="shared" si="28"/>
        <v>0</v>
      </c>
      <c r="AT44">
        <f t="shared" si="28"/>
        <v>0</v>
      </c>
      <c r="AU44">
        <f t="shared" si="28"/>
        <v>0</v>
      </c>
      <c r="AV44">
        <f t="shared" si="28"/>
        <v>0</v>
      </c>
      <c r="AW44">
        <f t="shared" si="28"/>
        <v>0</v>
      </c>
      <c r="AX44">
        <f t="shared" si="28"/>
        <v>0</v>
      </c>
      <c r="AY44">
        <f t="shared" si="28"/>
        <v>0</v>
      </c>
    </row>
    <row r="45" spans="1:51" x14ac:dyDescent="0.25">
      <c r="A45" s="136" t="s">
        <v>448</v>
      </c>
      <c r="B45" s="137">
        <f t="shared" si="27"/>
        <v>73.288199252889953</v>
      </c>
      <c r="C45">
        <f t="shared" si="29"/>
        <v>0</v>
      </c>
      <c r="D45">
        <f t="shared" si="29"/>
        <v>0</v>
      </c>
      <c r="E45">
        <f t="shared" si="29"/>
        <v>0</v>
      </c>
      <c r="F45">
        <f t="shared" si="29"/>
        <v>0</v>
      </c>
      <c r="G45">
        <f t="shared" si="29"/>
        <v>0</v>
      </c>
      <c r="H45">
        <f t="shared" si="29"/>
        <v>0</v>
      </c>
      <c r="I45">
        <f t="shared" si="29"/>
        <v>0</v>
      </c>
      <c r="J45">
        <f t="shared" si="29"/>
        <v>0</v>
      </c>
      <c r="K45">
        <f t="shared" si="29"/>
        <v>0</v>
      </c>
      <c r="L45">
        <f t="shared" si="29"/>
        <v>0</v>
      </c>
      <c r="M45">
        <f t="shared" si="29"/>
        <v>0</v>
      </c>
      <c r="N45">
        <f t="shared" si="29"/>
        <v>0</v>
      </c>
      <c r="O45">
        <f t="shared" si="29"/>
        <v>0</v>
      </c>
      <c r="P45">
        <f t="shared" si="29"/>
        <v>0</v>
      </c>
      <c r="Q45">
        <f t="shared" si="29"/>
        <v>0</v>
      </c>
      <c r="R45">
        <f t="shared" si="29"/>
        <v>0</v>
      </c>
      <c r="S45">
        <f t="shared" si="29"/>
        <v>0</v>
      </c>
      <c r="T45">
        <f t="shared" si="29"/>
        <v>0</v>
      </c>
      <c r="U45">
        <f t="shared" si="29"/>
        <v>0</v>
      </c>
      <c r="V45">
        <f t="shared" si="29"/>
        <v>0</v>
      </c>
      <c r="W45">
        <f t="shared" si="29"/>
        <v>1.2452138689656898</v>
      </c>
      <c r="X45">
        <f t="shared" si="29"/>
        <v>2.2030235190915834</v>
      </c>
      <c r="Y45">
        <f t="shared" si="29"/>
        <v>1.934379906906742</v>
      </c>
      <c r="Z45">
        <f t="shared" si="29"/>
        <v>3.7895706184657008</v>
      </c>
      <c r="AA45">
        <f t="shared" si="29"/>
        <v>3.6310137962850142</v>
      </c>
      <c r="AB45">
        <f t="shared" si="29"/>
        <v>4.3351022129920809</v>
      </c>
      <c r="AC45">
        <f t="shared" si="29"/>
        <v>6.244611521095738</v>
      </c>
      <c r="AD45">
        <f t="shared" si="29"/>
        <v>6.9671285565944157</v>
      </c>
      <c r="AE45">
        <f t="shared" si="29"/>
        <v>7.8960790308070035</v>
      </c>
      <c r="AF45">
        <f t="shared" si="29"/>
        <v>8.4637709872702551</v>
      </c>
      <c r="AG45">
        <f t="shared" si="29"/>
        <v>6.6832825783627934</v>
      </c>
      <c r="AH45">
        <f t="shared" si="29"/>
        <v>5.5737028452755331</v>
      </c>
      <c r="AI45">
        <f t="shared" si="28"/>
        <v>4.2576896734743643</v>
      </c>
      <c r="AJ45">
        <f t="shared" si="28"/>
        <v>4.3351022129920818</v>
      </c>
      <c r="AK45">
        <f t="shared" si="28"/>
        <v>3.8706269758857896</v>
      </c>
      <c r="AL45">
        <f t="shared" si="28"/>
        <v>1.3934257113188859</v>
      </c>
      <c r="AM45">
        <f t="shared" si="28"/>
        <v>0.46447523710629357</v>
      </c>
      <c r="AN45">
        <f t="shared" si="28"/>
        <v>0</v>
      </c>
      <c r="AO45">
        <f t="shared" si="28"/>
        <v>0</v>
      </c>
      <c r="AP45">
        <f t="shared" si="28"/>
        <v>0</v>
      </c>
      <c r="AQ45">
        <f t="shared" si="28"/>
        <v>0</v>
      </c>
      <c r="AR45">
        <f t="shared" si="28"/>
        <v>0</v>
      </c>
      <c r="AS45">
        <f t="shared" si="28"/>
        <v>0</v>
      </c>
      <c r="AT45">
        <f t="shared" si="28"/>
        <v>0</v>
      </c>
      <c r="AU45">
        <f t="shared" si="28"/>
        <v>0</v>
      </c>
      <c r="AV45">
        <f t="shared" si="28"/>
        <v>0</v>
      </c>
      <c r="AW45">
        <f t="shared" si="28"/>
        <v>0</v>
      </c>
      <c r="AX45">
        <f t="shared" si="28"/>
        <v>0</v>
      </c>
      <c r="AY45">
        <f t="shared" si="28"/>
        <v>0</v>
      </c>
    </row>
    <row r="46" spans="1:51" x14ac:dyDescent="0.25">
      <c r="A46" s="136" t="s">
        <v>449</v>
      </c>
      <c r="B46" s="137">
        <f t="shared" si="27"/>
        <v>145.58693483408356</v>
      </c>
      <c r="C46">
        <f t="shared" si="29"/>
        <v>0</v>
      </c>
      <c r="D46">
        <f t="shared" si="29"/>
        <v>0</v>
      </c>
      <c r="E46">
        <f t="shared" si="29"/>
        <v>0</v>
      </c>
      <c r="F46">
        <f t="shared" si="29"/>
        <v>0</v>
      </c>
      <c r="G46">
        <f t="shared" si="29"/>
        <v>0</v>
      </c>
      <c r="H46">
        <f t="shared" si="29"/>
        <v>0</v>
      </c>
      <c r="I46">
        <f t="shared" si="29"/>
        <v>0</v>
      </c>
      <c r="J46">
        <f t="shared" si="29"/>
        <v>0</v>
      </c>
      <c r="K46">
        <f t="shared" si="29"/>
        <v>0</v>
      </c>
      <c r="L46">
        <f t="shared" si="29"/>
        <v>0</v>
      </c>
      <c r="M46">
        <f t="shared" si="29"/>
        <v>0</v>
      </c>
      <c r="N46">
        <f t="shared" si="29"/>
        <v>0</v>
      </c>
      <c r="O46">
        <f t="shared" si="29"/>
        <v>0</v>
      </c>
      <c r="P46">
        <f t="shared" si="29"/>
        <v>0</v>
      </c>
      <c r="Q46">
        <f t="shared" si="29"/>
        <v>0</v>
      </c>
      <c r="R46">
        <f t="shared" si="29"/>
        <v>0</v>
      </c>
      <c r="S46">
        <f t="shared" si="29"/>
        <v>1.6380207900861636</v>
      </c>
      <c r="T46">
        <f t="shared" si="29"/>
        <v>6.1396406187048669</v>
      </c>
      <c r="U46">
        <f t="shared" si="29"/>
        <v>22.245495038332098</v>
      </c>
      <c r="V46">
        <f t="shared" si="29"/>
        <v>7.362767787944593</v>
      </c>
      <c r="W46">
        <f t="shared" si="29"/>
        <v>16.187780296553967</v>
      </c>
      <c r="X46">
        <f t="shared" si="29"/>
        <v>11.015117595457918</v>
      </c>
      <c r="Y46">
        <f t="shared" si="29"/>
        <v>11.606279441440453</v>
      </c>
      <c r="Z46">
        <f t="shared" si="29"/>
        <v>8.8423314430866355</v>
      </c>
      <c r="AA46">
        <f t="shared" si="29"/>
        <v>7.6251289721985298</v>
      </c>
      <c r="AB46">
        <f t="shared" si="29"/>
        <v>11.766706006692791</v>
      </c>
      <c r="AC46">
        <f t="shared" si="29"/>
        <v>6.5284574993273621</v>
      </c>
      <c r="AD46">
        <f t="shared" si="29"/>
        <v>5.9349613630248728</v>
      </c>
      <c r="AE46">
        <f t="shared" si="29"/>
        <v>5.3414652267223852</v>
      </c>
      <c r="AF46">
        <f t="shared" si="29"/>
        <v>4.3351022129920818</v>
      </c>
      <c r="AG46">
        <f t="shared" si="29"/>
        <v>4.3351022129920826</v>
      </c>
      <c r="AH46">
        <f t="shared" si="29"/>
        <v>3.7158018968503552</v>
      </c>
      <c r="AI46">
        <f t="shared" si="28"/>
        <v>4.7737732702591362</v>
      </c>
      <c r="AJ46">
        <f t="shared" si="28"/>
        <v>2.8900681419947212</v>
      </c>
      <c r="AK46">
        <f t="shared" si="28"/>
        <v>1.9353134879428948</v>
      </c>
      <c r="AL46">
        <f t="shared" si="28"/>
        <v>1.1353839129264995</v>
      </c>
      <c r="AM46">
        <f t="shared" si="28"/>
        <v>0.23223761855314679</v>
      </c>
      <c r="AN46">
        <f t="shared" si="28"/>
        <v>0</v>
      </c>
      <c r="AO46">
        <f t="shared" si="28"/>
        <v>0</v>
      </c>
      <c r="AP46">
        <f t="shared" si="28"/>
        <v>0</v>
      </c>
      <c r="AQ46">
        <f t="shared" si="28"/>
        <v>0</v>
      </c>
      <c r="AR46">
        <f t="shared" si="28"/>
        <v>0</v>
      </c>
      <c r="AS46">
        <f t="shared" si="28"/>
        <v>0</v>
      </c>
      <c r="AT46">
        <f t="shared" si="28"/>
        <v>0</v>
      </c>
      <c r="AU46">
        <f t="shared" si="28"/>
        <v>0</v>
      </c>
      <c r="AV46">
        <f t="shared" si="28"/>
        <v>0</v>
      </c>
      <c r="AW46">
        <f t="shared" si="28"/>
        <v>0</v>
      </c>
      <c r="AX46">
        <f t="shared" si="28"/>
        <v>0</v>
      </c>
      <c r="AY46">
        <f t="shared" si="28"/>
        <v>0</v>
      </c>
    </row>
    <row r="47" spans="1:51" x14ac:dyDescent="0.25">
      <c r="A47" s="136" t="s">
        <v>450</v>
      </c>
      <c r="B47" s="137">
        <f t="shared" si="27"/>
        <v>241.55249482295045</v>
      </c>
      <c r="C47">
        <f t="shared" si="29"/>
        <v>0</v>
      </c>
      <c r="D47">
        <f t="shared" si="29"/>
        <v>0</v>
      </c>
      <c r="E47">
        <f t="shared" si="29"/>
        <v>0</v>
      </c>
      <c r="F47">
        <f t="shared" si="29"/>
        <v>0</v>
      </c>
      <c r="G47">
        <f t="shared" si="29"/>
        <v>0</v>
      </c>
      <c r="H47">
        <f t="shared" si="29"/>
        <v>0</v>
      </c>
      <c r="I47">
        <f t="shared" si="29"/>
        <v>0</v>
      </c>
      <c r="J47">
        <f t="shared" si="29"/>
        <v>0</v>
      </c>
      <c r="K47">
        <f t="shared" si="29"/>
        <v>0</v>
      </c>
      <c r="L47">
        <f t="shared" si="29"/>
        <v>0</v>
      </c>
      <c r="M47">
        <f t="shared" si="29"/>
        <v>0</v>
      </c>
      <c r="N47">
        <f t="shared" si="29"/>
        <v>0</v>
      </c>
      <c r="O47">
        <f t="shared" si="29"/>
        <v>0</v>
      </c>
      <c r="P47">
        <f t="shared" si="29"/>
        <v>1.9697908057694944</v>
      </c>
      <c r="Q47">
        <f t="shared" si="29"/>
        <v>17.624750914190201</v>
      </c>
      <c r="R47">
        <f t="shared" si="29"/>
        <v>9.5959852267753192</v>
      </c>
      <c r="S47">
        <f t="shared" si="29"/>
        <v>12.285155925646228</v>
      </c>
      <c r="T47">
        <f t="shared" si="29"/>
        <v>13.046736314747843</v>
      </c>
      <c r="U47">
        <f t="shared" si="29"/>
        <v>18.657511967633372</v>
      </c>
      <c r="V47">
        <f t="shared" si="29"/>
        <v>16.064220628242747</v>
      </c>
      <c r="W47">
        <f t="shared" si="29"/>
        <v>28.01731205172802</v>
      </c>
      <c r="X47">
        <f t="shared" si="29"/>
        <v>27.537793988644793</v>
      </c>
      <c r="Y47">
        <f t="shared" si="29"/>
        <v>27.081318696694389</v>
      </c>
      <c r="Z47">
        <f t="shared" si="29"/>
        <v>21.053170102587227</v>
      </c>
      <c r="AA47">
        <f t="shared" si="29"/>
        <v>15.976460703654062</v>
      </c>
      <c r="AB47">
        <f t="shared" si="29"/>
        <v>13.314956797047106</v>
      </c>
      <c r="AC47">
        <f t="shared" si="29"/>
        <v>9.0830713034119821</v>
      </c>
      <c r="AD47">
        <f t="shared" si="29"/>
        <v>5.6769195646324873</v>
      </c>
      <c r="AE47">
        <f t="shared" si="29"/>
        <v>2.0901385669783243</v>
      </c>
      <c r="AF47">
        <f t="shared" si="29"/>
        <v>0.82573375485563461</v>
      </c>
      <c r="AG47">
        <f t="shared" si="29"/>
        <v>0.7225170354986804</v>
      </c>
      <c r="AH47">
        <f t="shared" si="29"/>
        <v>0.30965015807086294</v>
      </c>
      <c r="AI47">
        <f t="shared" si="28"/>
        <v>0.51608359678477145</v>
      </c>
      <c r="AJ47">
        <f t="shared" si="28"/>
        <v>0.10321671935695433</v>
      </c>
      <c r="AK47">
        <f t="shared" si="28"/>
        <v>0</v>
      </c>
      <c r="AL47">
        <f t="shared" si="28"/>
        <v>0</v>
      </c>
      <c r="AM47">
        <f t="shared" si="28"/>
        <v>0</v>
      </c>
      <c r="AN47">
        <f t="shared" si="28"/>
        <v>0</v>
      </c>
      <c r="AO47">
        <f t="shared" si="28"/>
        <v>0</v>
      </c>
      <c r="AP47">
        <f t="shared" si="28"/>
        <v>0</v>
      </c>
      <c r="AQ47">
        <f t="shared" si="28"/>
        <v>0</v>
      </c>
      <c r="AR47">
        <f t="shared" si="28"/>
        <v>0</v>
      </c>
      <c r="AS47">
        <f t="shared" si="28"/>
        <v>0</v>
      </c>
      <c r="AT47">
        <f t="shared" si="28"/>
        <v>0</v>
      </c>
      <c r="AU47">
        <f t="shared" si="28"/>
        <v>0</v>
      </c>
      <c r="AV47">
        <f t="shared" si="28"/>
        <v>0</v>
      </c>
      <c r="AW47">
        <f t="shared" si="28"/>
        <v>0</v>
      </c>
      <c r="AX47">
        <f t="shared" si="28"/>
        <v>0</v>
      </c>
      <c r="AY47">
        <f t="shared" si="28"/>
        <v>0</v>
      </c>
    </row>
    <row r="48" spans="1:51" x14ac:dyDescent="0.25">
      <c r="A48" s="136" t="s">
        <v>451</v>
      </c>
      <c r="B48" s="137">
        <f t="shared" si="27"/>
        <v>429.57653877938031</v>
      </c>
      <c r="C48">
        <f t="shared" si="29"/>
        <v>0</v>
      </c>
      <c r="D48">
        <f t="shared" si="29"/>
        <v>2.0193945233741202</v>
      </c>
      <c r="E48">
        <f t="shared" si="29"/>
        <v>0</v>
      </c>
      <c r="F48">
        <f t="shared" si="29"/>
        <v>1.812564438013182</v>
      </c>
      <c r="G48">
        <f t="shared" si="29"/>
        <v>3.4275691123687162</v>
      </c>
      <c r="H48">
        <f t="shared" si="29"/>
        <v>6.4722146860635661</v>
      </c>
      <c r="I48">
        <f t="shared" si="29"/>
        <v>6.1013658499562435</v>
      </c>
      <c r="J48">
        <f t="shared" si="29"/>
        <v>5.7424720332402455</v>
      </c>
      <c r="K48">
        <f t="shared" si="29"/>
        <v>17.5350991700547</v>
      </c>
      <c r="L48">
        <f t="shared" si="29"/>
        <v>34.155530428128259</v>
      </c>
      <c r="M48">
        <f t="shared" si="29"/>
        <v>21.313563122558875</v>
      </c>
      <c r="N48">
        <f t="shared" si="29"/>
        <v>21.014512690092953</v>
      </c>
      <c r="O48">
        <f t="shared" si="29"/>
        <v>17.753427630381214</v>
      </c>
      <c r="P48">
        <f t="shared" si="29"/>
        <v>57.123933367315338</v>
      </c>
      <c r="Q48">
        <f t="shared" si="29"/>
        <v>40.815212643387838</v>
      </c>
      <c r="R48">
        <f t="shared" si="29"/>
        <v>44.490476960503756</v>
      </c>
      <c r="S48">
        <f t="shared" si="29"/>
        <v>36.036457381895602</v>
      </c>
      <c r="T48">
        <f t="shared" si="29"/>
        <v>15.349101546762167</v>
      </c>
      <c r="U48">
        <f t="shared" si="29"/>
        <v>9.328755983816686</v>
      </c>
      <c r="V48">
        <f t="shared" si="29"/>
        <v>11.378822945005279</v>
      </c>
      <c r="W48">
        <f t="shared" si="29"/>
        <v>37.356416068970695</v>
      </c>
      <c r="X48">
        <f t="shared" si="29"/>
        <v>29.19006162796348</v>
      </c>
      <c r="Y48">
        <f t="shared" si="29"/>
        <v>5.8031397207202264</v>
      </c>
      <c r="Z48">
        <f t="shared" si="29"/>
        <v>2.9474438143622117</v>
      </c>
      <c r="AA48">
        <f t="shared" si="29"/>
        <v>1.8155068981425071</v>
      </c>
      <c r="AB48">
        <f t="shared" si="29"/>
        <v>0.30965015807086294</v>
      </c>
      <c r="AC48">
        <f t="shared" si="29"/>
        <v>0.28384597823162444</v>
      </c>
      <c r="AD48">
        <f t="shared" si="29"/>
        <v>0</v>
      </c>
      <c r="AE48">
        <f t="shared" si="29"/>
        <v>0</v>
      </c>
      <c r="AF48">
        <f t="shared" si="29"/>
        <v>0</v>
      </c>
      <c r="AG48">
        <f t="shared" si="29"/>
        <v>0</v>
      </c>
      <c r="AH48">
        <f t="shared" si="29"/>
        <v>0</v>
      </c>
      <c r="AI48">
        <f t="shared" si="28"/>
        <v>0</v>
      </c>
      <c r="AJ48">
        <f t="shared" si="28"/>
        <v>0</v>
      </c>
      <c r="AK48">
        <f t="shared" si="28"/>
        <v>0</v>
      </c>
      <c r="AL48">
        <f t="shared" si="28"/>
        <v>0</v>
      </c>
      <c r="AM48">
        <f t="shared" si="28"/>
        <v>0</v>
      </c>
      <c r="AN48">
        <f t="shared" si="28"/>
        <v>0</v>
      </c>
      <c r="AO48">
        <f t="shared" si="28"/>
        <v>0</v>
      </c>
      <c r="AP48">
        <f t="shared" si="28"/>
        <v>0</v>
      </c>
      <c r="AQ48">
        <f t="shared" si="28"/>
        <v>0</v>
      </c>
      <c r="AR48">
        <f t="shared" si="28"/>
        <v>0</v>
      </c>
      <c r="AS48">
        <f t="shared" si="28"/>
        <v>0</v>
      </c>
      <c r="AT48">
        <f t="shared" si="28"/>
        <v>0</v>
      </c>
      <c r="AU48">
        <f t="shared" si="28"/>
        <v>0</v>
      </c>
      <c r="AV48">
        <f t="shared" si="28"/>
        <v>0</v>
      </c>
      <c r="AW48">
        <f t="shared" si="28"/>
        <v>0</v>
      </c>
      <c r="AX48">
        <f t="shared" si="28"/>
        <v>0</v>
      </c>
      <c r="AY48">
        <f t="shared" si="28"/>
        <v>0</v>
      </c>
    </row>
    <row r="49" spans="1:51" x14ac:dyDescent="0.25">
      <c r="A49" s="136" t="s">
        <v>453</v>
      </c>
      <c r="B49" s="137">
        <f>SUM(B37:B48)</f>
        <v>2284.4186354665753</v>
      </c>
    </row>
    <row r="50" spans="1:51" x14ac:dyDescent="0.25">
      <c r="A50" s="138" t="s">
        <v>454</v>
      </c>
      <c r="B50" s="139"/>
    </row>
    <row r="51" spans="1:51" x14ac:dyDescent="0.25">
      <c r="A51" s="136" t="s">
        <v>440</v>
      </c>
      <c r="B51" s="137">
        <f t="shared" ref="B51:B62" si="30">SUM(C51:AY51)</f>
        <v>0</v>
      </c>
      <c r="C51">
        <f>IF((C$3+C$4)&lt;C$11,(C$11-C$3-C$4)*C23*10,0)</f>
        <v>0</v>
      </c>
      <c r="D51">
        <f t="shared" ref="D51:AY56" si="31">IF((D$3+D$4)&lt;D$11,(D$11-D$3-D$4)*D23*10,0)</f>
        <v>0</v>
      </c>
      <c r="E51">
        <f t="shared" si="31"/>
        <v>0</v>
      </c>
      <c r="F51">
        <f t="shared" si="31"/>
        <v>0</v>
      </c>
      <c r="G51">
        <f t="shared" si="31"/>
        <v>0</v>
      </c>
      <c r="H51">
        <f t="shared" si="31"/>
        <v>0</v>
      </c>
      <c r="I51">
        <f t="shared" si="31"/>
        <v>0</v>
      </c>
      <c r="J51">
        <f t="shared" si="31"/>
        <v>0</v>
      </c>
      <c r="K51">
        <f t="shared" si="31"/>
        <v>0</v>
      </c>
      <c r="L51">
        <f t="shared" si="31"/>
        <v>0</v>
      </c>
      <c r="M51">
        <f t="shared" si="31"/>
        <v>0</v>
      </c>
      <c r="N51">
        <f t="shared" si="31"/>
        <v>0</v>
      </c>
      <c r="O51">
        <f t="shared" si="31"/>
        <v>0</v>
      </c>
      <c r="P51">
        <f t="shared" si="31"/>
        <v>0</v>
      </c>
      <c r="Q51">
        <f t="shared" si="31"/>
        <v>0</v>
      </c>
      <c r="R51">
        <f t="shared" si="31"/>
        <v>0</v>
      </c>
      <c r="S51">
        <f t="shared" si="31"/>
        <v>0</v>
      </c>
      <c r="T51">
        <f t="shared" si="31"/>
        <v>0</v>
      </c>
      <c r="U51">
        <f t="shared" si="31"/>
        <v>0</v>
      </c>
      <c r="V51">
        <f t="shared" si="31"/>
        <v>0</v>
      </c>
      <c r="W51">
        <f t="shared" si="31"/>
        <v>0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J51">
        <f t="shared" si="31"/>
        <v>0</v>
      </c>
      <c r="AK51">
        <f t="shared" si="31"/>
        <v>0</v>
      </c>
      <c r="AL51">
        <f t="shared" si="31"/>
        <v>0</v>
      </c>
      <c r="AM51">
        <f t="shared" si="31"/>
        <v>0</v>
      </c>
      <c r="AN51">
        <f t="shared" si="31"/>
        <v>0</v>
      </c>
      <c r="AO51">
        <f t="shared" si="31"/>
        <v>0</v>
      </c>
      <c r="AP51">
        <f t="shared" si="31"/>
        <v>0</v>
      </c>
      <c r="AQ51">
        <f t="shared" si="31"/>
        <v>0</v>
      </c>
      <c r="AR51">
        <f t="shared" si="31"/>
        <v>0</v>
      </c>
      <c r="AS51">
        <f t="shared" si="31"/>
        <v>0</v>
      </c>
      <c r="AT51">
        <f t="shared" si="31"/>
        <v>0</v>
      </c>
      <c r="AU51">
        <f t="shared" si="31"/>
        <v>0</v>
      </c>
      <c r="AV51">
        <f t="shared" si="31"/>
        <v>0</v>
      </c>
      <c r="AW51">
        <f t="shared" si="31"/>
        <v>0</v>
      </c>
      <c r="AX51">
        <f t="shared" si="31"/>
        <v>0</v>
      </c>
      <c r="AY51">
        <f t="shared" si="31"/>
        <v>0</v>
      </c>
    </row>
    <row r="52" spans="1:51" x14ac:dyDescent="0.25">
      <c r="A52" s="136" t="s">
        <v>441</v>
      </c>
      <c r="B52" s="137">
        <f t="shared" si="30"/>
        <v>0</v>
      </c>
      <c r="C52">
        <f t="shared" ref="C52:R62" si="32">IF((C$3+C$4)&lt;C$11,(C$11-C$3-C$4)*C24*10,0)</f>
        <v>0</v>
      </c>
      <c r="D52">
        <f t="shared" si="32"/>
        <v>0</v>
      </c>
      <c r="E52">
        <f t="shared" si="32"/>
        <v>0</v>
      </c>
      <c r="F52">
        <f t="shared" si="32"/>
        <v>0</v>
      </c>
      <c r="G52">
        <f t="shared" si="32"/>
        <v>0</v>
      </c>
      <c r="H52">
        <f t="shared" si="32"/>
        <v>0</v>
      </c>
      <c r="I52">
        <f t="shared" si="32"/>
        <v>0</v>
      </c>
      <c r="J52">
        <f t="shared" si="32"/>
        <v>0</v>
      </c>
      <c r="K52">
        <f t="shared" si="32"/>
        <v>0</v>
      </c>
      <c r="L52">
        <f t="shared" si="32"/>
        <v>0</v>
      </c>
      <c r="M52">
        <f t="shared" si="32"/>
        <v>0</v>
      </c>
      <c r="N52">
        <f t="shared" si="32"/>
        <v>0</v>
      </c>
      <c r="O52">
        <f t="shared" si="32"/>
        <v>0</v>
      </c>
      <c r="P52">
        <f t="shared" si="32"/>
        <v>0</v>
      </c>
      <c r="Q52">
        <f t="shared" si="32"/>
        <v>0</v>
      </c>
      <c r="R52">
        <f t="shared" si="32"/>
        <v>0</v>
      </c>
      <c r="S52">
        <f t="shared" si="31"/>
        <v>0</v>
      </c>
      <c r="T52">
        <f t="shared" si="31"/>
        <v>0</v>
      </c>
      <c r="U52">
        <f t="shared" si="31"/>
        <v>0</v>
      </c>
      <c r="V52">
        <f t="shared" si="31"/>
        <v>0</v>
      </c>
      <c r="W52">
        <f t="shared" si="31"/>
        <v>0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J52">
        <f t="shared" si="31"/>
        <v>0</v>
      </c>
      <c r="AK52">
        <f t="shared" si="31"/>
        <v>0</v>
      </c>
      <c r="AL52">
        <f t="shared" si="31"/>
        <v>0</v>
      </c>
      <c r="AM52">
        <f t="shared" si="31"/>
        <v>0</v>
      </c>
      <c r="AN52">
        <f t="shared" si="31"/>
        <v>0</v>
      </c>
      <c r="AO52">
        <f t="shared" si="31"/>
        <v>0</v>
      </c>
      <c r="AP52">
        <f t="shared" si="31"/>
        <v>0</v>
      </c>
      <c r="AQ52">
        <f t="shared" si="31"/>
        <v>0</v>
      </c>
      <c r="AR52">
        <f t="shared" si="31"/>
        <v>0</v>
      </c>
      <c r="AS52">
        <f t="shared" si="31"/>
        <v>0</v>
      </c>
      <c r="AT52">
        <f t="shared" si="31"/>
        <v>0</v>
      </c>
      <c r="AU52">
        <f t="shared" si="31"/>
        <v>0</v>
      </c>
      <c r="AV52">
        <f t="shared" si="31"/>
        <v>0</v>
      </c>
      <c r="AW52">
        <f t="shared" si="31"/>
        <v>0</v>
      </c>
      <c r="AX52">
        <f t="shared" si="31"/>
        <v>0</v>
      </c>
      <c r="AY52">
        <f t="shared" si="31"/>
        <v>0</v>
      </c>
    </row>
    <row r="53" spans="1:51" x14ac:dyDescent="0.25">
      <c r="A53" s="136" t="s">
        <v>442</v>
      </c>
      <c r="B53" s="137">
        <f t="shared" si="30"/>
        <v>0</v>
      </c>
      <c r="C53">
        <f t="shared" si="32"/>
        <v>0</v>
      </c>
      <c r="D53">
        <f t="shared" si="31"/>
        <v>0</v>
      </c>
      <c r="E53">
        <f t="shared" si="31"/>
        <v>0</v>
      </c>
      <c r="F53">
        <f t="shared" si="31"/>
        <v>0</v>
      </c>
      <c r="G53">
        <f t="shared" si="31"/>
        <v>0</v>
      </c>
      <c r="H53">
        <f t="shared" si="31"/>
        <v>0</v>
      </c>
      <c r="I53">
        <f t="shared" si="31"/>
        <v>0</v>
      </c>
      <c r="J53">
        <f t="shared" si="31"/>
        <v>0</v>
      </c>
      <c r="K53">
        <f t="shared" si="31"/>
        <v>0</v>
      </c>
      <c r="L53">
        <f t="shared" si="31"/>
        <v>0</v>
      </c>
      <c r="M53">
        <f t="shared" si="31"/>
        <v>0</v>
      </c>
      <c r="N53">
        <f t="shared" si="31"/>
        <v>0</v>
      </c>
      <c r="O53">
        <f t="shared" si="31"/>
        <v>0</v>
      </c>
      <c r="P53">
        <f t="shared" si="31"/>
        <v>0</v>
      </c>
      <c r="Q53">
        <f t="shared" si="31"/>
        <v>0</v>
      </c>
      <c r="R53">
        <f t="shared" si="31"/>
        <v>0</v>
      </c>
      <c r="S53">
        <f t="shared" si="31"/>
        <v>0</v>
      </c>
      <c r="T53">
        <f t="shared" si="31"/>
        <v>0</v>
      </c>
      <c r="U53">
        <f t="shared" si="31"/>
        <v>0</v>
      </c>
      <c r="V53">
        <f t="shared" si="31"/>
        <v>0</v>
      </c>
      <c r="W53">
        <f t="shared" si="31"/>
        <v>0</v>
      </c>
      <c r="X53">
        <f t="shared" si="31"/>
        <v>0</v>
      </c>
      <c r="Y53">
        <f t="shared" si="31"/>
        <v>0</v>
      </c>
      <c r="Z53">
        <f t="shared" si="31"/>
        <v>0</v>
      </c>
      <c r="AA53">
        <f t="shared" si="31"/>
        <v>0</v>
      </c>
      <c r="AB53">
        <f t="shared" si="31"/>
        <v>0</v>
      </c>
      <c r="AC53">
        <f t="shared" si="31"/>
        <v>0</v>
      </c>
      <c r="AD53">
        <f t="shared" si="31"/>
        <v>0</v>
      </c>
      <c r="AE53">
        <f t="shared" si="31"/>
        <v>0</v>
      </c>
      <c r="AF53">
        <f t="shared" si="31"/>
        <v>0</v>
      </c>
      <c r="AG53">
        <f t="shared" si="31"/>
        <v>0</v>
      </c>
      <c r="AH53">
        <f t="shared" si="31"/>
        <v>0</v>
      </c>
      <c r="AI53">
        <f t="shared" si="31"/>
        <v>0</v>
      </c>
      <c r="AJ53">
        <f t="shared" si="31"/>
        <v>0</v>
      </c>
      <c r="AK53">
        <f t="shared" si="31"/>
        <v>0</v>
      </c>
      <c r="AL53">
        <f t="shared" si="31"/>
        <v>0</v>
      </c>
      <c r="AM53">
        <f t="shared" si="31"/>
        <v>0</v>
      </c>
      <c r="AN53">
        <f t="shared" si="31"/>
        <v>0</v>
      </c>
      <c r="AO53">
        <f t="shared" si="31"/>
        <v>0</v>
      </c>
      <c r="AP53">
        <f t="shared" si="31"/>
        <v>0</v>
      </c>
      <c r="AQ53">
        <f t="shared" si="31"/>
        <v>0</v>
      </c>
      <c r="AR53">
        <f t="shared" si="31"/>
        <v>0</v>
      </c>
      <c r="AS53">
        <f t="shared" si="31"/>
        <v>0</v>
      </c>
      <c r="AT53">
        <f t="shared" si="31"/>
        <v>0</v>
      </c>
      <c r="AU53">
        <f t="shared" si="31"/>
        <v>0</v>
      </c>
      <c r="AV53">
        <f t="shared" si="31"/>
        <v>0</v>
      </c>
      <c r="AW53">
        <f t="shared" si="31"/>
        <v>0</v>
      </c>
      <c r="AX53">
        <f t="shared" si="31"/>
        <v>0</v>
      </c>
      <c r="AY53">
        <f t="shared" si="31"/>
        <v>0</v>
      </c>
    </row>
    <row r="54" spans="1:51" x14ac:dyDescent="0.25">
      <c r="A54" s="136" t="s">
        <v>443</v>
      </c>
      <c r="B54" s="137">
        <f t="shared" si="30"/>
        <v>0</v>
      </c>
      <c r="C54">
        <f t="shared" si="32"/>
        <v>0</v>
      </c>
      <c r="D54">
        <f t="shared" si="31"/>
        <v>0</v>
      </c>
      <c r="E54">
        <f t="shared" si="31"/>
        <v>0</v>
      </c>
      <c r="F54">
        <f t="shared" si="31"/>
        <v>0</v>
      </c>
      <c r="G54">
        <f t="shared" si="31"/>
        <v>0</v>
      </c>
      <c r="H54">
        <f t="shared" si="31"/>
        <v>0</v>
      </c>
      <c r="I54">
        <f t="shared" si="31"/>
        <v>0</v>
      </c>
      <c r="J54">
        <f t="shared" si="31"/>
        <v>0</v>
      </c>
      <c r="K54">
        <f t="shared" si="31"/>
        <v>0</v>
      </c>
      <c r="L54">
        <f t="shared" si="31"/>
        <v>0</v>
      </c>
      <c r="M54">
        <f t="shared" si="31"/>
        <v>0</v>
      </c>
      <c r="N54">
        <f t="shared" si="31"/>
        <v>0</v>
      </c>
      <c r="O54">
        <f t="shared" si="31"/>
        <v>0</v>
      </c>
      <c r="P54">
        <f t="shared" si="31"/>
        <v>0</v>
      </c>
      <c r="Q54">
        <f t="shared" si="31"/>
        <v>0</v>
      </c>
      <c r="R54">
        <f t="shared" si="31"/>
        <v>0</v>
      </c>
      <c r="S54">
        <f t="shared" si="31"/>
        <v>0</v>
      </c>
      <c r="T54">
        <f t="shared" si="31"/>
        <v>0</v>
      </c>
      <c r="U54">
        <f t="shared" si="31"/>
        <v>0</v>
      </c>
      <c r="V54">
        <f t="shared" si="31"/>
        <v>0</v>
      </c>
      <c r="W54">
        <f t="shared" si="31"/>
        <v>0</v>
      </c>
      <c r="X54">
        <f t="shared" si="31"/>
        <v>0</v>
      </c>
      <c r="Y54">
        <f t="shared" si="31"/>
        <v>0</v>
      </c>
      <c r="Z54">
        <f t="shared" si="31"/>
        <v>0</v>
      </c>
      <c r="AA54">
        <f t="shared" si="31"/>
        <v>0</v>
      </c>
      <c r="AB54">
        <f t="shared" si="31"/>
        <v>0</v>
      </c>
      <c r="AC54">
        <f t="shared" si="31"/>
        <v>0</v>
      </c>
      <c r="AD54">
        <f t="shared" si="31"/>
        <v>0</v>
      </c>
      <c r="AE54">
        <f t="shared" si="31"/>
        <v>0</v>
      </c>
      <c r="AF54">
        <f t="shared" si="31"/>
        <v>0</v>
      </c>
      <c r="AG54">
        <f t="shared" si="31"/>
        <v>0</v>
      </c>
      <c r="AH54">
        <f t="shared" si="31"/>
        <v>0</v>
      </c>
      <c r="AI54">
        <f t="shared" si="31"/>
        <v>0</v>
      </c>
      <c r="AJ54">
        <f t="shared" si="31"/>
        <v>0</v>
      </c>
      <c r="AK54">
        <f t="shared" si="31"/>
        <v>0</v>
      </c>
      <c r="AL54">
        <f t="shared" si="31"/>
        <v>0</v>
      </c>
      <c r="AM54">
        <f t="shared" si="31"/>
        <v>0</v>
      </c>
      <c r="AN54">
        <f t="shared" si="31"/>
        <v>0</v>
      </c>
      <c r="AO54">
        <f t="shared" si="31"/>
        <v>0</v>
      </c>
      <c r="AP54">
        <f t="shared" si="31"/>
        <v>0</v>
      </c>
      <c r="AQ54">
        <f t="shared" si="31"/>
        <v>0</v>
      </c>
      <c r="AR54">
        <f t="shared" si="31"/>
        <v>0</v>
      </c>
      <c r="AS54">
        <f t="shared" si="31"/>
        <v>0</v>
      </c>
      <c r="AT54">
        <f t="shared" si="31"/>
        <v>0</v>
      </c>
      <c r="AU54">
        <f t="shared" si="31"/>
        <v>0</v>
      </c>
      <c r="AV54">
        <f t="shared" si="31"/>
        <v>0</v>
      </c>
      <c r="AW54">
        <f t="shared" si="31"/>
        <v>0</v>
      </c>
      <c r="AX54">
        <f t="shared" si="31"/>
        <v>0</v>
      </c>
      <c r="AY54">
        <f t="shared" si="31"/>
        <v>0</v>
      </c>
    </row>
    <row r="55" spans="1:51" x14ac:dyDescent="0.25">
      <c r="A55" s="136" t="s">
        <v>444</v>
      </c>
      <c r="B55" s="137">
        <f t="shared" si="30"/>
        <v>0</v>
      </c>
      <c r="C55">
        <f t="shared" si="32"/>
        <v>0</v>
      </c>
      <c r="D55">
        <f t="shared" si="31"/>
        <v>0</v>
      </c>
      <c r="E55">
        <f t="shared" si="31"/>
        <v>0</v>
      </c>
      <c r="F55">
        <f t="shared" si="31"/>
        <v>0</v>
      </c>
      <c r="G55">
        <f t="shared" si="31"/>
        <v>0</v>
      </c>
      <c r="H55">
        <f t="shared" si="31"/>
        <v>0</v>
      </c>
      <c r="I55">
        <f t="shared" si="31"/>
        <v>0</v>
      </c>
      <c r="J55">
        <f t="shared" si="31"/>
        <v>0</v>
      </c>
      <c r="K55">
        <f t="shared" si="31"/>
        <v>0</v>
      </c>
      <c r="L55">
        <f t="shared" si="31"/>
        <v>0</v>
      </c>
      <c r="M55">
        <f t="shared" si="31"/>
        <v>0</v>
      </c>
      <c r="N55">
        <f t="shared" si="31"/>
        <v>0</v>
      </c>
      <c r="O55">
        <f t="shared" si="31"/>
        <v>0</v>
      </c>
      <c r="P55">
        <f t="shared" si="31"/>
        <v>0</v>
      </c>
      <c r="Q55">
        <f t="shared" si="31"/>
        <v>0</v>
      </c>
      <c r="R55">
        <f t="shared" si="31"/>
        <v>0</v>
      </c>
      <c r="S55">
        <f t="shared" si="31"/>
        <v>0</v>
      </c>
      <c r="T55">
        <f t="shared" si="31"/>
        <v>0</v>
      </c>
      <c r="U55">
        <f t="shared" si="31"/>
        <v>0</v>
      </c>
      <c r="V55">
        <f t="shared" si="31"/>
        <v>0</v>
      </c>
      <c r="W55">
        <f t="shared" si="31"/>
        <v>0</v>
      </c>
      <c r="X55">
        <f t="shared" si="31"/>
        <v>0</v>
      </c>
      <c r="Y55">
        <f t="shared" si="31"/>
        <v>0</v>
      </c>
      <c r="Z55">
        <f t="shared" si="31"/>
        <v>0</v>
      </c>
      <c r="AA55">
        <f t="shared" si="31"/>
        <v>0</v>
      </c>
      <c r="AB55">
        <f t="shared" si="31"/>
        <v>0</v>
      </c>
      <c r="AC55">
        <f t="shared" si="31"/>
        <v>0</v>
      </c>
      <c r="AD55">
        <f t="shared" si="31"/>
        <v>0</v>
      </c>
      <c r="AE55">
        <f t="shared" si="31"/>
        <v>0</v>
      </c>
      <c r="AF55">
        <f t="shared" si="31"/>
        <v>0</v>
      </c>
      <c r="AG55">
        <f t="shared" si="31"/>
        <v>0</v>
      </c>
      <c r="AH55">
        <f t="shared" si="31"/>
        <v>0</v>
      </c>
      <c r="AI55">
        <f t="shared" si="31"/>
        <v>0</v>
      </c>
      <c r="AJ55">
        <f t="shared" si="31"/>
        <v>0</v>
      </c>
      <c r="AK55">
        <f t="shared" si="31"/>
        <v>0</v>
      </c>
      <c r="AL55">
        <f t="shared" si="31"/>
        <v>0</v>
      </c>
      <c r="AM55">
        <f t="shared" si="31"/>
        <v>0</v>
      </c>
      <c r="AN55">
        <f t="shared" si="31"/>
        <v>0</v>
      </c>
      <c r="AO55">
        <f t="shared" si="31"/>
        <v>0</v>
      </c>
      <c r="AP55">
        <f t="shared" si="31"/>
        <v>0</v>
      </c>
      <c r="AQ55">
        <f t="shared" si="31"/>
        <v>0</v>
      </c>
      <c r="AR55">
        <f t="shared" si="31"/>
        <v>0</v>
      </c>
      <c r="AS55">
        <f t="shared" si="31"/>
        <v>0</v>
      </c>
      <c r="AT55">
        <f t="shared" si="31"/>
        <v>0</v>
      </c>
      <c r="AU55">
        <f t="shared" si="31"/>
        <v>0</v>
      </c>
      <c r="AV55">
        <f t="shared" si="31"/>
        <v>0</v>
      </c>
      <c r="AW55">
        <f t="shared" si="31"/>
        <v>0</v>
      </c>
      <c r="AX55">
        <f t="shared" si="31"/>
        <v>0</v>
      </c>
      <c r="AY55">
        <f t="shared" si="31"/>
        <v>0</v>
      </c>
    </row>
    <row r="56" spans="1:51" x14ac:dyDescent="0.25">
      <c r="A56" s="136" t="s">
        <v>445</v>
      </c>
      <c r="B56" s="137">
        <f t="shared" si="30"/>
        <v>0</v>
      </c>
      <c r="C56">
        <f t="shared" si="32"/>
        <v>0</v>
      </c>
      <c r="D56">
        <f t="shared" si="31"/>
        <v>0</v>
      </c>
      <c r="E56">
        <f t="shared" si="31"/>
        <v>0</v>
      </c>
      <c r="F56">
        <f t="shared" si="31"/>
        <v>0</v>
      </c>
      <c r="G56">
        <f t="shared" si="31"/>
        <v>0</v>
      </c>
      <c r="H56">
        <f t="shared" si="31"/>
        <v>0</v>
      </c>
      <c r="I56">
        <f t="shared" si="31"/>
        <v>0</v>
      </c>
      <c r="J56">
        <f t="shared" si="31"/>
        <v>0</v>
      </c>
      <c r="K56">
        <f t="shared" si="31"/>
        <v>0</v>
      </c>
      <c r="L56">
        <f t="shared" si="31"/>
        <v>0</v>
      </c>
      <c r="M56">
        <f t="shared" si="31"/>
        <v>0</v>
      </c>
      <c r="N56">
        <f t="shared" si="31"/>
        <v>0</v>
      </c>
      <c r="O56">
        <f t="shared" si="31"/>
        <v>0</v>
      </c>
      <c r="P56">
        <f t="shared" si="31"/>
        <v>0</v>
      </c>
      <c r="Q56">
        <f t="shared" si="31"/>
        <v>0</v>
      </c>
      <c r="R56">
        <f t="shared" si="31"/>
        <v>0</v>
      </c>
      <c r="S56">
        <f t="shared" si="31"/>
        <v>0</v>
      </c>
      <c r="T56">
        <f t="shared" si="31"/>
        <v>0</v>
      </c>
      <c r="U56">
        <f t="shared" si="31"/>
        <v>0</v>
      </c>
      <c r="V56">
        <f t="shared" si="31"/>
        <v>0</v>
      </c>
      <c r="W56">
        <f t="shared" si="31"/>
        <v>0</v>
      </c>
      <c r="X56">
        <f t="shared" si="31"/>
        <v>0</v>
      </c>
      <c r="Y56">
        <f t="shared" si="31"/>
        <v>0</v>
      </c>
      <c r="Z56">
        <f t="shared" si="31"/>
        <v>0</v>
      </c>
      <c r="AA56">
        <f t="shared" si="31"/>
        <v>0</v>
      </c>
      <c r="AB56">
        <f t="shared" si="31"/>
        <v>0</v>
      </c>
      <c r="AC56">
        <f t="shared" si="31"/>
        <v>0</v>
      </c>
      <c r="AD56">
        <f t="shared" si="31"/>
        <v>0</v>
      </c>
      <c r="AE56">
        <f t="shared" si="31"/>
        <v>0</v>
      </c>
      <c r="AF56">
        <f t="shared" si="31"/>
        <v>0</v>
      </c>
      <c r="AG56">
        <f t="shared" si="31"/>
        <v>0</v>
      </c>
      <c r="AH56">
        <f t="shared" ref="AH56:CC56" si="33">IF((AH$3+AH$4)&lt;AH$11,(AH$11-AH$3-AH$4)*AH28*10,0)</f>
        <v>0</v>
      </c>
      <c r="AI56">
        <f t="shared" si="33"/>
        <v>0</v>
      </c>
      <c r="AJ56">
        <f t="shared" si="33"/>
        <v>0</v>
      </c>
      <c r="AK56">
        <f t="shared" si="33"/>
        <v>0</v>
      </c>
      <c r="AL56">
        <f t="shared" si="33"/>
        <v>0</v>
      </c>
      <c r="AM56">
        <f t="shared" si="33"/>
        <v>0</v>
      </c>
      <c r="AN56">
        <f t="shared" si="33"/>
        <v>0</v>
      </c>
      <c r="AO56">
        <f t="shared" si="33"/>
        <v>0</v>
      </c>
      <c r="AP56">
        <f t="shared" si="33"/>
        <v>0</v>
      </c>
      <c r="AQ56">
        <f t="shared" si="33"/>
        <v>0</v>
      </c>
      <c r="AR56">
        <f t="shared" si="33"/>
        <v>0</v>
      </c>
      <c r="AS56">
        <f t="shared" si="33"/>
        <v>0</v>
      </c>
      <c r="AT56">
        <f t="shared" si="33"/>
        <v>0</v>
      </c>
      <c r="AU56">
        <f t="shared" si="33"/>
        <v>0</v>
      </c>
      <c r="AV56">
        <f t="shared" si="33"/>
        <v>0</v>
      </c>
      <c r="AW56">
        <f t="shared" si="33"/>
        <v>0</v>
      </c>
      <c r="AX56">
        <f t="shared" si="33"/>
        <v>0</v>
      </c>
      <c r="AY56">
        <f t="shared" si="33"/>
        <v>0</v>
      </c>
    </row>
    <row r="57" spans="1:51" x14ac:dyDescent="0.25">
      <c r="A57" s="136" t="s">
        <v>446</v>
      </c>
      <c r="B57" s="137">
        <f t="shared" si="30"/>
        <v>0</v>
      </c>
      <c r="C57">
        <f t="shared" si="32"/>
        <v>0</v>
      </c>
      <c r="D57">
        <f t="shared" si="32"/>
        <v>0</v>
      </c>
      <c r="E57">
        <f t="shared" si="32"/>
        <v>0</v>
      </c>
      <c r="F57">
        <f t="shared" si="32"/>
        <v>0</v>
      </c>
      <c r="G57">
        <f t="shared" si="32"/>
        <v>0</v>
      </c>
      <c r="H57">
        <f t="shared" si="32"/>
        <v>0</v>
      </c>
      <c r="I57">
        <f t="shared" si="32"/>
        <v>0</v>
      </c>
      <c r="J57">
        <f t="shared" si="32"/>
        <v>0</v>
      </c>
      <c r="K57">
        <f t="shared" si="32"/>
        <v>0</v>
      </c>
      <c r="L57">
        <f t="shared" si="32"/>
        <v>0</v>
      </c>
      <c r="M57">
        <f t="shared" si="32"/>
        <v>0</v>
      </c>
      <c r="N57">
        <f t="shared" si="32"/>
        <v>0</v>
      </c>
      <c r="O57">
        <f t="shared" si="32"/>
        <v>0</v>
      </c>
      <c r="P57">
        <f t="shared" si="32"/>
        <v>0</v>
      </c>
      <c r="Q57">
        <f t="shared" si="32"/>
        <v>0</v>
      </c>
      <c r="R57">
        <f t="shared" si="32"/>
        <v>0</v>
      </c>
      <c r="S57">
        <f t="shared" ref="D57:BN62" si="34">IF((S$3+S$4)&lt;S$11,(S$11-S$3-S$4)*S29*10,0)</f>
        <v>0</v>
      </c>
      <c r="T57">
        <f t="shared" si="34"/>
        <v>0</v>
      </c>
      <c r="U57">
        <f t="shared" si="34"/>
        <v>0</v>
      </c>
      <c r="V57">
        <f t="shared" si="34"/>
        <v>0</v>
      </c>
      <c r="W57">
        <f t="shared" si="34"/>
        <v>0</v>
      </c>
      <c r="X57">
        <f t="shared" si="34"/>
        <v>0</v>
      </c>
      <c r="Y57">
        <f t="shared" si="34"/>
        <v>0</v>
      </c>
      <c r="Z57">
        <f t="shared" si="34"/>
        <v>0</v>
      </c>
      <c r="AA57">
        <f t="shared" si="34"/>
        <v>0</v>
      </c>
      <c r="AB57">
        <f t="shared" si="34"/>
        <v>0</v>
      </c>
      <c r="AC57">
        <f t="shared" si="34"/>
        <v>0</v>
      </c>
      <c r="AD57">
        <f t="shared" si="34"/>
        <v>0</v>
      </c>
      <c r="AE57">
        <f t="shared" si="34"/>
        <v>0</v>
      </c>
      <c r="AF57">
        <f t="shared" si="34"/>
        <v>0</v>
      </c>
      <c r="AG57">
        <f t="shared" si="34"/>
        <v>0</v>
      </c>
      <c r="AH57">
        <f t="shared" si="34"/>
        <v>0</v>
      </c>
      <c r="AI57">
        <f t="shared" si="34"/>
        <v>0</v>
      </c>
      <c r="AJ57">
        <f t="shared" si="34"/>
        <v>0</v>
      </c>
      <c r="AK57">
        <f t="shared" si="34"/>
        <v>0</v>
      </c>
      <c r="AL57">
        <f t="shared" si="34"/>
        <v>0</v>
      </c>
      <c r="AM57">
        <f t="shared" si="34"/>
        <v>0</v>
      </c>
      <c r="AN57">
        <f t="shared" si="34"/>
        <v>0</v>
      </c>
      <c r="AO57">
        <f t="shared" si="34"/>
        <v>0</v>
      </c>
      <c r="AP57">
        <f t="shared" si="34"/>
        <v>0</v>
      </c>
      <c r="AQ57">
        <f t="shared" si="34"/>
        <v>0</v>
      </c>
      <c r="AR57">
        <f t="shared" si="34"/>
        <v>0</v>
      </c>
      <c r="AS57">
        <f t="shared" si="34"/>
        <v>0</v>
      </c>
      <c r="AT57">
        <f t="shared" si="34"/>
        <v>0</v>
      </c>
      <c r="AU57">
        <f t="shared" si="34"/>
        <v>0</v>
      </c>
      <c r="AV57">
        <f t="shared" si="34"/>
        <v>0</v>
      </c>
      <c r="AW57">
        <f t="shared" si="34"/>
        <v>0</v>
      </c>
      <c r="AX57">
        <f t="shared" si="34"/>
        <v>0</v>
      </c>
      <c r="AY57">
        <f t="shared" si="34"/>
        <v>0</v>
      </c>
    </row>
    <row r="58" spans="1:51" x14ac:dyDescent="0.25">
      <c r="A58" s="136" t="s">
        <v>447</v>
      </c>
      <c r="B58" s="137">
        <f t="shared" si="30"/>
        <v>0</v>
      </c>
      <c r="C58">
        <f t="shared" si="32"/>
        <v>0</v>
      </c>
      <c r="D58">
        <f t="shared" si="34"/>
        <v>0</v>
      </c>
      <c r="E58">
        <f t="shared" si="34"/>
        <v>0</v>
      </c>
      <c r="F58">
        <f t="shared" si="34"/>
        <v>0</v>
      </c>
      <c r="G58">
        <f t="shared" si="34"/>
        <v>0</v>
      </c>
      <c r="H58">
        <f t="shared" si="34"/>
        <v>0</v>
      </c>
      <c r="I58">
        <f t="shared" si="34"/>
        <v>0</v>
      </c>
      <c r="J58">
        <f t="shared" si="34"/>
        <v>0</v>
      </c>
      <c r="K58">
        <f t="shared" si="34"/>
        <v>0</v>
      </c>
      <c r="L58">
        <f t="shared" si="34"/>
        <v>0</v>
      </c>
      <c r="M58">
        <f t="shared" si="34"/>
        <v>0</v>
      </c>
      <c r="N58">
        <f t="shared" si="34"/>
        <v>0</v>
      </c>
      <c r="O58">
        <f t="shared" si="34"/>
        <v>0</v>
      </c>
      <c r="P58">
        <f t="shared" si="34"/>
        <v>0</v>
      </c>
      <c r="Q58">
        <f t="shared" si="34"/>
        <v>0</v>
      </c>
      <c r="R58">
        <f t="shared" si="34"/>
        <v>0</v>
      </c>
      <c r="S58">
        <f t="shared" si="34"/>
        <v>0</v>
      </c>
      <c r="T58">
        <f t="shared" si="34"/>
        <v>0</v>
      </c>
      <c r="U58">
        <f t="shared" si="34"/>
        <v>0</v>
      </c>
      <c r="V58">
        <f t="shared" si="34"/>
        <v>0</v>
      </c>
      <c r="W58">
        <f t="shared" si="34"/>
        <v>0</v>
      </c>
      <c r="X58">
        <f t="shared" si="34"/>
        <v>0</v>
      </c>
      <c r="Y58">
        <f t="shared" si="34"/>
        <v>0</v>
      </c>
      <c r="Z58">
        <f t="shared" si="34"/>
        <v>0</v>
      </c>
      <c r="AA58">
        <f t="shared" si="34"/>
        <v>0</v>
      </c>
      <c r="AB58">
        <f t="shared" si="34"/>
        <v>0</v>
      </c>
      <c r="AC58">
        <f t="shared" si="34"/>
        <v>0</v>
      </c>
      <c r="AD58">
        <f t="shared" si="34"/>
        <v>0</v>
      </c>
      <c r="AE58">
        <f t="shared" si="34"/>
        <v>0</v>
      </c>
      <c r="AF58">
        <f t="shared" si="34"/>
        <v>0</v>
      </c>
      <c r="AG58">
        <f t="shared" si="34"/>
        <v>0</v>
      </c>
      <c r="AH58">
        <f t="shared" si="34"/>
        <v>0</v>
      </c>
      <c r="AI58">
        <f t="shared" si="34"/>
        <v>0</v>
      </c>
      <c r="AJ58">
        <f t="shared" si="34"/>
        <v>0</v>
      </c>
      <c r="AK58">
        <f t="shared" si="34"/>
        <v>0</v>
      </c>
      <c r="AL58">
        <f t="shared" si="34"/>
        <v>0</v>
      </c>
      <c r="AM58">
        <f t="shared" si="34"/>
        <v>0</v>
      </c>
      <c r="AN58">
        <f t="shared" si="34"/>
        <v>0</v>
      </c>
      <c r="AO58">
        <f t="shared" si="34"/>
        <v>0</v>
      </c>
      <c r="AP58">
        <f t="shared" si="34"/>
        <v>0</v>
      </c>
      <c r="AQ58">
        <f t="shared" si="34"/>
        <v>0</v>
      </c>
      <c r="AR58">
        <f t="shared" si="34"/>
        <v>0</v>
      </c>
      <c r="AS58">
        <f t="shared" si="34"/>
        <v>0</v>
      </c>
      <c r="AT58">
        <f t="shared" si="34"/>
        <v>0</v>
      </c>
      <c r="AU58">
        <f t="shared" si="34"/>
        <v>0</v>
      </c>
      <c r="AV58">
        <f t="shared" si="34"/>
        <v>0</v>
      </c>
      <c r="AW58">
        <f t="shared" si="34"/>
        <v>0</v>
      </c>
      <c r="AX58">
        <f t="shared" si="34"/>
        <v>0</v>
      </c>
      <c r="AY58">
        <f t="shared" si="34"/>
        <v>0</v>
      </c>
    </row>
    <row r="59" spans="1:51" x14ac:dyDescent="0.25">
      <c r="A59" s="136" t="s">
        <v>448</v>
      </c>
      <c r="B59" s="137">
        <f t="shared" si="30"/>
        <v>0</v>
      </c>
      <c r="C59">
        <f t="shared" si="32"/>
        <v>0</v>
      </c>
      <c r="D59">
        <f t="shared" si="34"/>
        <v>0</v>
      </c>
      <c r="E59">
        <f t="shared" si="34"/>
        <v>0</v>
      </c>
      <c r="F59">
        <f t="shared" si="34"/>
        <v>0</v>
      </c>
      <c r="G59">
        <f t="shared" si="34"/>
        <v>0</v>
      </c>
      <c r="H59">
        <f t="shared" si="34"/>
        <v>0</v>
      </c>
      <c r="I59">
        <f t="shared" si="34"/>
        <v>0</v>
      </c>
      <c r="J59">
        <f t="shared" si="34"/>
        <v>0</v>
      </c>
      <c r="K59">
        <f t="shared" si="34"/>
        <v>0</v>
      </c>
      <c r="L59">
        <f t="shared" si="34"/>
        <v>0</v>
      </c>
      <c r="M59">
        <f t="shared" si="34"/>
        <v>0</v>
      </c>
      <c r="N59">
        <f t="shared" si="34"/>
        <v>0</v>
      </c>
      <c r="O59">
        <f t="shared" si="34"/>
        <v>0</v>
      </c>
      <c r="P59">
        <f t="shared" si="34"/>
        <v>0</v>
      </c>
      <c r="Q59">
        <f t="shared" si="34"/>
        <v>0</v>
      </c>
      <c r="R59">
        <f t="shared" si="34"/>
        <v>0</v>
      </c>
      <c r="S59">
        <f t="shared" si="34"/>
        <v>0</v>
      </c>
      <c r="T59">
        <f t="shared" si="34"/>
        <v>0</v>
      </c>
      <c r="U59">
        <f t="shared" si="34"/>
        <v>0</v>
      </c>
      <c r="V59">
        <f t="shared" si="34"/>
        <v>0</v>
      </c>
      <c r="W59">
        <f t="shared" si="34"/>
        <v>0</v>
      </c>
      <c r="X59">
        <f t="shared" si="34"/>
        <v>0</v>
      </c>
      <c r="Y59">
        <f t="shared" si="34"/>
        <v>0</v>
      </c>
      <c r="Z59">
        <f t="shared" si="34"/>
        <v>0</v>
      </c>
      <c r="AA59">
        <f t="shared" si="34"/>
        <v>0</v>
      </c>
      <c r="AB59">
        <f t="shared" si="34"/>
        <v>0</v>
      </c>
      <c r="AC59">
        <f t="shared" si="34"/>
        <v>0</v>
      </c>
      <c r="AD59">
        <f t="shared" si="34"/>
        <v>0</v>
      </c>
      <c r="AE59">
        <f t="shared" si="34"/>
        <v>0</v>
      </c>
      <c r="AF59">
        <f t="shared" si="34"/>
        <v>0</v>
      </c>
      <c r="AG59">
        <f t="shared" si="34"/>
        <v>0</v>
      </c>
      <c r="AH59">
        <f t="shared" si="34"/>
        <v>0</v>
      </c>
      <c r="AI59">
        <f t="shared" si="34"/>
        <v>0</v>
      </c>
      <c r="AJ59">
        <f t="shared" si="34"/>
        <v>0</v>
      </c>
      <c r="AK59">
        <f t="shared" si="34"/>
        <v>0</v>
      </c>
      <c r="AL59">
        <f t="shared" si="34"/>
        <v>0</v>
      </c>
      <c r="AM59">
        <f t="shared" si="34"/>
        <v>0</v>
      </c>
      <c r="AN59">
        <f t="shared" si="34"/>
        <v>0</v>
      </c>
      <c r="AO59">
        <f t="shared" si="34"/>
        <v>0</v>
      </c>
      <c r="AP59">
        <f t="shared" si="34"/>
        <v>0</v>
      </c>
      <c r="AQ59">
        <f t="shared" si="34"/>
        <v>0</v>
      </c>
      <c r="AR59">
        <f t="shared" si="34"/>
        <v>0</v>
      </c>
      <c r="AS59">
        <f t="shared" si="34"/>
        <v>0</v>
      </c>
      <c r="AT59">
        <f t="shared" si="34"/>
        <v>0</v>
      </c>
      <c r="AU59">
        <f t="shared" si="34"/>
        <v>0</v>
      </c>
      <c r="AV59">
        <f t="shared" si="34"/>
        <v>0</v>
      </c>
      <c r="AW59">
        <f t="shared" si="34"/>
        <v>0</v>
      </c>
      <c r="AX59">
        <f t="shared" si="34"/>
        <v>0</v>
      </c>
      <c r="AY59">
        <f t="shared" si="34"/>
        <v>0</v>
      </c>
    </row>
    <row r="60" spans="1:51" x14ac:dyDescent="0.25">
      <c r="A60" s="136" t="s">
        <v>449</v>
      </c>
      <c r="B60" s="137">
        <f t="shared" si="30"/>
        <v>0</v>
      </c>
      <c r="C60">
        <f t="shared" si="32"/>
        <v>0</v>
      </c>
      <c r="D60">
        <f t="shared" si="34"/>
        <v>0</v>
      </c>
      <c r="E60">
        <f t="shared" si="34"/>
        <v>0</v>
      </c>
      <c r="F60">
        <f t="shared" si="34"/>
        <v>0</v>
      </c>
      <c r="G60">
        <f t="shared" si="34"/>
        <v>0</v>
      </c>
      <c r="H60">
        <f t="shared" si="34"/>
        <v>0</v>
      </c>
      <c r="I60">
        <f t="shared" si="34"/>
        <v>0</v>
      </c>
      <c r="J60">
        <f t="shared" si="34"/>
        <v>0</v>
      </c>
      <c r="K60">
        <f t="shared" si="34"/>
        <v>0</v>
      </c>
      <c r="L60">
        <f t="shared" si="34"/>
        <v>0</v>
      </c>
      <c r="M60">
        <f t="shared" si="34"/>
        <v>0</v>
      </c>
      <c r="N60">
        <f t="shared" si="34"/>
        <v>0</v>
      </c>
      <c r="O60">
        <f t="shared" si="34"/>
        <v>0</v>
      </c>
      <c r="P60">
        <f t="shared" si="34"/>
        <v>0</v>
      </c>
      <c r="Q60">
        <f t="shared" si="34"/>
        <v>0</v>
      </c>
      <c r="R60">
        <f t="shared" si="34"/>
        <v>0</v>
      </c>
      <c r="S60">
        <f t="shared" si="34"/>
        <v>0</v>
      </c>
      <c r="T60">
        <f t="shared" si="34"/>
        <v>0</v>
      </c>
      <c r="U60">
        <f t="shared" si="34"/>
        <v>0</v>
      </c>
      <c r="V60">
        <f t="shared" si="34"/>
        <v>0</v>
      </c>
      <c r="W60">
        <f t="shared" si="34"/>
        <v>0</v>
      </c>
      <c r="X60">
        <f t="shared" si="34"/>
        <v>0</v>
      </c>
      <c r="Y60">
        <f t="shared" si="34"/>
        <v>0</v>
      </c>
      <c r="Z60">
        <f t="shared" si="34"/>
        <v>0</v>
      </c>
      <c r="AA60">
        <f t="shared" si="34"/>
        <v>0</v>
      </c>
      <c r="AB60">
        <f t="shared" si="34"/>
        <v>0</v>
      </c>
      <c r="AC60">
        <f t="shared" si="34"/>
        <v>0</v>
      </c>
      <c r="AD60">
        <f t="shared" si="34"/>
        <v>0</v>
      </c>
      <c r="AE60">
        <f t="shared" si="34"/>
        <v>0</v>
      </c>
      <c r="AF60">
        <f t="shared" si="34"/>
        <v>0</v>
      </c>
      <c r="AG60">
        <f t="shared" si="34"/>
        <v>0</v>
      </c>
      <c r="AH60">
        <f t="shared" si="34"/>
        <v>0</v>
      </c>
      <c r="AI60">
        <f t="shared" si="34"/>
        <v>0</v>
      </c>
      <c r="AJ60">
        <f t="shared" si="34"/>
        <v>0</v>
      </c>
      <c r="AK60">
        <f t="shared" si="34"/>
        <v>0</v>
      </c>
      <c r="AL60">
        <f t="shared" si="34"/>
        <v>0</v>
      </c>
      <c r="AM60">
        <f t="shared" si="34"/>
        <v>0</v>
      </c>
      <c r="AN60">
        <f t="shared" si="34"/>
        <v>0</v>
      </c>
      <c r="AO60">
        <f t="shared" si="34"/>
        <v>0</v>
      </c>
      <c r="AP60">
        <f t="shared" si="34"/>
        <v>0</v>
      </c>
      <c r="AQ60">
        <f t="shared" si="34"/>
        <v>0</v>
      </c>
      <c r="AR60">
        <f t="shared" si="34"/>
        <v>0</v>
      </c>
      <c r="AS60">
        <f t="shared" si="34"/>
        <v>0</v>
      </c>
      <c r="AT60">
        <f t="shared" si="34"/>
        <v>0</v>
      </c>
      <c r="AU60">
        <f t="shared" si="34"/>
        <v>0</v>
      </c>
      <c r="AV60">
        <f t="shared" si="34"/>
        <v>0</v>
      </c>
      <c r="AW60">
        <f t="shared" si="34"/>
        <v>0</v>
      </c>
      <c r="AX60">
        <f t="shared" si="34"/>
        <v>0</v>
      </c>
      <c r="AY60">
        <f t="shared" si="34"/>
        <v>0</v>
      </c>
    </row>
    <row r="61" spans="1:51" x14ac:dyDescent="0.25">
      <c r="A61" s="136" t="s">
        <v>450</v>
      </c>
      <c r="B61" s="137">
        <f t="shared" si="30"/>
        <v>0</v>
      </c>
      <c r="C61">
        <f t="shared" si="32"/>
        <v>0</v>
      </c>
      <c r="D61">
        <f t="shared" si="34"/>
        <v>0</v>
      </c>
      <c r="E61">
        <f t="shared" si="34"/>
        <v>0</v>
      </c>
      <c r="F61">
        <f t="shared" si="34"/>
        <v>0</v>
      </c>
      <c r="G61">
        <f t="shared" si="34"/>
        <v>0</v>
      </c>
      <c r="H61">
        <f t="shared" si="34"/>
        <v>0</v>
      </c>
      <c r="I61">
        <f t="shared" si="34"/>
        <v>0</v>
      </c>
      <c r="J61">
        <f t="shared" si="34"/>
        <v>0</v>
      </c>
      <c r="K61">
        <f t="shared" si="34"/>
        <v>0</v>
      </c>
      <c r="L61">
        <f t="shared" si="34"/>
        <v>0</v>
      </c>
      <c r="M61">
        <f t="shared" si="34"/>
        <v>0</v>
      </c>
      <c r="N61">
        <f t="shared" si="34"/>
        <v>0</v>
      </c>
      <c r="O61">
        <f t="shared" si="34"/>
        <v>0</v>
      </c>
      <c r="P61">
        <f t="shared" si="34"/>
        <v>0</v>
      </c>
      <c r="Q61">
        <f t="shared" si="34"/>
        <v>0</v>
      </c>
      <c r="R61">
        <f t="shared" si="34"/>
        <v>0</v>
      </c>
      <c r="S61">
        <f t="shared" si="34"/>
        <v>0</v>
      </c>
      <c r="T61">
        <f t="shared" si="34"/>
        <v>0</v>
      </c>
      <c r="U61">
        <f t="shared" si="34"/>
        <v>0</v>
      </c>
      <c r="V61">
        <f t="shared" si="34"/>
        <v>0</v>
      </c>
      <c r="W61">
        <f t="shared" si="34"/>
        <v>0</v>
      </c>
      <c r="X61">
        <f t="shared" si="34"/>
        <v>0</v>
      </c>
      <c r="Y61">
        <f t="shared" si="34"/>
        <v>0</v>
      </c>
      <c r="Z61">
        <f t="shared" si="34"/>
        <v>0</v>
      </c>
      <c r="AA61">
        <f t="shared" si="34"/>
        <v>0</v>
      </c>
      <c r="AB61">
        <f t="shared" si="34"/>
        <v>0</v>
      </c>
      <c r="AC61">
        <f t="shared" si="34"/>
        <v>0</v>
      </c>
      <c r="AD61">
        <f t="shared" si="34"/>
        <v>0</v>
      </c>
      <c r="AE61">
        <f t="shared" si="34"/>
        <v>0</v>
      </c>
      <c r="AF61">
        <f t="shared" si="34"/>
        <v>0</v>
      </c>
      <c r="AG61">
        <f t="shared" si="34"/>
        <v>0</v>
      </c>
      <c r="AH61">
        <f t="shared" si="34"/>
        <v>0</v>
      </c>
      <c r="AI61">
        <f t="shared" si="34"/>
        <v>0</v>
      </c>
      <c r="AJ61">
        <f t="shared" si="34"/>
        <v>0</v>
      </c>
      <c r="AK61">
        <f t="shared" si="34"/>
        <v>0</v>
      </c>
      <c r="AL61">
        <f t="shared" si="34"/>
        <v>0</v>
      </c>
      <c r="AM61">
        <f t="shared" si="34"/>
        <v>0</v>
      </c>
      <c r="AN61">
        <f t="shared" si="34"/>
        <v>0</v>
      </c>
      <c r="AO61">
        <f t="shared" si="34"/>
        <v>0</v>
      </c>
      <c r="AP61">
        <f t="shared" si="34"/>
        <v>0</v>
      </c>
      <c r="AQ61">
        <f t="shared" si="34"/>
        <v>0</v>
      </c>
      <c r="AR61">
        <f t="shared" si="34"/>
        <v>0</v>
      </c>
      <c r="AS61">
        <f t="shared" si="34"/>
        <v>0</v>
      </c>
      <c r="AT61">
        <f t="shared" si="34"/>
        <v>0</v>
      </c>
      <c r="AU61">
        <f t="shared" si="34"/>
        <v>0</v>
      </c>
      <c r="AV61">
        <f t="shared" si="34"/>
        <v>0</v>
      </c>
      <c r="AW61">
        <f t="shared" si="34"/>
        <v>0</v>
      </c>
      <c r="AX61">
        <f t="shared" si="34"/>
        <v>0</v>
      </c>
      <c r="AY61">
        <f t="shared" si="34"/>
        <v>0</v>
      </c>
    </row>
    <row r="62" spans="1:51" x14ac:dyDescent="0.25">
      <c r="A62" s="136" t="s">
        <v>451</v>
      </c>
      <c r="B62" s="137">
        <f t="shared" si="30"/>
        <v>0</v>
      </c>
      <c r="C62">
        <f t="shared" si="32"/>
        <v>0</v>
      </c>
      <c r="D62">
        <f t="shared" si="34"/>
        <v>0</v>
      </c>
      <c r="E62">
        <f t="shared" si="34"/>
        <v>0</v>
      </c>
      <c r="F62">
        <f t="shared" si="34"/>
        <v>0</v>
      </c>
      <c r="G62">
        <f t="shared" si="34"/>
        <v>0</v>
      </c>
      <c r="H62">
        <f t="shared" si="34"/>
        <v>0</v>
      </c>
      <c r="I62">
        <f t="shared" si="34"/>
        <v>0</v>
      </c>
      <c r="J62">
        <f t="shared" si="34"/>
        <v>0</v>
      </c>
      <c r="K62">
        <f t="shared" si="34"/>
        <v>0</v>
      </c>
      <c r="L62">
        <f t="shared" si="34"/>
        <v>0</v>
      </c>
      <c r="M62">
        <f t="shared" si="34"/>
        <v>0</v>
      </c>
      <c r="N62">
        <f t="shared" si="34"/>
        <v>0</v>
      </c>
      <c r="O62">
        <f t="shared" si="34"/>
        <v>0</v>
      </c>
      <c r="P62">
        <f t="shared" si="34"/>
        <v>0</v>
      </c>
      <c r="Q62">
        <f t="shared" si="34"/>
        <v>0</v>
      </c>
      <c r="R62">
        <f t="shared" si="34"/>
        <v>0</v>
      </c>
      <c r="S62">
        <f t="shared" si="34"/>
        <v>0</v>
      </c>
      <c r="T62">
        <f t="shared" si="34"/>
        <v>0</v>
      </c>
      <c r="U62">
        <f t="shared" si="34"/>
        <v>0</v>
      </c>
      <c r="V62">
        <f t="shared" si="34"/>
        <v>0</v>
      </c>
      <c r="W62">
        <f t="shared" si="34"/>
        <v>0</v>
      </c>
      <c r="X62">
        <f t="shared" si="34"/>
        <v>0</v>
      </c>
      <c r="Y62">
        <f t="shared" si="34"/>
        <v>0</v>
      </c>
      <c r="Z62">
        <f t="shared" si="34"/>
        <v>0</v>
      </c>
      <c r="AA62">
        <f t="shared" si="34"/>
        <v>0</v>
      </c>
      <c r="AB62">
        <f t="shared" si="34"/>
        <v>0</v>
      </c>
      <c r="AC62">
        <f t="shared" si="34"/>
        <v>0</v>
      </c>
      <c r="AD62">
        <f t="shared" si="34"/>
        <v>0</v>
      </c>
      <c r="AE62">
        <f t="shared" si="34"/>
        <v>0</v>
      </c>
      <c r="AF62">
        <f t="shared" si="34"/>
        <v>0</v>
      </c>
      <c r="AG62">
        <f t="shared" si="34"/>
        <v>0</v>
      </c>
      <c r="AH62">
        <f t="shared" ref="AH62:CC62" si="35">IF((AH$3+AH$4)&lt;AH$11,(AH$11-AH$3-AH$4)*AH34*10,0)</f>
        <v>0</v>
      </c>
      <c r="AI62">
        <f t="shared" si="35"/>
        <v>0</v>
      </c>
      <c r="AJ62">
        <f t="shared" si="35"/>
        <v>0</v>
      </c>
      <c r="AK62">
        <f t="shared" si="35"/>
        <v>0</v>
      </c>
      <c r="AL62">
        <f t="shared" si="35"/>
        <v>0</v>
      </c>
      <c r="AM62">
        <f t="shared" si="35"/>
        <v>0</v>
      </c>
      <c r="AN62">
        <f t="shared" si="35"/>
        <v>0</v>
      </c>
      <c r="AO62">
        <f t="shared" si="35"/>
        <v>0</v>
      </c>
      <c r="AP62">
        <f t="shared" si="35"/>
        <v>0</v>
      </c>
      <c r="AQ62">
        <f t="shared" si="35"/>
        <v>0</v>
      </c>
      <c r="AR62">
        <f t="shared" si="35"/>
        <v>0</v>
      </c>
      <c r="AS62">
        <f t="shared" si="35"/>
        <v>0</v>
      </c>
      <c r="AT62">
        <f t="shared" si="35"/>
        <v>0</v>
      </c>
      <c r="AU62">
        <f t="shared" si="35"/>
        <v>0</v>
      </c>
      <c r="AV62">
        <f t="shared" si="35"/>
        <v>0</v>
      </c>
      <c r="AW62">
        <f t="shared" si="35"/>
        <v>0</v>
      </c>
      <c r="AX62">
        <f t="shared" si="35"/>
        <v>0</v>
      </c>
      <c r="AY62">
        <f t="shared" si="35"/>
        <v>0</v>
      </c>
    </row>
    <row r="63" spans="1:51" x14ac:dyDescent="0.25">
      <c r="A63" s="136" t="s">
        <v>453</v>
      </c>
      <c r="B63" s="137">
        <f>SUM(B51:B62)</f>
        <v>0</v>
      </c>
    </row>
    <row r="64" spans="1:51" x14ac:dyDescent="0.25">
      <c r="A64" s="138" t="s">
        <v>25</v>
      </c>
      <c r="B64" s="139"/>
    </row>
    <row r="65" spans="1:51" x14ac:dyDescent="0.25">
      <c r="A65" s="136" t="s">
        <v>440</v>
      </c>
      <c r="B65" s="140">
        <f>SUM(C65:AY65)/2.8</f>
        <v>27.804653881544354</v>
      </c>
      <c r="C65">
        <f>(C$13+C$14)/(C$3+C$4)*C$9*C23</f>
        <v>0</v>
      </c>
      <c r="D65">
        <f t="shared" ref="D65:J65" si="36">(D$13+D$14)/(D$3+D$4)*D$9*D23</f>
        <v>0</v>
      </c>
      <c r="E65">
        <f t="shared" si="36"/>
        <v>0</v>
      </c>
      <c r="F65">
        <f t="shared" si="36"/>
        <v>0.21249999999999999</v>
      </c>
      <c r="G65">
        <f t="shared" si="36"/>
        <v>0.41401557285873197</v>
      </c>
      <c r="H65">
        <f t="shared" si="36"/>
        <v>0.40310421286031045</v>
      </c>
      <c r="I65">
        <f t="shared" si="36"/>
        <v>0.39226519337016574</v>
      </c>
      <c r="J65">
        <f t="shared" si="36"/>
        <v>0.76299559471365641</v>
      </c>
      <c r="K65">
        <f>(K$13+K$14)/(K$3+K$4)*K$9*K23</f>
        <v>3.151811196487377</v>
      </c>
      <c r="L65">
        <f t="shared" ref="L65:AY74" si="37">(L$13+L$14)/(L$3+L$4)*L$9*L23</f>
        <v>2.701312910284464</v>
      </c>
      <c r="M65">
        <f t="shared" si="37"/>
        <v>3.3213740458015271</v>
      </c>
      <c r="N65">
        <f t="shared" si="37"/>
        <v>4.0695652173913039</v>
      </c>
      <c r="O65">
        <f t="shared" si="37"/>
        <v>3.8297067171239361</v>
      </c>
      <c r="P65">
        <f t="shared" si="37"/>
        <v>1.9629286376274329</v>
      </c>
      <c r="Q65">
        <f t="shared" si="37"/>
        <v>4.3405994550408726</v>
      </c>
      <c r="R65">
        <f t="shared" si="37"/>
        <v>9.4835262689225281</v>
      </c>
      <c r="S65">
        <f t="shared" si="37"/>
        <v>8.0838427947598248</v>
      </c>
      <c r="T65">
        <f t="shared" si="37"/>
        <v>6.7300771208226227</v>
      </c>
      <c r="U65">
        <f t="shared" si="37"/>
        <v>14.90412111017662</v>
      </c>
      <c r="V65">
        <f t="shared" si="37"/>
        <v>4.7431874483897607</v>
      </c>
      <c r="W65">
        <f t="shared" si="37"/>
        <v>3.3576642335766427</v>
      </c>
      <c r="X65">
        <f t="shared" si="37"/>
        <v>2.8813953488372093</v>
      </c>
      <c r="Y65">
        <f t="shared" si="37"/>
        <v>1.0280752532561506</v>
      </c>
      <c r="Z65">
        <f t="shared" si="37"/>
        <v>1.0789625360230548</v>
      </c>
      <c r="AA65">
        <f t="shared" si="37"/>
        <v>0</v>
      </c>
      <c r="AB65">
        <f t="shared" si="37"/>
        <v>0</v>
      </c>
      <c r="AC65">
        <f t="shared" si="37"/>
        <v>0</v>
      </c>
      <c r="AD65">
        <f t="shared" si="37"/>
        <v>0</v>
      </c>
      <c r="AE65">
        <f t="shared" si="37"/>
        <v>0</v>
      </c>
      <c r="AF65">
        <f t="shared" si="37"/>
        <v>0</v>
      </c>
      <c r="AG65">
        <f t="shared" si="37"/>
        <v>0</v>
      </c>
      <c r="AH65">
        <f t="shared" si="37"/>
        <v>0</v>
      </c>
      <c r="AI65">
        <f t="shared" si="37"/>
        <v>0</v>
      </c>
      <c r="AJ65">
        <f t="shared" si="37"/>
        <v>0</v>
      </c>
      <c r="AK65">
        <f t="shared" si="37"/>
        <v>0</v>
      </c>
      <c r="AL65">
        <f t="shared" si="37"/>
        <v>0</v>
      </c>
      <c r="AM65">
        <f t="shared" si="37"/>
        <v>0</v>
      </c>
      <c r="AN65">
        <f t="shared" si="37"/>
        <v>0</v>
      </c>
      <c r="AO65">
        <f t="shared" si="37"/>
        <v>0</v>
      </c>
      <c r="AP65">
        <f t="shared" si="37"/>
        <v>0</v>
      </c>
      <c r="AQ65">
        <f t="shared" si="37"/>
        <v>0</v>
      </c>
      <c r="AR65">
        <f t="shared" si="37"/>
        <v>0</v>
      </c>
      <c r="AS65">
        <f t="shared" si="37"/>
        <v>0</v>
      </c>
      <c r="AT65">
        <f t="shared" si="37"/>
        <v>0</v>
      </c>
      <c r="AU65">
        <f t="shared" si="37"/>
        <v>0</v>
      </c>
      <c r="AV65">
        <f t="shared" si="37"/>
        <v>0</v>
      </c>
      <c r="AW65">
        <f t="shared" si="37"/>
        <v>0</v>
      </c>
      <c r="AX65">
        <f t="shared" si="37"/>
        <v>0</v>
      </c>
      <c r="AY65">
        <f t="shared" si="37"/>
        <v>0</v>
      </c>
    </row>
    <row r="66" spans="1:51" x14ac:dyDescent="0.25">
      <c r="A66" s="136" t="s">
        <v>441</v>
      </c>
      <c r="B66" s="140">
        <f t="shared" ref="B66:B76" si="38">SUM(C66:AY66)/2.8</f>
        <v>25.157652405331277</v>
      </c>
      <c r="C66">
        <f t="shared" ref="C66:Z76" si="39">(C$13+C$14)/(C$3+C$4)*C$9*C24</f>
        <v>0</v>
      </c>
      <c r="D66">
        <f t="shared" si="39"/>
        <v>0.2235955056179775</v>
      </c>
      <c r="E66">
        <f t="shared" si="39"/>
        <v>0.21802911534154534</v>
      </c>
      <c r="F66">
        <f t="shared" si="39"/>
        <v>0</v>
      </c>
      <c r="G66">
        <f t="shared" si="39"/>
        <v>0.62102335928809793</v>
      </c>
      <c r="H66">
        <f t="shared" si="39"/>
        <v>0.40310421286031045</v>
      </c>
      <c r="I66">
        <f t="shared" si="39"/>
        <v>0.39226519337016574</v>
      </c>
      <c r="J66">
        <f t="shared" si="39"/>
        <v>0.38149779735682821</v>
      </c>
      <c r="K66">
        <f t="shared" si="39"/>
        <v>1.2978046103183316</v>
      </c>
      <c r="L66">
        <f t="shared" si="39"/>
        <v>1.6207877461706786</v>
      </c>
      <c r="M66">
        <f t="shared" si="39"/>
        <v>2.4473282442748094</v>
      </c>
      <c r="N66">
        <f t="shared" si="39"/>
        <v>2.7130434782608694</v>
      </c>
      <c r="O66">
        <f t="shared" si="39"/>
        <v>3.1636707663197732</v>
      </c>
      <c r="P66">
        <f t="shared" si="39"/>
        <v>4.9073215940685815</v>
      </c>
      <c r="Q66">
        <f t="shared" si="39"/>
        <v>7.7166212534059948</v>
      </c>
      <c r="R66">
        <f t="shared" si="39"/>
        <v>14.383348174532502</v>
      </c>
      <c r="S66">
        <f t="shared" si="39"/>
        <v>12.747598253275109</v>
      </c>
      <c r="T66">
        <f t="shared" si="39"/>
        <v>3.8239074550128538</v>
      </c>
      <c r="U66">
        <f t="shared" si="39"/>
        <v>3.0109335576114384</v>
      </c>
      <c r="V66">
        <f t="shared" si="39"/>
        <v>3.7056151940545003</v>
      </c>
      <c r="W66">
        <f t="shared" si="39"/>
        <v>2.4817518248175183</v>
      </c>
      <c r="X66">
        <f t="shared" si="39"/>
        <v>1.5093023255813953</v>
      </c>
      <c r="Y66">
        <f t="shared" si="39"/>
        <v>0.89956584659913175</v>
      </c>
      <c r="Z66">
        <f t="shared" si="39"/>
        <v>0.71930835734870324</v>
      </c>
      <c r="AA66">
        <f t="shared" si="37"/>
        <v>0.33400286944045915</v>
      </c>
      <c r="AB66">
        <f t="shared" si="37"/>
        <v>0.72</v>
      </c>
      <c r="AC66">
        <f t="shared" si="37"/>
        <v>0</v>
      </c>
      <c r="AD66">
        <f t="shared" si="37"/>
        <v>0</v>
      </c>
      <c r="AE66">
        <f t="shared" si="37"/>
        <v>0</v>
      </c>
      <c r="AF66">
        <f t="shared" si="37"/>
        <v>0</v>
      </c>
      <c r="AG66">
        <f t="shared" si="37"/>
        <v>0</v>
      </c>
      <c r="AH66">
        <f t="shared" si="37"/>
        <v>0</v>
      </c>
      <c r="AI66">
        <f t="shared" si="37"/>
        <v>0</v>
      </c>
      <c r="AJ66">
        <f t="shared" si="37"/>
        <v>0</v>
      </c>
      <c r="AK66">
        <f t="shared" si="37"/>
        <v>0</v>
      </c>
      <c r="AL66">
        <f t="shared" si="37"/>
        <v>0</v>
      </c>
      <c r="AM66">
        <f t="shared" si="37"/>
        <v>0</v>
      </c>
      <c r="AN66">
        <f t="shared" si="37"/>
        <v>0</v>
      </c>
      <c r="AO66">
        <f t="shared" si="37"/>
        <v>0</v>
      </c>
      <c r="AP66">
        <f t="shared" si="37"/>
        <v>0</v>
      </c>
      <c r="AQ66">
        <f t="shared" si="37"/>
        <v>0</v>
      </c>
      <c r="AR66">
        <f t="shared" si="37"/>
        <v>0</v>
      </c>
      <c r="AS66">
        <f t="shared" si="37"/>
        <v>0</v>
      </c>
      <c r="AT66">
        <f t="shared" si="37"/>
        <v>0</v>
      </c>
      <c r="AU66">
        <f t="shared" si="37"/>
        <v>0</v>
      </c>
      <c r="AV66">
        <f t="shared" si="37"/>
        <v>0</v>
      </c>
      <c r="AW66">
        <f t="shared" si="37"/>
        <v>0</v>
      </c>
      <c r="AX66">
        <f t="shared" si="37"/>
        <v>0</v>
      </c>
      <c r="AY66">
        <f t="shared" si="37"/>
        <v>0</v>
      </c>
    </row>
    <row r="67" spans="1:51" x14ac:dyDescent="0.25">
      <c r="A67" s="136" t="s">
        <v>442</v>
      </c>
      <c r="B67" s="140">
        <f t="shared" si="38"/>
        <v>23.607475475255399</v>
      </c>
      <c r="C67">
        <f t="shared" si="39"/>
        <v>0</v>
      </c>
      <c r="D67">
        <f t="shared" si="39"/>
        <v>0</v>
      </c>
      <c r="E67">
        <f t="shared" si="39"/>
        <v>0</v>
      </c>
      <c r="F67">
        <f t="shared" si="39"/>
        <v>0</v>
      </c>
      <c r="G67">
        <f t="shared" si="39"/>
        <v>0</v>
      </c>
      <c r="H67">
        <f t="shared" si="39"/>
        <v>0</v>
      </c>
      <c r="I67">
        <f t="shared" si="39"/>
        <v>0</v>
      </c>
      <c r="J67">
        <f t="shared" si="39"/>
        <v>0</v>
      </c>
      <c r="K67">
        <f t="shared" si="39"/>
        <v>0</v>
      </c>
      <c r="L67">
        <f t="shared" si="39"/>
        <v>0</v>
      </c>
      <c r="M67">
        <f t="shared" si="39"/>
        <v>0</v>
      </c>
      <c r="N67">
        <f t="shared" si="39"/>
        <v>0</v>
      </c>
      <c r="O67">
        <f t="shared" si="39"/>
        <v>0.33301797540208139</v>
      </c>
      <c r="P67">
        <f t="shared" si="39"/>
        <v>1.4721964782205745</v>
      </c>
      <c r="Q67">
        <f t="shared" si="39"/>
        <v>0.96457765667574935</v>
      </c>
      <c r="R67">
        <f t="shared" si="39"/>
        <v>1.5805877114870881</v>
      </c>
      <c r="S67">
        <f t="shared" si="39"/>
        <v>2.3318777292576423</v>
      </c>
      <c r="T67">
        <f t="shared" si="39"/>
        <v>6.5771208226221081</v>
      </c>
      <c r="U67">
        <f t="shared" si="39"/>
        <v>8.5811606391925981</v>
      </c>
      <c r="V67">
        <f t="shared" si="39"/>
        <v>4.4467382328654006</v>
      </c>
      <c r="W67">
        <f t="shared" si="39"/>
        <v>8.3211678832116789</v>
      </c>
      <c r="X67">
        <f t="shared" si="39"/>
        <v>7.2720930232558141</v>
      </c>
      <c r="Y67">
        <f t="shared" si="39"/>
        <v>6.0399421128798849</v>
      </c>
      <c r="Z67">
        <f t="shared" si="39"/>
        <v>4.9152737752161384</v>
      </c>
      <c r="AA67">
        <f t="shared" si="37"/>
        <v>4.00803443328551</v>
      </c>
      <c r="AB67">
        <f t="shared" si="37"/>
        <v>2.7771428571428571</v>
      </c>
      <c r="AC67">
        <f t="shared" si="37"/>
        <v>2.6742857142857144</v>
      </c>
      <c r="AD67">
        <f t="shared" si="37"/>
        <v>1.2342857142857142</v>
      </c>
      <c r="AE67">
        <f t="shared" si="37"/>
        <v>1.3371428571428572</v>
      </c>
      <c r="AF67">
        <f t="shared" si="37"/>
        <v>0.51428571428571423</v>
      </c>
      <c r="AG67">
        <f t="shared" si="37"/>
        <v>0.20571428571428571</v>
      </c>
      <c r="AH67">
        <f t="shared" si="37"/>
        <v>0.51428571428571423</v>
      </c>
      <c r="AI67">
        <f t="shared" si="37"/>
        <v>0</v>
      </c>
      <c r="AJ67">
        <f t="shared" si="37"/>
        <v>0</v>
      </c>
      <c r="AK67">
        <f t="shared" si="37"/>
        <v>0</v>
      </c>
      <c r="AL67">
        <f t="shared" si="37"/>
        <v>0</v>
      </c>
      <c r="AM67">
        <f t="shared" si="37"/>
        <v>0</v>
      </c>
      <c r="AN67">
        <f t="shared" si="37"/>
        <v>0</v>
      </c>
      <c r="AO67">
        <f t="shared" si="37"/>
        <v>0</v>
      </c>
      <c r="AP67">
        <f t="shared" si="37"/>
        <v>0</v>
      </c>
      <c r="AQ67">
        <f t="shared" si="37"/>
        <v>0</v>
      </c>
      <c r="AR67">
        <f t="shared" si="37"/>
        <v>0</v>
      </c>
      <c r="AS67">
        <f t="shared" si="37"/>
        <v>0</v>
      </c>
      <c r="AT67">
        <f t="shared" si="37"/>
        <v>0</v>
      </c>
      <c r="AU67">
        <f t="shared" si="37"/>
        <v>0</v>
      </c>
      <c r="AV67">
        <f t="shared" si="37"/>
        <v>0</v>
      </c>
      <c r="AW67">
        <f t="shared" si="37"/>
        <v>0</v>
      </c>
      <c r="AX67">
        <f t="shared" si="37"/>
        <v>0</v>
      </c>
      <c r="AY67">
        <f t="shared" si="37"/>
        <v>0</v>
      </c>
    </row>
    <row r="68" spans="1:51" x14ac:dyDescent="0.25">
      <c r="A68" s="136" t="s">
        <v>443</v>
      </c>
      <c r="B68" s="140">
        <f t="shared" si="38"/>
        <v>19.354447048150814</v>
      </c>
      <c r="C68">
        <f t="shared" si="39"/>
        <v>0</v>
      </c>
      <c r="D68">
        <f t="shared" si="39"/>
        <v>0</v>
      </c>
      <c r="E68">
        <f t="shared" si="39"/>
        <v>0</v>
      </c>
      <c r="F68">
        <f t="shared" si="39"/>
        <v>0</v>
      </c>
      <c r="G68">
        <f t="shared" si="39"/>
        <v>0</v>
      </c>
      <c r="H68">
        <f t="shared" si="39"/>
        <v>0</v>
      </c>
      <c r="I68">
        <f t="shared" si="39"/>
        <v>0</v>
      </c>
      <c r="J68">
        <f t="shared" si="39"/>
        <v>0</v>
      </c>
      <c r="K68">
        <f t="shared" si="39"/>
        <v>0</v>
      </c>
      <c r="L68">
        <f t="shared" si="39"/>
        <v>0</v>
      </c>
      <c r="M68">
        <f t="shared" si="39"/>
        <v>0</v>
      </c>
      <c r="N68">
        <f t="shared" si="39"/>
        <v>0</v>
      </c>
      <c r="O68">
        <f t="shared" si="39"/>
        <v>0</v>
      </c>
      <c r="P68">
        <f t="shared" si="39"/>
        <v>0</v>
      </c>
      <c r="Q68">
        <f t="shared" si="39"/>
        <v>0</v>
      </c>
      <c r="R68">
        <f t="shared" si="39"/>
        <v>0</v>
      </c>
      <c r="S68">
        <f t="shared" si="39"/>
        <v>0</v>
      </c>
      <c r="T68">
        <f t="shared" si="39"/>
        <v>0.76478149100257076</v>
      </c>
      <c r="U68">
        <f t="shared" si="39"/>
        <v>1.2043734230445753</v>
      </c>
      <c r="V68">
        <f t="shared" si="39"/>
        <v>2.9644921552436005</v>
      </c>
      <c r="W68">
        <f t="shared" si="39"/>
        <v>2.9197080291970807</v>
      </c>
      <c r="X68">
        <f t="shared" si="39"/>
        <v>3.7046511627906979</v>
      </c>
      <c r="Y68">
        <f t="shared" si="39"/>
        <v>3.4697539797395081</v>
      </c>
      <c r="Z68">
        <f t="shared" si="39"/>
        <v>3.4766570605187321</v>
      </c>
      <c r="AA68">
        <f t="shared" si="37"/>
        <v>4.00803443328551</v>
      </c>
      <c r="AB68">
        <f t="shared" si="37"/>
        <v>3.7028571428571428</v>
      </c>
      <c r="AC68">
        <f t="shared" si="37"/>
        <v>3.6</v>
      </c>
      <c r="AD68">
        <f t="shared" si="37"/>
        <v>5.2457142857142856</v>
      </c>
      <c r="AE68">
        <f t="shared" si="37"/>
        <v>2.7771428571428571</v>
      </c>
      <c r="AF68">
        <f t="shared" si="37"/>
        <v>3.2914285714285714</v>
      </c>
      <c r="AG68">
        <f t="shared" si="37"/>
        <v>2.3657142857142857</v>
      </c>
      <c r="AH68">
        <f t="shared" si="37"/>
        <v>1.44</v>
      </c>
      <c r="AI68">
        <f t="shared" si="37"/>
        <v>1.8514285714285714</v>
      </c>
      <c r="AJ68">
        <f t="shared" si="37"/>
        <v>0.82285714285714284</v>
      </c>
      <c r="AK68">
        <f t="shared" si="37"/>
        <v>0.92571428571428571</v>
      </c>
      <c r="AL68">
        <f t="shared" si="37"/>
        <v>2.0571428571428569</v>
      </c>
      <c r="AM68">
        <f t="shared" si="37"/>
        <v>1.7485714285714284</v>
      </c>
      <c r="AN68">
        <f t="shared" si="37"/>
        <v>1.0285714285714285</v>
      </c>
      <c r="AO68">
        <f t="shared" si="37"/>
        <v>0.41142857142857142</v>
      </c>
      <c r="AP68">
        <f t="shared" si="37"/>
        <v>0.41142857142857142</v>
      </c>
      <c r="AQ68">
        <f t="shared" si="37"/>
        <v>0</v>
      </c>
      <c r="AR68">
        <f t="shared" si="37"/>
        <v>0</v>
      </c>
      <c r="AS68">
        <f t="shared" si="37"/>
        <v>0</v>
      </c>
      <c r="AT68">
        <f t="shared" si="37"/>
        <v>0</v>
      </c>
      <c r="AU68">
        <f t="shared" si="37"/>
        <v>0</v>
      </c>
      <c r="AV68">
        <f t="shared" si="37"/>
        <v>0</v>
      </c>
      <c r="AW68">
        <f t="shared" si="37"/>
        <v>0</v>
      </c>
      <c r="AX68">
        <f t="shared" si="37"/>
        <v>0</v>
      </c>
      <c r="AY68">
        <f t="shared" si="37"/>
        <v>0</v>
      </c>
    </row>
    <row r="69" spans="1:51" x14ac:dyDescent="0.25">
      <c r="A69" s="136" t="s">
        <v>444</v>
      </c>
      <c r="B69" s="140">
        <f t="shared" si="38"/>
        <v>18.397242577546269</v>
      </c>
      <c r="C69">
        <f t="shared" si="39"/>
        <v>0</v>
      </c>
      <c r="D69">
        <f t="shared" si="39"/>
        <v>0</v>
      </c>
      <c r="E69">
        <f t="shared" si="39"/>
        <v>0</v>
      </c>
      <c r="F69">
        <f t="shared" si="39"/>
        <v>0</v>
      </c>
      <c r="G69">
        <f t="shared" si="39"/>
        <v>0</v>
      </c>
      <c r="H69">
        <f t="shared" si="39"/>
        <v>0</v>
      </c>
      <c r="I69">
        <f t="shared" si="39"/>
        <v>0</v>
      </c>
      <c r="J69">
        <f t="shared" si="39"/>
        <v>0</v>
      </c>
      <c r="K69">
        <f t="shared" si="39"/>
        <v>0</v>
      </c>
      <c r="L69">
        <f t="shared" si="39"/>
        <v>0</v>
      </c>
      <c r="M69">
        <f t="shared" si="39"/>
        <v>0</v>
      </c>
      <c r="N69">
        <f t="shared" si="39"/>
        <v>0</v>
      </c>
      <c r="O69">
        <f t="shared" si="39"/>
        <v>0</v>
      </c>
      <c r="P69">
        <f t="shared" si="39"/>
        <v>0</v>
      </c>
      <c r="Q69">
        <f t="shared" si="39"/>
        <v>0</v>
      </c>
      <c r="R69">
        <f t="shared" si="39"/>
        <v>0</v>
      </c>
      <c r="S69">
        <f t="shared" si="39"/>
        <v>0</v>
      </c>
      <c r="T69">
        <f t="shared" si="39"/>
        <v>0</v>
      </c>
      <c r="U69">
        <f t="shared" si="39"/>
        <v>0</v>
      </c>
      <c r="V69">
        <f t="shared" si="39"/>
        <v>0</v>
      </c>
      <c r="W69">
        <f t="shared" si="39"/>
        <v>0</v>
      </c>
      <c r="X69">
        <f t="shared" si="39"/>
        <v>0.41162790697674423</v>
      </c>
      <c r="Y69">
        <f t="shared" si="39"/>
        <v>0.77105643994211293</v>
      </c>
      <c r="Z69">
        <f t="shared" si="39"/>
        <v>1.3187319884726225</v>
      </c>
      <c r="AA69">
        <f t="shared" si="37"/>
        <v>0.6680057388809183</v>
      </c>
      <c r="AB69">
        <f t="shared" si="37"/>
        <v>0.82285714285714284</v>
      </c>
      <c r="AC69">
        <f t="shared" si="37"/>
        <v>2.2628571428571429</v>
      </c>
      <c r="AD69">
        <f t="shared" si="37"/>
        <v>2.5714285714285712</v>
      </c>
      <c r="AE69">
        <f t="shared" si="37"/>
        <v>2.4685714285714284</v>
      </c>
      <c r="AF69">
        <f t="shared" si="37"/>
        <v>2.2628571428571429</v>
      </c>
      <c r="AG69">
        <f t="shared" si="37"/>
        <v>3.9085714285714284</v>
      </c>
      <c r="AH69">
        <f t="shared" si="37"/>
        <v>4.5257142857142858</v>
      </c>
      <c r="AI69">
        <f t="shared" si="37"/>
        <v>3.6</v>
      </c>
      <c r="AJ69">
        <f t="shared" si="37"/>
        <v>5.4514285714285711</v>
      </c>
      <c r="AK69">
        <f t="shared" si="37"/>
        <v>4.7314285714285713</v>
      </c>
      <c r="AL69">
        <f t="shared" si="37"/>
        <v>4.1142857142857139</v>
      </c>
      <c r="AM69">
        <f t="shared" si="37"/>
        <v>2.6742857142857144</v>
      </c>
      <c r="AN69">
        <f t="shared" si="37"/>
        <v>2.4685714285714284</v>
      </c>
      <c r="AO69">
        <f t="shared" si="37"/>
        <v>2.7771428571428571</v>
      </c>
      <c r="AP69">
        <f t="shared" si="37"/>
        <v>2.0571428571428569</v>
      </c>
      <c r="AQ69">
        <f t="shared" si="37"/>
        <v>1.3371428571428572</v>
      </c>
      <c r="AR69">
        <f t="shared" si="37"/>
        <v>0.30857142857142855</v>
      </c>
      <c r="AS69">
        <f t="shared" si="37"/>
        <v>0</v>
      </c>
      <c r="AT69">
        <f t="shared" si="37"/>
        <v>0</v>
      </c>
      <c r="AU69">
        <f t="shared" si="37"/>
        <v>0</v>
      </c>
      <c r="AV69">
        <f t="shared" si="37"/>
        <v>0</v>
      </c>
      <c r="AW69">
        <f t="shared" si="37"/>
        <v>0</v>
      </c>
      <c r="AX69">
        <f t="shared" si="37"/>
        <v>0</v>
      </c>
      <c r="AY69">
        <f t="shared" si="37"/>
        <v>0</v>
      </c>
    </row>
    <row r="70" spans="1:51" x14ac:dyDescent="0.25">
      <c r="A70" s="136" t="s">
        <v>445</v>
      </c>
      <c r="B70" s="140">
        <f t="shared" si="38"/>
        <v>17.632653061224488</v>
      </c>
      <c r="C70">
        <f t="shared" si="39"/>
        <v>0</v>
      </c>
      <c r="D70">
        <f t="shared" si="39"/>
        <v>0</v>
      </c>
      <c r="E70">
        <f t="shared" si="39"/>
        <v>0</v>
      </c>
      <c r="F70">
        <f t="shared" si="39"/>
        <v>0</v>
      </c>
      <c r="G70">
        <f t="shared" si="39"/>
        <v>0</v>
      </c>
      <c r="H70">
        <f t="shared" si="39"/>
        <v>0</v>
      </c>
      <c r="I70">
        <f t="shared" si="39"/>
        <v>0</v>
      </c>
      <c r="J70">
        <f t="shared" si="39"/>
        <v>0</v>
      </c>
      <c r="K70">
        <f t="shared" si="39"/>
        <v>0</v>
      </c>
      <c r="L70">
        <f t="shared" si="39"/>
        <v>0</v>
      </c>
      <c r="M70">
        <f t="shared" si="39"/>
        <v>0</v>
      </c>
      <c r="N70">
        <f t="shared" si="39"/>
        <v>0</v>
      </c>
      <c r="O70">
        <f t="shared" si="39"/>
        <v>0</v>
      </c>
      <c r="P70">
        <f t="shared" si="39"/>
        <v>0</v>
      </c>
      <c r="Q70">
        <f t="shared" si="39"/>
        <v>0</v>
      </c>
      <c r="R70">
        <f t="shared" si="39"/>
        <v>0</v>
      </c>
      <c r="S70">
        <f t="shared" si="39"/>
        <v>0</v>
      </c>
      <c r="T70">
        <f t="shared" si="39"/>
        <v>0</v>
      </c>
      <c r="U70">
        <f t="shared" si="39"/>
        <v>0</v>
      </c>
      <c r="V70">
        <f t="shared" si="39"/>
        <v>0</v>
      </c>
      <c r="W70">
        <f t="shared" si="39"/>
        <v>0</v>
      </c>
      <c r="X70">
        <f t="shared" si="39"/>
        <v>0</v>
      </c>
      <c r="Y70">
        <f t="shared" si="39"/>
        <v>0</v>
      </c>
      <c r="Z70">
        <f t="shared" si="39"/>
        <v>0</v>
      </c>
      <c r="AA70">
        <f t="shared" si="37"/>
        <v>0</v>
      </c>
      <c r="AB70">
        <f t="shared" si="37"/>
        <v>0.20571428571428571</v>
      </c>
      <c r="AC70">
        <f t="shared" si="37"/>
        <v>0.20571428571428571</v>
      </c>
      <c r="AD70">
        <f t="shared" si="37"/>
        <v>0.82285714285714284</v>
      </c>
      <c r="AE70">
        <f t="shared" si="37"/>
        <v>2.5714285714285712</v>
      </c>
      <c r="AF70">
        <f t="shared" si="37"/>
        <v>4.7314285714285713</v>
      </c>
      <c r="AG70">
        <f t="shared" si="37"/>
        <v>2.6742857142857144</v>
      </c>
      <c r="AH70">
        <f t="shared" si="37"/>
        <v>2.88</v>
      </c>
      <c r="AI70">
        <f t="shared" si="37"/>
        <v>3.4971428571428569</v>
      </c>
      <c r="AJ70">
        <f t="shared" si="37"/>
        <v>4.5257142857142858</v>
      </c>
      <c r="AK70">
        <f t="shared" si="37"/>
        <v>2.9828571428571427</v>
      </c>
      <c r="AL70">
        <f t="shared" si="37"/>
        <v>4.32</v>
      </c>
      <c r="AM70">
        <f t="shared" si="37"/>
        <v>2.6742857142857144</v>
      </c>
      <c r="AN70">
        <f t="shared" si="37"/>
        <v>4.0114285714285716</v>
      </c>
      <c r="AO70">
        <f t="shared" si="37"/>
        <v>1.9542857142857142</v>
      </c>
      <c r="AP70">
        <f t="shared" si="37"/>
        <v>2.0571428571428569</v>
      </c>
      <c r="AQ70">
        <f t="shared" si="37"/>
        <v>2.0571428571428569</v>
      </c>
      <c r="AR70">
        <f t="shared" si="37"/>
        <v>2.16</v>
      </c>
      <c r="AS70">
        <f t="shared" si="37"/>
        <v>2.3657142857142857</v>
      </c>
      <c r="AT70">
        <f t="shared" si="37"/>
        <v>1.5428571428571429</v>
      </c>
      <c r="AU70">
        <f t="shared" si="37"/>
        <v>0.30857142857142855</v>
      </c>
      <c r="AV70">
        <f t="shared" si="37"/>
        <v>0.30857142857142855</v>
      </c>
      <c r="AW70">
        <f t="shared" si="37"/>
        <v>0.51428571428571423</v>
      </c>
      <c r="AX70">
        <f t="shared" si="37"/>
        <v>0</v>
      </c>
      <c r="AY70">
        <f t="shared" si="37"/>
        <v>0</v>
      </c>
    </row>
    <row r="71" spans="1:51" x14ac:dyDescent="0.25">
      <c r="A71" s="136" t="s">
        <v>446</v>
      </c>
      <c r="B71" s="140">
        <f t="shared" si="38"/>
        <v>17.74285714285714</v>
      </c>
      <c r="C71">
        <f t="shared" si="39"/>
        <v>0</v>
      </c>
      <c r="D71">
        <f t="shared" si="39"/>
        <v>0</v>
      </c>
      <c r="E71">
        <f t="shared" si="39"/>
        <v>0</v>
      </c>
      <c r="F71">
        <f t="shared" si="39"/>
        <v>0</v>
      </c>
      <c r="G71">
        <f t="shared" si="39"/>
        <v>0</v>
      </c>
      <c r="H71">
        <f t="shared" si="39"/>
        <v>0</v>
      </c>
      <c r="I71">
        <f t="shared" si="39"/>
        <v>0</v>
      </c>
      <c r="J71">
        <f t="shared" si="39"/>
        <v>0</v>
      </c>
      <c r="K71">
        <f t="shared" si="39"/>
        <v>0</v>
      </c>
      <c r="L71">
        <f t="shared" si="39"/>
        <v>0</v>
      </c>
      <c r="M71">
        <f t="shared" si="39"/>
        <v>0</v>
      </c>
      <c r="N71">
        <f t="shared" si="39"/>
        <v>0</v>
      </c>
      <c r="O71">
        <f t="shared" si="39"/>
        <v>0</v>
      </c>
      <c r="P71">
        <f t="shared" si="39"/>
        <v>0</v>
      </c>
      <c r="Q71">
        <f t="shared" si="39"/>
        <v>0</v>
      </c>
      <c r="R71">
        <f t="shared" si="39"/>
        <v>0</v>
      </c>
      <c r="S71">
        <f t="shared" si="39"/>
        <v>0</v>
      </c>
      <c r="T71">
        <f t="shared" si="39"/>
        <v>0</v>
      </c>
      <c r="U71">
        <f t="shared" si="39"/>
        <v>0</v>
      </c>
      <c r="V71">
        <f t="shared" si="39"/>
        <v>0</v>
      </c>
      <c r="W71">
        <f t="shared" si="39"/>
        <v>0</v>
      </c>
      <c r="X71">
        <f t="shared" si="39"/>
        <v>0</v>
      </c>
      <c r="Y71">
        <f t="shared" si="39"/>
        <v>0</v>
      </c>
      <c r="Z71">
        <f t="shared" si="39"/>
        <v>0</v>
      </c>
      <c r="AA71">
        <f t="shared" si="37"/>
        <v>0</v>
      </c>
      <c r="AB71">
        <f t="shared" si="37"/>
        <v>0</v>
      </c>
      <c r="AC71">
        <f t="shared" si="37"/>
        <v>0.30857142857142855</v>
      </c>
      <c r="AD71">
        <f t="shared" si="37"/>
        <v>0.82285714285714284</v>
      </c>
      <c r="AE71">
        <f t="shared" si="37"/>
        <v>0.72</v>
      </c>
      <c r="AF71">
        <f t="shared" si="37"/>
        <v>1.5428571428571429</v>
      </c>
      <c r="AG71">
        <f t="shared" si="37"/>
        <v>2.16</v>
      </c>
      <c r="AH71">
        <f t="shared" si="37"/>
        <v>1.3371428571428572</v>
      </c>
      <c r="AI71">
        <f t="shared" si="37"/>
        <v>2.7771428571428571</v>
      </c>
      <c r="AJ71">
        <f t="shared" si="37"/>
        <v>3.8057142857142856</v>
      </c>
      <c r="AK71">
        <f t="shared" si="37"/>
        <v>4.6285714285714281</v>
      </c>
      <c r="AL71">
        <f t="shared" si="37"/>
        <v>3.7028571428571428</v>
      </c>
      <c r="AM71">
        <f t="shared" si="37"/>
        <v>3.4971428571428569</v>
      </c>
      <c r="AN71">
        <f t="shared" si="37"/>
        <v>3.7028571428571428</v>
      </c>
      <c r="AO71">
        <f t="shared" si="37"/>
        <v>4.6285714285714281</v>
      </c>
      <c r="AP71">
        <f t="shared" si="37"/>
        <v>3.2914285714285714</v>
      </c>
      <c r="AQ71">
        <f t="shared" si="37"/>
        <v>3.7028571428571428</v>
      </c>
      <c r="AR71">
        <f t="shared" si="37"/>
        <v>3.0857142857142859</v>
      </c>
      <c r="AS71">
        <f t="shared" si="37"/>
        <v>2.6742857142857144</v>
      </c>
      <c r="AT71">
        <f t="shared" si="37"/>
        <v>1.2342857142857142</v>
      </c>
      <c r="AU71">
        <f t="shared" si="37"/>
        <v>0.72</v>
      </c>
      <c r="AV71">
        <f t="shared" si="37"/>
        <v>0.30857142857142855</v>
      </c>
      <c r="AW71">
        <f t="shared" si="37"/>
        <v>1.0285714285714285</v>
      </c>
      <c r="AX71">
        <f t="shared" si="37"/>
        <v>0</v>
      </c>
      <c r="AY71">
        <f t="shared" si="37"/>
        <v>0</v>
      </c>
    </row>
    <row r="72" spans="1:51" x14ac:dyDescent="0.25">
      <c r="A72" s="136" t="s">
        <v>447</v>
      </c>
      <c r="B72" s="140">
        <f t="shared" si="38"/>
        <v>18</v>
      </c>
      <c r="C72">
        <f t="shared" si="39"/>
        <v>0</v>
      </c>
      <c r="D72">
        <f t="shared" si="39"/>
        <v>0</v>
      </c>
      <c r="E72">
        <f t="shared" si="39"/>
        <v>0</v>
      </c>
      <c r="F72">
        <f t="shared" si="39"/>
        <v>0</v>
      </c>
      <c r="G72">
        <f t="shared" si="39"/>
        <v>0</v>
      </c>
      <c r="H72">
        <f t="shared" si="39"/>
        <v>0</v>
      </c>
      <c r="I72">
        <f t="shared" si="39"/>
        <v>0</v>
      </c>
      <c r="J72">
        <f t="shared" si="39"/>
        <v>0</v>
      </c>
      <c r="K72">
        <f t="shared" si="39"/>
        <v>0</v>
      </c>
      <c r="L72">
        <f t="shared" si="39"/>
        <v>0</v>
      </c>
      <c r="M72">
        <f t="shared" si="39"/>
        <v>0</v>
      </c>
      <c r="N72">
        <f t="shared" si="39"/>
        <v>0</v>
      </c>
      <c r="O72">
        <f t="shared" si="39"/>
        <v>0</v>
      </c>
      <c r="P72">
        <f t="shared" si="39"/>
        <v>0</v>
      </c>
      <c r="Q72">
        <f t="shared" si="39"/>
        <v>0</v>
      </c>
      <c r="R72">
        <f t="shared" si="39"/>
        <v>0</v>
      </c>
      <c r="S72">
        <f t="shared" si="39"/>
        <v>0</v>
      </c>
      <c r="T72">
        <f t="shared" si="39"/>
        <v>0</v>
      </c>
      <c r="U72">
        <f t="shared" si="39"/>
        <v>0</v>
      </c>
      <c r="V72">
        <f t="shared" si="39"/>
        <v>0</v>
      </c>
      <c r="W72">
        <f t="shared" si="39"/>
        <v>0</v>
      </c>
      <c r="X72">
        <f t="shared" si="39"/>
        <v>0</v>
      </c>
      <c r="Y72">
        <f t="shared" si="39"/>
        <v>0</v>
      </c>
      <c r="Z72">
        <f t="shared" si="39"/>
        <v>0</v>
      </c>
      <c r="AA72">
        <f t="shared" si="37"/>
        <v>0</v>
      </c>
      <c r="AB72">
        <f t="shared" si="37"/>
        <v>0</v>
      </c>
      <c r="AC72">
        <f t="shared" si="37"/>
        <v>0</v>
      </c>
      <c r="AD72">
        <f t="shared" si="37"/>
        <v>0</v>
      </c>
      <c r="AE72">
        <f t="shared" si="37"/>
        <v>0.20571428571428571</v>
      </c>
      <c r="AF72">
        <f t="shared" si="37"/>
        <v>0.72</v>
      </c>
      <c r="AG72">
        <f t="shared" si="37"/>
        <v>1.2342857142857142</v>
      </c>
      <c r="AH72">
        <f t="shared" si="37"/>
        <v>3.4971428571428569</v>
      </c>
      <c r="AI72">
        <f t="shared" si="37"/>
        <v>2.9828571428571427</v>
      </c>
      <c r="AJ72">
        <f t="shared" si="37"/>
        <v>3.8057142857142856</v>
      </c>
      <c r="AK72">
        <f t="shared" si="37"/>
        <v>4.5257142857142858</v>
      </c>
      <c r="AL72">
        <f t="shared" si="37"/>
        <v>6.0685714285714285</v>
      </c>
      <c r="AM72">
        <f t="shared" si="37"/>
        <v>6.1714285714285717</v>
      </c>
      <c r="AN72">
        <f t="shared" si="37"/>
        <v>4.4228571428571426</v>
      </c>
      <c r="AO72">
        <f t="shared" si="37"/>
        <v>4.2171428571428571</v>
      </c>
      <c r="AP72">
        <f t="shared" si="37"/>
        <v>3.2914285714285714</v>
      </c>
      <c r="AQ72">
        <f t="shared" si="37"/>
        <v>2.2628571428571429</v>
      </c>
      <c r="AR72">
        <f t="shared" si="37"/>
        <v>2.16</v>
      </c>
      <c r="AS72">
        <f t="shared" si="37"/>
        <v>1.9542857142857142</v>
      </c>
      <c r="AT72">
        <f t="shared" si="37"/>
        <v>1.1314285714285715</v>
      </c>
      <c r="AU72">
        <f t="shared" si="37"/>
        <v>0.82285714285714284</v>
      </c>
      <c r="AV72">
        <f t="shared" si="37"/>
        <v>0.41142857142857142</v>
      </c>
      <c r="AW72">
        <f t="shared" si="37"/>
        <v>0.51428571428571423</v>
      </c>
      <c r="AX72">
        <f t="shared" si="37"/>
        <v>0</v>
      </c>
      <c r="AY72">
        <f t="shared" si="37"/>
        <v>0</v>
      </c>
    </row>
    <row r="73" spans="1:51" x14ac:dyDescent="0.25">
      <c r="A73" s="136" t="s">
        <v>448</v>
      </c>
      <c r="B73" s="140">
        <f t="shared" si="38"/>
        <v>17.83418660770695</v>
      </c>
      <c r="C73">
        <f t="shared" si="39"/>
        <v>0</v>
      </c>
      <c r="D73">
        <f t="shared" si="39"/>
        <v>0</v>
      </c>
      <c r="E73">
        <f t="shared" si="39"/>
        <v>0</v>
      </c>
      <c r="F73">
        <f t="shared" si="39"/>
        <v>0</v>
      </c>
      <c r="G73">
        <f t="shared" si="39"/>
        <v>0</v>
      </c>
      <c r="H73">
        <f t="shared" si="39"/>
        <v>0</v>
      </c>
      <c r="I73">
        <f t="shared" si="39"/>
        <v>0</v>
      </c>
      <c r="J73">
        <f t="shared" si="39"/>
        <v>0</v>
      </c>
      <c r="K73">
        <f t="shared" si="39"/>
        <v>0</v>
      </c>
      <c r="L73">
        <f t="shared" si="39"/>
        <v>0</v>
      </c>
      <c r="M73">
        <f t="shared" si="39"/>
        <v>0</v>
      </c>
      <c r="N73">
        <f t="shared" si="39"/>
        <v>0</v>
      </c>
      <c r="O73">
        <f t="shared" si="39"/>
        <v>0</v>
      </c>
      <c r="P73">
        <f t="shared" si="39"/>
        <v>0</v>
      </c>
      <c r="Q73">
        <f t="shared" si="39"/>
        <v>0</v>
      </c>
      <c r="R73">
        <f t="shared" si="39"/>
        <v>0</v>
      </c>
      <c r="S73">
        <f t="shared" si="39"/>
        <v>0</v>
      </c>
      <c r="T73">
        <f t="shared" si="39"/>
        <v>0</v>
      </c>
      <c r="U73">
        <f t="shared" si="39"/>
        <v>0</v>
      </c>
      <c r="V73">
        <f t="shared" si="39"/>
        <v>0</v>
      </c>
      <c r="W73">
        <f t="shared" si="39"/>
        <v>0.29197080291970806</v>
      </c>
      <c r="X73">
        <f t="shared" si="39"/>
        <v>0.5488372093023256</v>
      </c>
      <c r="Y73">
        <f t="shared" si="39"/>
        <v>0.51403762662807528</v>
      </c>
      <c r="Z73">
        <f t="shared" si="39"/>
        <v>1.0789625360230548</v>
      </c>
      <c r="AA73">
        <f t="shared" si="37"/>
        <v>1.1133428981348639</v>
      </c>
      <c r="AB73">
        <f t="shared" si="37"/>
        <v>1.44</v>
      </c>
      <c r="AC73">
        <f t="shared" si="37"/>
        <v>2.2628571428571429</v>
      </c>
      <c r="AD73">
        <f t="shared" si="37"/>
        <v>2.7771428571428571</v>
      </c>
      <c r="AE73">
        <f t="shared" si="37"/>
        <v>3.4971428571428569</v>
      </c>
      <c r="AF73">
        <f t="shared" si="37"/>
        <v>4.2171428571428571</v>
      </c>
      <c r="AG73">
        <f t="shared" si="37"/>
        <v>3.8057142857142856</v>
      </c>
      <c r="AH73">
        <f t="shared" si="37"/>
        <v>3.7028571428571428</v>
      </c>
      <c r="AI73">
        <f t="shared" si="37"/>
        <v>3.3942857142857141</v>
      </c>
      <c r="AJ73">
        <f t="shared" si="37"/>
        <v>4.32</v>
      </c>
      <c r="AK73">
        <f t="shared" si="37"/>
        <v>5.1428571428571423</v>
      </c>
      <c r="AL73">
        <f t="shared" si="37"/>
        <v>2.7771428571428571</v>
      </c>
      <c r="AM73">
        <f t="shared" si="37"/>
        <v>1.8514285714285714</v>
      </c>
      <c r="AN73">
        <f t="shared" si="37"/>
        <v>1.9542857142857142</v>
      </c>
      <c r="AO73">
        <f t="shared" si="37"/>
        <v>1.8514285714285714</v>
      </c>
      <c r="AP73">
        <f t="shared" si="37"/>
        <v>0.92571428571428571</v>
      </c>
      <c r="AQ73">
        <f t="shared" si="37"/>
        <v>1.3371428571428572</v>
      </c>
      <c r="AR73">
        <f t="shared" si="37"/>
        <v>0.6171428571428571</v>
      </c>
      <c r="AS73">
        <f t="shared" si="37"/>
        <v>0.30857142857142855</v>
      </c>
      <c r="AT73">
        <f t="shared" si="37"/>
        <v>0.20571428571428571</v>
      </c>
      <c r="AU73">
        <f t="shared" si="37"/>
        <v>0</v>
      </c>
      <c r="AV73">
        <f t="shared" si="37"/>
        <v>0</v>
      </c>
      <c r="AW73">
        <f t="shared" si="37"/>
        <v>0</v>
      </c>
      <c r="AX73">
        <f t="shared" si="37"/>
        <v>0</v>
      </c>
      <c r="AY73">
        <f t="shared" si="37"/>
        <v>0</v>
      </c>
    </row>
    <row r="74" spans="1:51" x14ac:dyDescent="0.25">
      <c r="A74" s="136" t="s">
        <v>449</v>
      </c>
      <c r="B74" s="140">
        <f t="shared" si="38"/>
        <v>20.164352901951752</v>
      </c>
      <c r="C74">
        <f t="shared" si="39"/>
        <v>0</v>
      </c>
      <c r="D74">
        <f t="shared" si="39"/>
        <v>0</v>
      </c>
      <c r="E74">
        <f t="shared" si="39"/>
        <v>0</v>
      </c>
      <c r="F74">
        <f t="shared" si="39"/>
        <v>0</v>
      </c>
      <c r="G74">
        <f t="shared" si="39"/>
        <v>0</v>
      </c>
      <c r="H74">
        <f t="shared" si="39"/>
        <v>0</v>
      </c>
      <c r="I74">
        <f t="shared" si="39"/>
        <v>0</v>
      </c>
      <c r="J74">
        <f t="shared" si="39"/>
        <v>0</v>
      </c>
      <c r="K74">
        <f t="shared" si="39"/>
        <v>0</v>
      </c>
      <c r="L74">
        <f t="shared" si="39"/>
        <v>0</v>
      </c>
      <c r="M74">
        <f t="shared" si="39"/>
        <v>0</v>
      </c>
      <c r="N74">
        <f t="shared" si="39"/>
        <v>0</v>
      </c>
      <c r="O74">
        <f t="shared" si="39"/>
        <v>0</v>
      </c>
      <c r="P74">
        <f t="shared" si="39"/>
        <v>0</v>
      </c>
      <c r="Q74">
        <f t="shared" si="39"/>
        <v>0</v>
      </c>
      <c r="R74">
        <f t="shared" si="39"/>
        <v>0</v>
      </c>
      <c r="S74">
        <f t="shared" si="39"/>
        <v>0.3109170305676856</v>
      </c>
      <c r="T74">
        <f t="shared" si="39"/>
        <v>1.2236503856041132</v>
      </c>
      <c r="U74">
        <f t="shared" si="39"/>
        <v>4.6669470142977296</v>
      </c>
      <c r="V74">
        <f t="shared" si="39"/>
        <v>1.6304706853839803</v>
      </c>
      <c r="W74">
        <f t="shared" si="39"/>
        <v>3.7956204379562046</v>
      </c>
      <c r="X74">
        <f t="shared" si="39"/>
        <v>2.7441860465116279</v>
      </c>
      <c r="Y74">
        <f t="shared" si="39"/>
        <v>3.0842257597684517</v>
      </c>
      <c r="Z74">
        <f t="shared" si="39"/>
        <v>2.5175792507204613</v>
      </c>
      <c r="AA74">
        <f t="shared" si="37"/>
        <v>2.3380200860832141</v>
      </c>
      <c r="AB74">
        <f t="shared" si="37"/>
        <v>3.9085714285714284</v>
      </c>
      <c r="AC74">
        <f t="shared" si="37"/>
        <v>2.3657142857142857</v>
      </c>
      <c r="AD74">
        <f t="shared" si="37"/>
        <v>2.3657142857142857</v>
      </c>
      <c r="AE74">
        <f t="shared" si="37"/>
        <v>2.3657142857142857</v>
      </c>
      <c r="AF74">
        <f t="shared" si="37"/>
        <v>2.16</v>
      </c>
      <c r="AG74">
        <f t="shared" si="37"/>
        <v>2.4685714285714284</v>
      </c>
      <c r="AH74">
        <f t="shared" si="37"/>
        <v>2.4685714285714284</v>
      </c>
      <c r="AI74">
        <f t="shared" si="37"/>
        <v>3.8057142857142856</v>
      </c>
      <c r="AJ74">
        <f t="shared" si="37"/>
        <v>2.88</v>
      </c>
      <c r="AK74">
        <f t="shared" si="37"/>
        <v>2.5714285714285712</v>
      </c>
      <c r="AL74">
        <f t="shared" si="37"/>
        <v>2.2628571428571429</v>
      </c>
      <c r="AM74">
        <f t="shared" si="37"/>
        <v>0.92571428571428571</v>
      </c>
      <c r="AN74">
        <f t="shared" si="37"/>
        <v>1.3371428571428572</v>
      </c>
      <c r="AO74">
        <f t="shared" si="37"/>
        <v>1.1314285714285715</v>
      </c>
      <c r="AP74">
        <f t="shared" ref="AP74:BN74" si="40">(AP$13+AP$14)/(AP$3+AP$4)*AP$9*AP32</f>
        <v>0.6171428571428571</v>
      </c>
      <c r="AQ74">
        <f t="shared" si="40"/>
        <v>0.51428571428571423</v>
      </c>
      <c r="AR74">
        <f t="shared" si="40"/>
        <v>0</v>
      </c>
      <c r="AS74">
        <f t="shared" si="40"/>
        <v>0</v>
      </c>
      <c r="AT74">
        <f t="shared" si="40"/>
        <v>0</v>
      </c>
      <c r="AU74">
        <f t="shared" si="40"/>
        <v>0</v>
      </c>
      <c r="AV74">
        <f t="shared" si="40"/>
        <v>0</v>
      </c>
      <c r="AW74">
        <f t="shared" si="40"/>
        <v>0</v>
      </c>
      <c r="AX74">
        <f t="shared" si="40"/>
        <v>0</v>
      </c>
      <c r="AY74">
        <f t="shared" si="40"/>
        <v>0</v>
      </c>
    </row>
    <row r="75" spans="1:51" x14ac:dyDescent="0.25">
      <c r="A75" s="136" t="s">
        <v>450</v>
      </c>
      <c r="B75" s="140">
        <f t="shared" si="38"/>
        <v>21.960368029195088</v>
      </c>
      <c r="C75">
        <f t="shared" si="39"/>
        <v>0</v>
      </c>
      <c r="D75">
        <f t="shared" si="39"/>
        <v>0</v>
      </c>
      <c r="E75">
        <f t="shared" si="39"/>
        <v>0</v>
      </c>
      <c r="F75">
        <f t="shared" si="39"/>
        <v>0</v>
      </c>
      <c r="G75">
        <f t="shared" si="39"/>
        <v>0</v>
      </c>
      <c r="H75">
        <f t="shared" si="39"/>
        <v>0</v>
      </c>
      <c r="I75">
        <f t="shared" si="39"/>
        <v>0</v>
      </c>
      <c r="J75">
        <f t="shared" si="39"/>
        <v>0</v>
      </c>
      <c r="K75">
        <f t="shared" si="39"/>
        <v>0</v>
      </c>
      <c r="L75">
        <f t="shared" si="39"/>
        <v>0</v>
      </c>
      <c r="M75">
        <f t="shared" si="39"/>
        <v>0</v>
      </c>
      <c r="N75">
        <f t="shared" si="39"/>
        <v>0</v>
      </c>
      <c r="O75">
        <f t="shared" si="39"/>
        <v>0</v>
      </c>
      <c r="P75">
        <f t="shared" si="39"/>
        <v>0.32715477293790546</v>
      </c>
      <c r="Q75">
        <f t="shared" si="39"/>
        <v>3.0544959128065399</v>
      </c>
      <c r="R75">
        <f t="shared" si="39"/>
        <v>1.7386464826357968</v>
      </c>
      <c r="S75">
        <f t="shared" si="39"/>
        <v>2.3318777292576423</v>
      </c>
      <c r="T75">
        <f t="shared" si="39"/>
        <v>2.6002570694087406</v>
      </c>
      <c r="U75">
        <f t="shared" si="39"/>
        <v>3.9142136248948698</v>
      </c>
      <c r="V75">
        <f t="shared" si="39"/>
        <v>3.5573905862923203</v>
      </c>
      <c r="W75">
        <f t="shared" si="39"/>
        <v>6.5693430656934311</v>
      </c>
      <c r="X75">
        <f t="shared" si="39"/>
        <v>6.8604651162790704</v>
      </c>
      <c r="Y75">
        <f t="shared" si="39"/>
        <v>7.196526772793054</v>
      </c>
      <c r="Z75">
        <f t="shared" si="39"/>
        <v>5.9942363112391934</v>
      </c>
      <c r="AA75">
        <f t="shared" ref="AA75:AY76" si="41">(AA$13+AA$14)/(AA$3+AA$4)*AA$9*AA33</f>
        <v>4.8987087517934009</v>
      </c>
      <c r="AB75">
        <f t="shared" si="41"/>
        <v>4.4228571428571426</v>
      </c>
      <c r="AC75">
        <f t="shared" si="41"/>
        <v>3.2914285714285714</v>
      </c>
      <c r="AD75">
        <f t="shared" si="41"/>
        <v>2.2628571428571429</v>
      </c>
      <c r="AE75">
        <f t="shared" si="41"/>
        <v>0.92571428571428571</v>
      </c>
      <c r="AF75">
        <f t="shared" si="41"/>
        <v>0.41142857142857142</v>
      </c>
      <c r="AG75">
        <f t="shared" si="41"/>
        <v>0.41142857142857142</v>
      </c>
      <c r="AH75">
        <f t="shared" si="41"/>
        <v>0.20571428571428571</v>
      </c>
      <c r="AI75">
        <f t="shared" si="41"/>
        <v>0.41142857142857142</v>
      </c>
      <c r="AJ75">
        <f t="shared" si="41"/>
        <v>0.10285714285714286</v>
      </c>
      <c r="AK75">
        <f t="shared" si="41"/>
        <v>0</v>
      </c>
      <c r="AL75">
        <f t="shared" si="41"/>
        <v>0</v>
      </c>
      <c r="AM75">
        <f t="shared" si="41"/>
        <v>0</v>
      </c>
      <c r="AN75">
        <f t="shared" si="41"/>
        <v>0</v>
      </c>
      <c r="AO75">
        <f t="shared" si="41"/>
        <v>0</v>
      </c>
      <c r="AP75">
        <f t="shared" si="41"/>
        <v>0</v>
      </c>
      <c r="AQ75">
        <f t="shared" si="41"/>
        <v>0</v>
      </c>
      <c r="AR75">
        <f t="shared" si="41"/>
        <v>0</v>
      </c>
      <c r="AS75">
        <f t="shared" si="41"/>
        <v>0</v>
      </c>
      <c r="AT75">
        <f t="shared" si="41"/>
        <v>0</v>
      </c>
      <c r="AU75">
        <f t="shared" si="41"/>
        <v>0</v>
      </c>
      <c r="AV75">
        <f t="shared" si="41"/>
        <v>0</v>
      </c>
      <c r="AW75">
        <f t="shared" si="41"/>
        <v>0</v>
      </c>
      <c r="AX75">
        <f t="shared" si="41"/>
        <v>0</v>
      </c>
      <c r="AY75">
        <f t="shared" si="41"/>
        <v>0</v>
      </c>
    </row>
    <row r="76" spans="1:51" ht="15.75" thickBot="1" x14ac:dyDescent="0.3">
      <c r="A76" s="141" t="s">
        <v>451</v>
      </c>
      <c r="B76" s="140">
        <f t="shared" si="38"/>
        <v>27.803058538962286</v>
      </c>
      <c r="C76">
        <f t="shared" si="39"/>
        <v>0</v>
      </c>
      <c r="D76">
        <f t="shared" si="39"/>
        <v>0.2235955056179775</v>
      </c>
      <c r="E76">
        <f t="shared" si="39"/>
        <v>0</v>
      </c>
      <c r="F76">
        <f t="shared" si="39"/>
        <v>0.21249999999999999</v>
      </c>
      <c r="G76">
        <f t="shared" si="39"/>
        <v>0.41401557285873197</v>
      </c>
      <c r="H76">
        <f t="shared" si="39"/>
        <v>0.8062084257206209</v>
      </c>
      <c r="I76">
        <f t="shared" si="39"/>
        <v>0.78453038674033149</v>
      </c>
      <c r="J76">
        <f t="shared" si="39"/>
        <v>0.76299559471365641</v>
      </c>
      <c r="K76">
        <f t="shared" si="39"/>
        <v>2.4102085620197586</v>
      </c>
      <c r="L76">
        <f t="shared" si="39"/>
        <v>4.8623632385120352</v>
      </c>
      <c r="M76">
        <f t="shared" si="39"/>
        <v>3.1465648854961832</v>
      </c>
      <c r="N76">
        <f t="shared" si="39"/>
        <v>3.2217391304347824</v>
      </c>
      <c r="O76">
        <f t="shared" si="39"/>
        <v>2.830652790917692</v>
      </c>
      <c r="P76">
        <f t="shared" si="39"/>
        <v>9.4874884151992589</v>
      </c>
      <c r="Q76">
        <f t="shared" si="39"/>
        <v>7.0735694822888293</v>
      </c>
      <c r="R76">
        <f t="shared" ref="R76:AG76" si="42">(R$13+R$14)/(R$3+R$4)*R$9*R34</f>
        <v>8.0609973285841487</v>
      </c>
      <c r="S76">
        <f t="shared" si="42"/>
        <v>6.8401746724890833</v>
      </c>
      <c r="T76">
        <f t="shared" si="42"/>
        <v>3.059125964010283</v>
      </c>
      <c r="U76">
        <f t="shared" si="42"/>
        <v>1.9571068124474349</v>
      </c>
      <c r="V76">
        <f t="shared" si="42"/>
        <v>2.5198183319570604</v>
      </c>
      <c r="W76">
        <f t="shared" si="42"/>
        <v>8.7591240875912426</v>
      </c>
      <c r="X76">
        <f t="shared" si="42"/>
        <v>7.2720930232558141</v>
      </c>
      <c r="Y76">
        <f t="shared" si="42"/>
        <v>1.5421128798842259</v>
      </c>
      <c r="Z76">
        <f t="shared" si="42"/>
        <v>0.8391930835734871</v>
      </c>
      <c r="AA76">
        <f t="shared" si="41"/>
        <v>0.55667144906743193</v>
      </c>
      <c r="AB76">
        <f t="shared" si="41"/>
        <v>0.10285714285714286</v>
      </c>
      <c r="AC76">
        <f t="shared" si="41"/>
        <v>0.10285714285714286</v>
      </c>
      <c r="AD76">
        <f t="shared" si="41"/>
        <v>0</v>
      </c>
      <c r="AE76">
        <f t="shared" si="41"/>
        <v>0</v>
      </c>
      <c r="AF76">
        <f t="shared" si="41"/>
        <v>0</v>
      </c>
      <c r="AG76">
        <f t="shared" si="41"/>
        <v>0</v>
      </c>
      <c r="AH76">
        <f t="shared" si="41"/>
        <v>0</v>
      </c>
      <c r="AI76">
        <f t="shared" si="41"/>
        <v>0</v>
      </c>
      <c r="AJ76">
        <f t="shared" si="41"/>
        <v>0</v>
      </c>
      <c r="AK76">
        <f t="shared" si="41"/>
        <v>0</v>
      </c>
      <c r="AL76">
        <f t="shared" si="41"/>
        <v>0</v>
      </c>
      <c r="AM76">
        <f t="shared" si="41"/>
        <v>0</v>
      </c>
      <c r="AN76">
        <f t="shared" si="41"/>
        <v>0</v>
      </c>
      <c r="AO76">
        <f t="shared" si="41"/>
        <v>0</v>
      </c>
      <c r="AP76">
        <f t="shared" si="41"/>
        <v>0</v>
      </c>
      <c r="AQ76">
        <f t="shared" si="41"/>
        <v>0</v>
      </c>
      <c r="AR76">
        <f t="shared" si="41"/>
        <v>0</v>
      </c>
      <c r="AS76">
        <f t="shared" si="41"/>
        <v>0</v>
      </c>
      <c r="AT76">
        <f t="shared" si="41"/>
        <v>0</v>
      </c>
      <c r="AU76">
        <f t="shared" si="41"/>
        <v>0</v>
      </c>
      <c r="AV76">
        <f t="shared" si="41"/>
        <v>0</v>
      </c>
      <c r="AW76">
        <f t="shared" si="41"/>
        <v>0</v>
      </c>
      <c r="AX76">
        <f t="shared" si="41"/>
        <v>0</v>
      </c>
      <c r="AY76">
        <f t="shared" si="41"/>
        <v>0</v>
      </c>
    </row>
    <row r="77" spans="1:51" x14ac:dyDescent="0.25">
      <c r="A77" s="136" t="s">
        <v>453</v>
      </c>
      <c r="B77" s="142">
        <f>SUM(B65:B76)</f>
        <v>255.4589476697258</v>
      </c>
    </row>
    <row r="79" spans="1:51" x14ac:dyDescent="0.25">
      <c r="A79" t="s">
        <v>455</v>
      </c>
      <c r="B79">
        <f>SUM(C79:AY79)</f>
        <v>8121.6684891376817</v>
      </c>
      <c r="C79">
        <f>C22*C10</f>
        <v>0</v>
      </c>
      <c r="D79">
        <f t="shared" ref="D79:AY79" si="43">D22*D10</f>
        <v>9.0314629437335032</v>
      </c>
      <c r="E79">
        <f t="shared" si="43"/>
        <v>4.3902944865371198</v>
      </c>
      <c r="F79">
        <f t="shared" si="43"/>
        <v>8.5297150024149744</v>
      </c>
      <c r="G79">
        <f t="shared" si="43"/>
        <v>28.975943611144988</v>
      </c>
      <c r="H79">
        <f t="shared" si="43"/>
        <v>32.111868244385789</v>
      </c>
      <c r="I79">
        <f t="shared" si="43"/>
        <v>31.108372361748735</v>
      </c>
      <c r="J79">
        <f t="shared" si="43"/>
        <v>37.631095598889594</v>
      </c>
      <c r="K79">
        <f t="shared" si="43"/>
        <v>134.59388525869511</v>
      </c>
      <c r="L79">
        <f t="shared" si="43"/>
        <v>179.12401505071449</v>
      </c>
      <c r="M79">
        <f t="shared" si="43"/>
        <v>172.72672879890325</v>
      </c>
      <c r="N79">
        <f t="shared" si="43"/>
        <v>192.42033549565548</v>
      </c>
      <c r="O79">
        <f t="shared" si="43"/>
        <v>191.29140262768877</v>
      </c>
      <c r="P79">
        <f t="shared" si="43"/>
        <v>334.16412891813962</v>
      </c>
      <c r="Q79">
        <f t="shared" si="43"/>
        <v>415.44729541174115</v>
      </c>
      <c r="R79">
        <f t="shared" si="43"/>
        <v>615.39385002717449</v>
      </c>
      <c r="S79">
        <f t="shared" si="43"/>
        <v>553.17710530367708</v>
      </c>
      <c r="T79">
        <f t="shared" si="43"/>
        <v>406.41583246800764</v>
      </c>
      <c r="U79">
        <f t="shared" si="43"/>
        <v>605.35889120080401</v>
      </c>
      <c r="V79">
        <f t="shared" si="43"/>
        <v>359.00065201340675</v>
      </c>
      <c r="W79">
        <f t="shared" si="43"/>
        <v>533.10718765093588</v>
      </c>
      <c r="X79">
        <f t="shared" si="43"/>
        <v>485.69200719633506</v>
      </c>
      <c r="Y79">
        <f t="shared" si="43"/>
        <v>359.37696296939566</v>
      </c>
      <c r="Z79">
        <f t="shared" si="43"/>
        <v>321.36955641451715</v>
      </c>
      <c r="AA79">
        <f t="shared" si="43"/>
        <v>262.53961029491973</v>
      </c>
      <c r="AB79">
        <f t="shared" si="43"/>
        <v>264.92291301618275</v>
      </c>
      <c r="AC79">
        <f t="shared" si="43"/>
        <v>229.04793521190805</v>
      </c>
      <c r="AD79">
        <f t="shared" si="43"/>
        <v>220.76909418015231</v>
      </c>
      <c r="AE79">
        <f t="shared" si="43"/>
        <v>185.14499034653679</v>
      </c>
      <c r="AF79">
        <f t="shared" si="43"/>
        <v>193.67470534895179</v>
      </c>
      <c r="AG79">
        <f t="shared" si="43"/>
        <v>164.19701379648831</v>
      </c>
      <c r="AH79">
        <f t="shared" si="43"/>
        <v>150.52438239555838</v>
      </c>
      <c r="AI79">
        <f t="shared" si="43"/>
        <v>136.09912908265065</v>
      </c>
      <c r="AJ79">
        <f t="shared" si="43"/>
        <v>125.43698532963199</v>
      </c>
      <c r="AK79">
        <f t="shared" si="43"/>
        <v>93.325117085246262</v>
      </c>
      <c r="AL79">
        <f t="shared" si="43"/>
        <v>61.71499678217905</v>
      </c>
      <c r="AM79">
        <f t="shared" si="43"/>
        <v>23.833027212630036</v>
      </c>
      <c r="AN79">
        <f t="shared" si="43"/>
        <v>0</v>
      </c>
      <c r="AO79">
        <f t="shared" si="43"/>
        <v>0</v>
      </c>
      <c r="AP79">
        <f t="shared" si="43"/>
        <v>0</v>
      </c>
      <c r="AQ79">
        <f t="shared" si="43"/>
        <v>0</v>
      </c>
      <c r="AR79">
        <f t="shared" si="43"/>
        <v>0</v>
      </c>
      <c r="AS79">
        <f t="shared" si="43"/>
        <v>0</v>
      </c>
      <c r="AT79">
        <f t="shared" si="43"/>
        <v>0</v>
      </c>
      <c r="AU79">
        <f t="shared" si="43"/>
        <v>0</v>
      </c>
      <c r="AV79">
        <f t="shared" si="43"/>
        <v>0</v>
      </c>
      <c r="AW79">
        <f t="shared" si="43"/>
        <v>0</v>
      </c>
      <c r="AX79">
        <f t="shared" si="43"/>
        <v>0</v>
      </c>
      <c r="AY79">
        <f t="shared" si="43"/>
        <v>0</v>
      </c>
    </row>
    <row r="82" spans="1:2" x14ac:dyDescent="0.25">
      <c r="A82" t="s">
        <v>139</v>
      </c>
      <c r="B82">
        <f>B79/B49</f>
        <v>3.555245244039472</v>
      </c>
    </row>
  </sheetData>
  <mergeCells count="4">
    <mergeCell ref="A23:A34"/>
    <mergeCell ref="A36:B36"/>
    <mergeCell ref="A50:B50"/>
    <mergeCell ref="A64:B6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3D79-A5AF-49AB-B5D3-A2AAD2228329}">
  <dimension ref="A1:AL22"/>
  <sheetViews>
    <sheetView workbookViewId="0">
      <selection activeCell="C5" sqref="C5"/>
    </sheetView>
  </sheetViews>
  <sheetFormatPr defaultRowHeight="15" x14ac:dyDescent="0.25"/>
  <cols>
    <col min="1" max="1" width="5.7109375" style="98" customWidth="1"/>
    <col min="2" max="2" width="14" style="98" customWidth="1"/>
    <col min="3" max="3" width="19.5703125" style="98" customWidth="1"/>
    <col min="4" max="4" width="31.140625" style="98" bestFit="1" customWidth="1"/>
    <col min="5" max="5" width="22.7109375" style="144" customWidth="1"/>
    <col min="6" max="6" width="9" style="106" customWidth="1"/>
    <col min="7" max="7" width="17" style="144" customWidth="1"/>
    <col min="8" max="8" width="14.5703125" style="98" bestFit="1" customWidth="1"/>
    <col min="9" max="9" width="14.140625" style="98" customWidth="1"/>
    <col min="10" max="10" width="14.7109375" style="98" customWidth="1"/>
    <col min="11" max="11" width="13.140625" style="98" customWidth="1"/>
    <col min="12" max="13" width="12" style="98" customWidth="1"/>
    <col min="14" max="14" width="11.140625" style="98" customWidth="1"/>
    <col min="15" max="15" width="9.140625" style="98"/>
    <col min="16" max="16" width="5.7109375" style="98" customWidth="1"/>
    <col min="17" max="17" width="16.5703125" style="98" bestFit="1" customWidth="1"/>
    <col min="18" max="18" width="16.7109375" style="98" bestFit="1" customWidth="1"/>
    <col min="19" max="19" width="20.28515625" style="98" bestFit="1" customWidth="1"/>
    <col min="20" max="20" width="23" style="144" customWidth="1"/>
    <col min="21" max="21" width="9" style="106" customWidth="1"/>
    <col min="22" max="22" width="17.28515625" style="144" customWidth="1"/>
    <col min="23" max="23" width="12.140625" style="98" customWidth="1"/>
    <col min="24" max="24" width="14.28515625" style="98" customWidth="1"/>
    <col min="25" max="25" width="13.42578125" style="98" customWidth="1"/>
    <col min="26" max="27" width="12" style="98" customWidth="1"/>
    <col min="28" max="33" width="9.140625" style="98"/>
    <col min="34" max="34" width="13.140625" style="98" bestFit="1" customWidth="1"/>
    <col min="35" max="35" width="7.85546875" style="98" bestFit="1" customWidth="1"/>
    <col min="36" max="36" width="5.85546875" style="98" bestFit="1" customWidth="1"/>
    <col min="37" max="37" width="9.140625" style="98"/>
    <col min="38" max="38" width="17" style="98" bestFit="1" customWidth="1"/>
    <col min="39" max="39" width="7.85546875" style="98" bestFit="1" customWidth="1"/>
    <col min="40" max="40" width="5.85546875" style="98" bestFit="1" customWidth="1"/>
    <col min="41" max="41" width="9.140625" style="98"/>
    <col min="42" max="42" width="12" style="98" bestFit="1" customWidth="1"/>
    <col min="43" max="43" width="7.85546875" style="98" bestFit="1" customWidth="1"/>
    <col min="44" max="44" width="5.85546875" style="98" bestFit="1" customWidth="1"/>
    <col min="45" max="45" width="27.7109375" style="98" bestFit="1" customWidth="1"/>
    <col min="46" max="46" width="7.85546875" style="98" bestFit="1" customWidth="1"/>
    <col min="47" max="47" width="5.85546875" style="98" bestFit="1" customWidth="1"/>
    <col min="48" max="16384" width="9.140625" style="98"/>
  </cols>
  <sheetData>
    <row r="1" spans="1:38" x14ac:dyDescent="0.25">
      <c r="A1" s="43" t="s">
        <v>458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P1" s="143" t="s">
        <v>459</v>
      </c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D1" s="98" t="s">
        <v>460</v>
      </c>
      <c r="AH1" s="98" t="s">
        <v>461</v>
      </c>
      <c r="AL1" s="98" t="s">
        <v>462</v>
      </c>
    </row>
    <row r="2" spans="1:38" x14ac:dyDescent="0.25">
      <c r="A2" s="98" t="s">
        <v>463</v>
      </c>
      <c r="B2" s="98" t="s">
        <v>120</v>
      </c>
      <c r="C2" s="98" t="s">
        <v>125</v>
      </c>
      <c r="D2" s="98" t="s">
        <v>464</v>
      </c>
      <c r="E2" s="144" t="s">
        <v>159</v>
      </c>
      <c r="F2" s="106" t="s">
        <v>160</v>
      </c>
      <c r="G2" s="144" t="s">
        <v>161</v>
      </c>
      <c r="H2" s="98" t="s">
        <v>465</v>
      </c>
      <c r="I2" s="98" t="s">
        <v>466</v>
      </c>
      <c r="J2" s="98" t="s">
        <v>467</v>
      </c>
      <c r="K2" s="98" t="s">
        <v>468</v>
      </c>
      <c r="L2" s="98" t="s">
        <v>469</v>
      </c>
      <c r="M2" s="98" t="s">
        <v>470</v>
      </c>
      <c r="N2" s="98" t="s">
        <v>163</v>
      </c>
      <c r="P2" s="145" t="s">
        <v>463</v>
      </c>
      <c r="Q2" s="145" t="s">
        <v>120</v>
      </c>
      <c r="R2" s="145" t="s">
        <v>125</v>
      </c>
      <c r="S2" s="145" t="s">
        <v>464</v>
      </c>
      <c r="T2" s="146" t="s">
        <v>159</v>
      </c>
      <c r="U2" s="147" t="s">
        <v>160</v>
      </c>
      <c r="V2" s="146" t="s">
        <v>161</v>
      </c>
      <c r="W2" s="145" t="s">
        <v>465</v>
      </c>
      <c r="X2" s="145" t="s">
        <v>466</v>
      </c>
      <c r="Y2" s="145" t="s">
        <v>468</v>
      </c>
      <c r="Z2" s="145" t="s">
        <v>469</v>
      </c>
      <c r="AA2" s="145" t="s">
        <v>470</v>
      </c>
    </row>
    <row r="3" spans="1:38" x14ac:dyDescent="0.25">
      <c r="A3" s="98" t="s">
        <v>471</v>
      </c>
      <c r="B3" s="98" t="s">
        <v>128</v>
      </c>
      <c r="C3" s="98" t="s">
        <v>472</v>
      </c>
      <c r="D3" s="98" t="s">
        <v>473</v>
      </c>
      <c r="E3" s="144">
        <v>6918</v>
      </c>
      <c r="F3" s="106">
        <v>0.47</v>
      </c>
      <c r="G3" s="144">
        <f>E3*(1-F3)</f>
        <v>3666.54</v>
      </c>
      <c r="H3" s="98" t="s">
        <v>474</v>
      </c>
      <c r="I3" s="98">
        <v>192</v>
      </c>
      <c r="J3" s="98">
        <v>1.8</v>
      </c>
      <c r="K3" s="98">
        <v>1270</v>
      </c>
      <c r="L3" s="98">
        <v>595</v>
      </c>
      <c r="M3" s="98" t="s">
        <v>475</v>
      </c>
      <c r="N3" s="98" t="s">
        <v>243</v>
      </c>
      <c r="P3" s="98" t="s">
        <v>471</v>
      </c>
      <c r="Q3" s="98" t="s">
        <v>476</v>
      </c>
      <c r="R3" s="98" t="s">
        <v>477</v>
      </c>
      <c r="S3" s="98" t="s">
        <v>478</v>
      </c>
      <c r="T3" s="144">
        <v>1874</v>
      </c>
      <c r="U3" s="106">
        <v>0.47</v>
      </c>
      <c r="V3" s="144">
        <f>Tabela18[[#This Row],[CENA KATALOGOWA]]*(1-Tabela18[[#This Row],[RABAT]])</f>
        <v>993.22</v>
      </c>
      <c r="W3" s="98" t="s">
        <v>474</v>
      </c>
      <c r="X3" s="98">
        <v>50</v>
      </c>
      <c r="Y3" s="98">
        <v>636</v>
      </c>
      <c r="Z3" s="98">
        <v>430</v>
      </c>
      <c r="AA3" s="98" t="s">
        <v>479</v>
      </c>
    </row>
    <row r="4" spans="1:38" x14ac:dyDescent="0.25">
      <c r="A4" s="98" t="s">
        <v>480</v>
      </c>
      <c r="B4" s="98" t="s">
        <v>128</v>
      </c>
      <c r="C4" s="98" t="s">
        <v>481</v>
      </c>
      <c r="D4" s="98" t="s">
        <v>482</v>
      </c>
      <c r="E4" s="144">
        <v>8211</v>
      </c>
      <c r="F4" s="106">
        <v>0.47</v>
      </c>
      <c r="G4" s="144">
        <f t="shared" ref="G4:G16" si="0">E4*(1-F4)</f>
        <v>4351.83</v>
      </c>
      <c r="H4" s="98" t="s">
        <v>474</v>
      </c>
      <c r="I4" s="98">
        <v>280</v>
      </c>
      <c r="J4" s="98">
        <v>1.8</v>
      </c>
      <c r="K4" s="98">
        <v>1750</v>
      </c>
      <c r="L4" s="98">
        <v>595</v>
      </c>
      <c r="M4" s="98" t="s">
        <v>475</v>
      </c>
      <c r="N4" s="98" t="s">
        <v>243</v>
      </c>
      <c r="P4" s="98" t="s">
        <v>480</v>
      </c>
      <c r="Q4" s="98" t="s">
        <v>476</v>
      </c>
      <c r="R4" s="98" t="s">
        <v>483</v>
      </c>
      <c r="S4" s="98" t="s">
        <v>484</v>
      </c>
      <c r="T4" s="144">
        <v>2928</v>
      </c>
      <c r="U4" s="106">
        <v>0.47</v>
      </c>
      <c r="V4" s="144">
        <f>Tabela18[[#This Row],[CENA KATALOGOWA]]*(1-Tabela18[[#This Row],[RABAT]])</f>
        <v>1551.8400000000001</v>
      </c>
      <c r="W4" s="98" t="s">
        <v>474</v>
      </c>
      <c r="X4" s="98">
        <v>100</v>
      </c>
      <c r="Y4" s="98">
        <v>1175</v>
      </c>
      <c r="Z4" s="98">
        <v>430</v>
      </c>
      <c r="AA4" s="98" t="s">
        <v>485</v>
      </c>
    </row>
    <row r="5" spans="1:38" x14ac:dyDescent="0.25">
      <c r="A5" s="98" t="s">
        <v>486</v>
      </c>
      <c r="B5" s="98" t="s">
        <v>128</v>
      </c>
      <c r="C5" s="98" t="s">
        <v>487</v>
      </c>
      <c r="D5" s="98" t="s">
        <v>488</v>
      </c>
      <c r="E5" s="144">
        <v>9170</v>
      </c>
      <c r="F5" s="106">
        <v>0.47</v>
      </c>
      <c r="G5" s="144">
        <f t="shared" si="0"/>
        <v>4860.1000000000004</v>
      </c>
      <c r="H5" s="98" t="s">
        <v>474</v>
      </c>
      <c r="I5" s="98">
        <v>280</v>
      </c>
      <c r="J5" s="98">
        <v>2.35</v>
      </c>
      <c r="K5" s="98">
        <v>1750</v>
      </c>
      <c r="L5" s="98">
        <v>595</v>
      </c>
      <c r="M5" s="98" t="s">
        <v>475</v>
      </c>
      <c r="N5" s="98" t="s">
        <v>243</v>
      </c>
      <c r="P5" s="98" t="s">
        <v>489</v>
      </c>
      <c r="Q5" s="98" t="s">
        <v>490</v>
      </c>
      <c r="R5" s="98" t="s">
        <v>491</v>
      </c>
      <c r="S5" s="98" t="s">
        <v>492</v>
      </c>
      <c r="T5" s="144">
        <v>970</v>
      </c>
      <c r="U5" s="106">
        <v>0.18</v>
      </c>
      <c r="V5" s="144">
        <f>Tabela18[[#This Row],[CENA KATALOGOWA]]*(1-Tabela18[[#This Row],[RABAT]])</f>
        <v>795.40000000000009</v>
      </c>
      <c r="W5" s="98" t="s">
        <v>493</v>
      </c>
      <c r="X5" s="98">
        <v>80</v>
      </c>
      <c r="Y5" s="98">
        <v>747</v>
      </c>
      <c r="Z5" s="98">
        <v>440</v>
      </c>
      <c r="AA5" s="98" t="s">
        <v>479</v>
      </c>
    </row>
    <row r="6" spans="1:38" x14ac:dyDescent="0.25">
      <c r="A6" s="98" t="s">
        <v>494</v>
      </c>
      <c r="B6" s="98" t="s">
        <v>128</v>
      </c>
      <c r="C6" s="98" t="s">
        <v>495</v>
      </c>
      <c r="D6" s="98" t="s">
        <v>496</v>
      </c>
      <c r="E6" s="144">
        <v>6681</v>
      </c>
      <c r="F6" s="106">
        <v>0.47</v>
      </c>
      <c r="G6" s="144">
        <f t="shared" si="0"/>
        <v>3540.9300000000003</v>
      </c>
      <c r="H6" s="98" t="s">
        <v>497</v>
      </c>
      <c r="I6" s="98">
        <v>167</v>
      </c>
      <c r="J6" s="98">
        <v>1.8</v>
      </c>
      <c r="K6" s="98">
        <v>1297</v>
      </c>
      <c r="L6" s="98">
        <v>560</v>
      </c>
      <c r="M6" s="98" t="s">
        <v>479</v>
      </c>
      <c r="N6" s="98" t="s">
        <v>243</v>
      </c>
      <c r="P6" s="98" t="s">
        <v>498</v>
      </c>
      <c r="Q6" s="98" t="s">
        <v>490</v>
      </c>
      <c r="R6" s="98" t="s">
        <v>499</v>
      </c>
      <c r="S6" s="98" t="s">
        <v>500</v>
      </c>
      <c r="T6" s="144">
        <v>1130</v>
      </c>
      <c r="U6" s="106">
        <v>0.18</v>
      </c>
      <c r="V6" s="144">
        <f>Tabela18[[#This Row],[CENA KATALOGOWA]]*(1-Tabela18[[#This Row],[RABAT]])</f>
        <v>926.6</v>
      </c>
      <c r="W6" s="98" t="s">
        <v>493</v>
      </c>
      <c r="X6" s="98">
        <v>100</v>
      </c>
      <c r="Y6" s="98">
        <v>906</v>
      </c>
      <c r="Z6" s="98">
        <v>471</v>
      </c>
      <c r="AA6" s="98" t="s">
        <v>479</v>
      </c>
    </row>
    <row r="7" spans="1:38" x14ac:dyDescent="0.25">
      <c r="A7" s="98" t="s">
        <v>489</v>
      </c>
      <c r="B7" s="98" t="s">
        <v>128</v>
      </c>
      <c r="C7" s="98" t="s">
        <v>501</v>
      </c>
      <c r="D7" s="98" t="s">
        <v>502</v>
      </c>
      <c r="E7" s="144">
        <v>6688</v>
      </c>
      <c r="F7" s="106">
        <v>0.47</v>
      </c>
      <c r="G7" s="144">
        <f t="shared" si="0"/>
        <v>3544.6400000000003</v>
      </c>
      <c r="H7" s="98" t="s">
        <v>497</v>
      </c>
      <c r="I7" s="98">
        <v>200</v>
      </c>
      <c r="J7" s="98">
        <v>1.8</v>
      </c>
      <c r="K7" s="98">
        <v>1340</v>
      </c>
      <c r="L7" s="98">
        <v>610</v>
      </c>
      <c r="M7" s="98" t="s">
        <v>479</v>
      </c>
      <c r="N7" s="98" t="s">
        <v>243</v>
      </c>
      <c r="P7" s="98" t="s">
        <v>503</v>
      </c>
      <c r="Q7" s="98" t="s">
        <v>490</v>
      </c>
      <c r="R7" s="98" t="s">
        <v>504</v>
      </c>
      <c r="S7" s="98" t="s">
        <v>505</v>
      </c>
      <c r="T7" s="144">
        <v>1670</v>
      </c>
      <c r="U7" s="106">
        <v>0.18</v>
      </c>
      <c r="V7" s="144">
        <f>Tabela18[[#This Row],[CENA KATALOGOWA]]*(1-Tabela18[[#This Row],[RABAT]])</f>
        <v>1369.4</v>
      </c>
      <c r="W7" s="98" t="s">
        <v>493</v>
      </c>
      <c r="X7" s="98">
        <v>200</v>
      </c>
      <c r="Y7" s="98">
        <v>1306</v>
      </c>
      <c r="Z7" s="98">
        <v>607</v>
      </c>
      <c r="AA7" s="98" t="s">
        <v>479</v>
      </c>
    </row>
    <row r="8" spans="1:38" x14ac:dyDescent="0.25">
      <c r="A8" s="98" t="s">
        <v>498</v>
      </c>
      <c r="B8" s="98" t="s">
        <v>128</v>
      </c>
      <c r="C8" s="98" t="s">
        <v>506</v>
      </c>
      <c r="D8" s="98" t="s">
        <v>507</v>
      </c>
      <c r="E8" s="144">
        <v>8198</v>
      </c>
      <c r="F8" s="106">
        <v>0.47</v>
      </c>
      <c r="G8" s="144">
        <f t="shared" si="0"/>
        <v>4344.9400000000005</v>
      </c>
      <c r="H8" s="98" t="s">
        <v>497</v>
      </c>
      <c r="I8" s="98">
        <v>290</v>
      </c>
      <c r="J8" s="98">
        <v>2.6</v>
      </c>
      <c r="K8" s="98">
        <v>1800</v>
      </c>
      <c r="L8" s="98">
        <v>610</v>
      </c>
      <c r="M8" s="98" t="s">
        <v>479</v>
      </c>
      <c r="N8" s="98" t="s">
        <v>243</v>
      </c>
      <c r="P8" s="98" t="s">
        <v>508</v>
      </c>
      <c r="Q8" s="98" t="s">
        <v>490</v>
      </c>
      <c r="R8" s="98" t="s">
        <v>509</v>
      </c>
      <c r="S8" s="98" t="s">
        <v>510</v>
      </c>
      <c r="T8" s="144">
        <v>2255</v>
      </c>
      <c r="U8" s="106">
        <v>0.18</v>
      </c>
      <c r="V8" s="144">
        <f>Tabela18[[#This Row],[CENA KATALOGOWA]]*(1-Tabela18[[#This Row],[RABAT]])</f>
        <v>1849.1000000000001</v>
      </c>
      <c r="W8" s="98" t="s">
        <v>493</v>
      </c>
      <c r="X8" s="98">
        <v>300</v>
      </c>
      <c r="Y8" s="98">
        <v>1462</v>
      </c>
      <c r="Z8" s="98">
        <v>657</v>
      </c>
      <c r="AA8" s="98" t="s">
        <v>479</v>
      </c>
    </row>
    <row r="9" spans="1:38" x14ac:dyDescent="0.25">
      <c r="A9" s="98" t="s">
        <v>503</v>
      </c>
      <c r="B9" s="98" t="s">
        <v>128</v>
      </c>
      <c r="C9" s="98" t="s">
        <v>511</v>
      </c>
      <c r="D9" s="98" t="s">
        <v>512</v>
      </c>
      <c r="E9" s="144">
        <v>9919</v>
      </c>
      <c r="F9" s="106">
        <v>0.47</v>
      </c>
      <c r="G9" s="144">
        <f t="shared" si="0"/>
        <v>5257.0700000000006</v>
      </c>
      <c r="H9" s="98" t="s">
        <v>497</v>
      </c>
      <c r="I9" s="98">
        <v>290</v>
      </c>
      <c r="J9" s="98" t="s">
        <v>513</v>
      </c>
      <c r="K9" s="98">
        <v>1835</v>
      </c>
      <c r="L9" s="98">
        <v>670</v>
      </c>
      <c r="M9" s="98" t="s">
        <v>479</v>
      </c>
      <c r="N9" s="98" t="s">
        <v>243</v>
      </c>
    </row>
    <row r="10" spans="1:38" x14ac:dyDescent="0.25">
      <c r="A10" s="98" t="s">
        <v>508</v>
      </c>
      <c r="B10" s="98" t="s">
        <v>490</v>
      </c>
      <c r="C10" s="98" t="s">
        <v>514</v>
      </c>
      <c r="D10" s="98" t="s">
        <v>515</v>
      </c>
      <c r="G10" s="144">
        <f>2650/1.23</f>
        <v>2154.4715447154472</v>
      </c>
      <c r="H10" s="98" t="s">
        <v>497</v>
      </c>
      <c r="I10" s="98">
        <v>200</v>
      </c>
      <c r="J10" s="98">
        <v>1.9</v>
      </c>
      <c r="M10" s="98" t="s">
        <v>479</v>
      </c>
      <c r="N10" s="98" t="s">
        <v>243</v>
      </c>
    </row>
    <row r="11" spans="1:38" x14ac:dyDescent="0.25">
      <c r="A11" s="98" t="s">
        <v>516</v>
      </c>
      <c r="B11" s="98" t="s">
        <v>490</v>
      </c>
      <c r="C11" s="98" t="s">
        <v>517</v>
      </c>
      <c r="D11" s="98" t="s">
        <v>502</v>
      </c>
      <c r="G11" s="144">
        <f>2810/1.23</f>
        <v>2284.5528455284552</v>
      </c>
      <c r="H11" s="98" t="s">
        <v>497</v>
      </c>
      <c r="I11" s="98">
        <v>200</v>
      </c>
      <c r="J11" s="98">
        <v>1.9</v>
      </c>
      <c r="M11" s="98" t="s">
        <v>479</v>
      </c>
      <c r="N11" s="98" t="s">
        <v>243</v>
      </c>
    </row>
    <row r="12" spans="1:38" x14ac:dyDescent="0.25">
      <c r="A12" s="98" t="s">
        <v>518</v>
      </c>
      <c r="B12" s="98" t="s">
        <v>490</v>
      </c>
      <c r="C12" s="98" t="s">
        <v>519</v>
      </c>
      <c r="D12" s="98" t="s">
        <v>507</v>
      </c>
      <c r="G12" s="144">
        <f>3270/1.23</f>
        <v>2658.5365853658536</v>
      </c>
      <c r="H12" s="98" t="s">
        <v>497</v>
      </c>
      <c r="I12" s="98">
        <v>300</v>
      </c>
      <c r="J12" s="98">
        <v>3.2</v>
      </c>
      <c r="M12" s="98" t="s">
        <v>479</v>
      </c>
      <c r="N12" s="98" t="s">
        <v>243</v>
      </c>
    </row>
    <row r="13" spans="1:38" x14ac:dyDescent="0.25">
      <c r="A13" s="98" t="s">
        <v>520</v>
      </c>
      <c r="B13" s="98" t="s">
        <v>490</v>
      </c>
      <c r="C13" s="98" t="s">
        <v>521</v>
      </c>
      <c r="D13" s="98" t="s">
        <v>512</v>
      </c>
      <c r="G13" s="144">
        <f>5167/1.23</f>
        <v>4200.8130081300815</v>
      </c>
      <c r="H13" s="98" t="s">
        <v>497</v>
      </c>
      <c r="I13" s="98">
        <v>300</v>
      </c>
      <c r="J13" s="98" t="s">
        <v>522</v>
      </c>
      <c r="M13" s="98" t="s">
        <v>479</v>
      </c>
      <c r="N13" s="98" t="s">
        <v>243</v>
      </c>
    </row>
    <row r="14" spans="1:38" x14ac:dyDescent="0.25">
      <c r="A14" s="98" t="s">
        <v>523</v>
      </c>
      <c r="B14" s="98" t="s">
        <v>129</v>
      </c>
      <c r="C14" s="98" t="s">
        <v>524</v>
      </c>
      <c r="D14" s="98" t="s">
        <v>473</v>
      </c>
      <c r="E14" s="144">
        <v>4940</v>
      </c>
      <c r="F14" s="106">
        <v>0.5</v>
      </c>
      <c r="G14" s="144">
        <f t="shared" si="0"/>
        <v>2470</v>
      </c>
      <c r="H14" s="98" t="s">
        <v>474</v>
      </c>
      <c r="I14" s="98">
        <v>200</v>
      </c>
      <c r="J14" s="98">
        <v>2.2999999999999998</v>
      </c>
      <c r="K14" s="98">
        <v>1350</v>
      </c>
      <c r="L14" s="98">
        <v>640</v>
      </c>
      <c r="M14" s="98" t="s">
        <v>479</v>
      </c>
      <c r="N14" s="98">
        <v>2.4</v>
      </c>
    </row>
    <row r="15" spans="1:38" x14ac:dyDescent="0.25">
      <c r="A15" s="98" t="s">
        <v>525</v>
      </c>
      <c r="B15" s="98" t="s">
        <v>129</v>
      </c>
      <c r="C15" s="98" t="s">
        <v>526</v>
      </c>
      <c r="D15" s="98" t="s">
        <v>527</v>
      </c>
      <c r="E15" s="144">
        <v>5970</v>
      </c>
      <c r="F15" s="106">
        <v>0.5</v>
      </c>
      <c r="G15" s="144">
        <f t="shared" si="0"/>
        <v>2985</v>
      </c>
      <c r="H15" s="98" t="s">
        <v>474</v>
      </c>
      <c r="I15" s="98">
        <v>300</v>
      </c>
      <c r="J15" s="98">
        <v>3.1</v>
      </c>
      <c r="K15" s="98">
        <v>1850</v>
      </c>
      <c r="L15" s="98">
        <v>640</v>
      </c>
      <c r="M15" s="98" t="s">
        <v>479</v>
      </c>
      <c r="N15" s="98">
        <v>2.4</v>
      </c>
    </row>
    <row r="16" spans="1:38" x14ac:dyDescent="0.25">
      <c r="A16" s="98" t="s">
        <v>528</v>
      </c>
      <c r="B16" s="98" t="s">
        <v>129</v>
      </c>
      <c r="C16" s="98" t="s">
        <v>529</v>
      </c>
      <c r="D16" s="98" t="s">
        <v>530</v>
      </c>
      <c r="E16" s="144">
        <v>6180</v>
      </c>
      <c r="F16" s="106">
        <v>0.5</v>
      </c>
      <c r="G16" s="144">
        <f t="shared" si="0"/>
        <v>3090</v>
      </c>
      <c r="H16" s="98" t="s">
        <v>474</v>
      </c>
      <c r="I16" s="98">
        <v>300</v>
      </c>
      <c r="J16" s="98" t="s">
        <v>531</v>
      </c>
      <c r="K16" s="98">
        <v>1850</v>
      </c>
      <c r="L16" s="98">
        <v>640</v>
      </c>
      <c r="M16" s="98" t="s">
        <v>479</v>
      </c>
      <c r="N16" s="98">
        <v>2.4</v>
      </c>
    </row>
    <row r="17" spans="1:14" x14ac:dyDescent="0.25">
      <c r="A17" s="98" t="s">
        <v>532</v>
      </c>
      <c r="B17" s="98" t="s">
        <v>121</v>
      </c>
      <c r="C17" s="98" t="s">
        <v>533</v>
      </c>
      <c r="D17" s="98" t="s">
        <v>534</v>
      </c>
      <c r="G17" s="144">
        <v>4739</v>
      </c>
      <c r="H17" s="98" t="s">
        <v>474</v>
      </c>
      <c r="I17" s="98">
        <v>150</v>
      </c>
      <c r="J17" s="98">
        <v>1.05</v>
      </c>
      <c r="K17" s="98">
        <v>1000</v>
      </c>
      <c r="M17" s="98" t="s">
        <v>479</v>
      </c>
      <c r="N17" s="98">
        <v>3</v>
      </c>
    </row>
    <row r="18" spans="1:14" x14ac:dyDescent="0.25">
      <c r="A18" s="98" t="s">
        <v>535</v>
      </c>
      <c r="B18" s="98" t="s">
        <v>121</v>
      </c>
      <c r="C18" s="98" t="s">
        <v>536</v>
      </c>
      <c r="D18" s="98" t="s">
        <v>537</v>
      </c>
      <c r="G18" s="144">
        <v>4851</v>
      </c>
      <c r="H18" s="98" t="s">
        <v>474</v>
      </c>
      <c r="I18" s="98">
        <v>180</v>
      </c>
      <c r="J18" s="98">
        <v>1.4</v>
      </c>
      <c r="K18" s="98">
        <v>1164</v>
      </c>
      <c r="M18" s="98" t="s">
        <v>479</v>
      </c>
      <c r="N18" s="98">
        <v>3</v>
      </c>
    </row>
    <row r="19" spans="1:14" x14ac:dyDescent="0.25">
      <c r="A19" s="98" t="s">
        <v>538</v>
      </c>
      <c r="B19" s="98" t="s">
        <v>121</v>
      </c>
      <c r="C19" s="98" t="s">
        <v>539</v>
      </c>
      <c r="D19" s="98" t="s">
        <v>473</v>
      </c>
      <c r="G19" s="144">
        <v>5068</v>
      </c>
      <c r="H19" s="98" t="s">
        <v>474</v>
      </c>
      <c r="I19" s="98">
        <v>200</v>
      </c>
      <c r="J19" s="98">
        <v>1.8</v>
      </c>
      <c r="K19" s="98">
        <v>1264</v>
      </c>
      <c r="M19" s="98" t="s">
        <v>479</v>
      </c>
      <c r="N19" s="98">
        <v>3</v>
      </c>
    </row>
    <row r="20" spans="1:14" x14ac:dyDescent="0.25">
      <c r="A20" s="98" t="s">
        <v>540</v>
      </c>
      <c r="B20" s="98" t="s">
        <v>121</v>
      </c>
      <c r="C20" s="98" t="s">
        <v>541</v>
      </c>
      <c r="D20" s="98" t="s">
        <v>542</v>
      </c>
      <c r="G20" s="144">
        <v>5320</v>
      </c>
      <c r="H20" s="98" t="s">
        <v>474</v>
      </c>
      <c r="I20" s="98">
        <v>250</v>
      </c>
      <c r="J20" s="98">
        <v>1.8</v>
      </c>
      <c r="K20" s="98">
        <v>1535</v>
      </c>
      <c r="M20" s="98" t="s">
        <v>479</v>
      </c>
      <c r="N20" s="98">
        <v>3</v>
      </c>
    </row>
    <row r="21" spans="1:14" x14ac:dyDescent="0.25">
      <c r="A21" s="98" t="s">
        <v>543</v>
      </c>
      <c r="B21" s="98" t="s">
        <v>121</v>
      </c>
      <c r="C21" s="98" t="s">
        <v>544</v>
      </c>
      <c r="D21" s="98" t="s">
        <v>527</v>
      </c>
      <c r="G21" s="144">
        <v>5328</v>
      </c>
      <c r="H21" s="98" t="s">
        <v>474</v>
      </c>
      <c r="I21" s="98">
        <v>300</v>
      </c>
      <c r="J21" s="98">
        <v>1.8</v>
      </c>
      <c r="K21" s="98">
        <v>1745</v>
      </c>
      <c r="M21" s="98" t="s">
        <v>479</v>
      </c>
      <c r="N21" s="98">
        <v>3</v>
      </c>
    </row>
    <row r="22" spans="1:14" x14ac:dyDescent="0.25">
      <c r="A22" s="98" t="s">
        <v>545</v>
      </c>
      <c r="B22" s="98" t="s">
        <v>121</v>
      </c>
      <c r="C22" s="98" t="s">
        <v>546</v>
      </c>
      <c r="D22" s="98" t="s">
        <v>530</v>
      </c>
      <c r="G22" s="144">
        <v>7868</v>
      </c>
      <c r="H22" s="98" t="s">
        <v>474</v>
      </c>
      <c r="I22" s="98">
        <v>300</v>
      </c>
      <c r="J22" s="98" t="s">
        <v>547</v>
      </c>
      <c r="K22" s="98">
        <v>1646</v>
      </c>
      <c r="L22" s="98">
        <v>595</v>
      </c>
      <c r="M22" s="98" t="s">
        <v>479</v>
      </c>
      <c r="N22" s="98" t="s">
        <v>243</v>
      </c>
    </row>
  </sheetData>
  <mergeCells count="2">
    <mergeCell ref="A1:N1"/>
    <mergeCell ref="P1:AA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BUDYNEK</vt:lpstr>
      <vt:lpstr>OFERTA</vt:lpstr>
      <vt:lpstr>BAZA PC</vt:lpstr>
      <vt:lpstr>WYKRES</vt:lpstr>
      <vt:lpstr>ELEMENTY DODATKOWE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1438</cp:lastModifiedBy>
  <dcterms:created xsi:type="dcterms:W3CDTF">2015-06-05T18:19:34Z</dcterms:created>
  <dcterms:modified xsi:type="dcterms:W3CDTF">2024-01-20T15:41:20Z</dcterms:modified>
</cp:coreProperties>
</file>