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X:\Programy wycenowe\PC\wycena\"/>
    </mc:Choice>
  </mc:AlternateContent>
  <xr:revisionPtr revIDLastSave="0" documentId="13_ncr:1_{93661720-2664-42A6-8622-FAE0C001EDDC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Budynek" sheetId="21" r:id="rId1"/>
    <sheet name="Arkusz1" sheetId="23" r:id="rId2"/>
    <sheet name="Schemat" sheetId="3" r:id="rId3"/>
    <sheet name="Wycena" sheetId="22" r:id="rId4"/>
    <sheet name="PDF" sheetId="16" r:id="rId5"/>
    <sheet name="WZ" sheetId="6" r:id="rId6"/>
    <sheet name="zestawienie" sheetId="1" r:id="rId7"/>
    <sheet name="PC" sheetId="17" r:id="rId8"/>
    <sheet name="wykres" sheetId="15" r:id="rId9"/>
    <sheet name="Baza danych" sheetId="2" r:id="rId10"/>
    <sheet name="Materiały przyłączeniowe" sheetId="12" r:id="rId11"/>
    <sheet name="SchematyPC" sheetId="18" r:id="rId12"/>
    <sheet name="ZbiornikCWU" sheetId="19" r:id="rId13"/>
    <sheet name="ZbiornikCO" sheetId="20" r:id="rId14"/>
  </sheets>
  <functionGroups builtInGroupCount="19"/>
  <definedNames>
    <definedName name="marża">Schemat!$J$42</definedName>
    <definedName name="MODEL">OFFSET(Arkusz1!$AI$8,MATCH(Arkusz1!$G$6&amp;Arkusz1!$G$9,Arkusz1!$AG$9:$AG$174&amp;Arkusz1!$AH$9:$AH$174,0),0,COUNTIFS(Arkusz1!$AG$9:$AG$174,Arkusz1!$G$6,Arkusz1!$AH$9:$AH$174,Arkusz1!$G$9),1)</definedName>
    <definedName name="_xlnm.Print_Area" localSheetId="4">PDF!$A$1:$X$239</definedName>
    <definedName name="PRODUCENT">OFFSET(Arkusz1!$AK$8,1,0,COUNTA(Arkusz1!$AK$9:$AK$40),1)</definedName>
    <definedName name="sch.inst.">INDEX(SchematyPC!$A$2:$Y$145,MATCH(Schemat!$X$3,SchematyPC!$A$2:$A$145,0),2)</definedName>
    <definedName name="TYP">OFFSET(Arkusz1!$AN$8,MATCH(Arkusz1!$G$6,Arkusz1!$AM$9:$AM$57,0),0,COUNTIF(Arkusz1!$AM$9:$AM$57,Arkusz1!$G$6),1)</definedName>
    <definedName name="zdj_pc">INDEX(PC[#All],MATCH(PDF!$D$74,PC[[#All],[producent]],0),MATCH("PC_zdjęcie",PC[#Headers],0))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" i="23" l="1" a="1"/>
  <c r="AH3" i="23" s="1"/>
  <c r="AH2" i="23" a="1"/>
  <c r="AH2" i="23" s="1"/>
  <c r="AH1" i="23" a="1"/>
  <c r="AH1" i="23" s="1"/>
  <c r="B3" i="15" l="1"/>
  <c r="Z66" i="22"/>
  <c r="V59" i="3"/>
  <c r="V60" i="3"/>
  <c r="V61" i="3"/>
  <c r="V62" i="3"/>
  <c r="AB77" i="22" s="1"/>
  <c r="AB70" i="22"/>
  <c r="AB71" i="22"/>
  <c r="AB72" i="22"/>
  <c r="AB74" i="22"/>
  <c r="AB75" i="22"/>
  <c r="AB76" i="22"/>
  <c r="AB69" i="22"/>
  <c r="AB66" i="22"/>
  <c r="V58" i="3"/>
  <c r="AB73" i="22" s="1"/>
  <c r="AB67" i="22"/>
  <c r="AB68" i="22"/>
  <c r="AB78" i="22"/>
  <c r="AB79" i="22"/>
  <c r="AB80" i="22"/>
  <c r="BX78" i="3"/>
  <c r="BX79" i="3"/>
  <c r="BX80" i="3"/>
  <c r="BX81" i="3"/>
  <c r="BX82" i="3"/>
  <c r="E149" i="17"/>
  <c r="E148" i="17"/>
  <c r="E146" i="17"/>
  <c r="E147" i="17"/>
  <c r="AC60" i="22"/>
  <c r="AD59" i="22"/>
  <c r="AC59" i="22"/>
  <c r="AD58" i="22"/>
  <c r="AC58" i="22"/>
  <c r="AC47" i="3"/>
  <c r="AB1" i="22"/>
  <c r="AB65" i="22" l="1"/>
  <c r="W68" i="22"/>
  <c r="Y11" i="21"/>
  <c r="Y10" i="21"/>
  <c r="BW4" i="3"/>
  <c r="BW5" i="3"/>
  <c r="BW6" i="3"/>
  <c r="BW7" i="3"/>
  <c r="BW8" i="3"/>
  <c r="BW9" i="3"/>
  <c r="BW10" i="3"/>
  <c r="BW11" i="3"/>
  <c r="BW12" i="3"/>
  <c r="BW13" i="3"/>
  <c r="BW14" i="3"/>
  <c r="BW15" i="3"/>
  <c r="BW16" i="3"/>
  <c r="BW17" i="3"/>
  <c r="BW18" i="3"/>
  <c r="BW19" i="3"/>
  <c r="BW20" i="3"/>
  <c r="BW21" i="3"/>
  <c r="BW22" i="3"/>
  <c r="BW23" i="3"/>
  <c r="BW24" i="3"/>
  <c r="BW25" i="3"/>
  <c r="BW26" i="3"/>
  <c r="BW27" i="3"/>
  <c r="BW28" i="3"/>
  <c r="BW29" i="3"/>
  <c r="BW30" i="3"/>
  <c r="BW31" i="3"/>
  <c r="BW32" i="3"/>
  <c r="BW33" i="3"/>
  <c r="BW34" i="3"/>
  <c r="BW35" i="3"/>
  <c r="BW36" i="3"/>
  <c r="BW37" i="3"/>
  <c r="BW38" i="3"/>
  <c r="BW39" i="3"/>
  <c r="BW40" i="3"/>
  <c r="BW41" i="3"/>
  <c r="BW42" i="3"/>
  <c r="BW43" i="3"/>
  <c r="BW44" i="3"/>
  <c r="BW45" i="3"/>
  <c r="BW46" i="3"/>
  <c r="BW47" i="3"/>
  <c r="BW48" i="3"/>
  <c r="BW49" i="3"/>
  <c r="BW50" i="3"/>
  <c r="BW51" i="3"/>
  <c r="BW52" i="3"/>
  <c r="BW53" i="3"/>
  <c r="BW54" i="3"/>
  <c r="BW55" i="3"/>
  <c r="BW56" i="3"/>
  <c r="BW57" i="3"/>
  <c r="BW58" i="3"/>
  <c r="BW59" i="3"/>
  <c r="BW60" i="3"/>
  <c r="BW61" i="3"/>
  <c r="BW62" i="3"/>
  <c r="BW63" i="3"/>
  <c r="BW64" i="3"/>
  <c r="BW65" i="3"/>
  <c r="BW66" i="3"/>
  <c r="BW67" i="3"/>
  <c r="BW68" i="3"/>
  <c r="BW69" i="3"/>
  <c r="BW70" i="3"/>
  <c r="BW71" i="3"/>
  <c r="BW72" i="3"/>
  <c r="BW73" i="3"/>
  <c r="BW74" i="3"/>
  <c r="BW75" i="3"/>
  <c r="BW76" i="3"/>
  <c r="BW77" i="3"/>
  <c r="BW78" i="3"/>
  <c r="BW79" i="3"/>
  <c r="BW80" i="3"/>
  <c r="BW81" i="3"/>
  <c r="BW82" i="3"/>
  <c r="BW83" i="3"/>
  <c r="BW84" i="3"/>
  <c r="BW85" i="3"/>
  <c r="BW86" i="3"/>
  <c r="BW87" i="3"/>
  <c r="BW88" i="3"/>
  <c r="BW89" i="3"/>
  <c r="BW90" i="3"/>
  <c r="BW91" i="3"/>
  <c r="BW92" i="3"/>
  <c r="BW93" i="3"/>
  <c r="BW94" i="3"/>
  <c r="BW95" i="3"/>
  <c r="BW96" i="3"/>
  <c r="BW97" i="3"/>
  <c r="BW98" i="3"/>
  <c r="BW99" i="3"/>
  <c r="BW100" i="3"/>
  <c r="BW101" i="3"/>
  <c r="BW102" i="3"/>
  <c r="BW103" i="3"/>
  <c r="BW104" i="3"/>
  <c r="BW105" i="3"/>
  <c r="BW106" i="3"/>
  <c r="BW107" i="3"/>
  <c r="BW108" i="3"/>
  <c r="BW109" i="3"/>
  <c r="BW110" i="3"/>
  <c r="BW111" i="3"/>
  <c r="BW112" i="3"/>
  <c r="BW113" i="3"/>
  <c r="BW114" i="3"/>
  <c r="BW115" i="3"/>
  <c r="BW116" i="3"/>
  <c r="BW117" i="3"/>
  <c r="BW118" i="3"/>
  <c r="BW119" i="3"/>
  <c r="BW120" i="3"/>
  <c r="BW121" i="3"/>
  <c r="BW122" i="3"/>
  <c r="BW123" i="3"/>
  <c r="BW124" i="3"/>
  <c r="BW125" i="3"/>
  <c r="BW126" i="3"/>
  <c r="BW127" i="3"/>
  <c r="BW128" i="3"/>
  <c r="BW129" i="3"/>
  <c r="BW130" i="3"/>
  <c r="BW131" i="3"/>
  <c r="BW132" i="3"/>
  <c r="BW133" i="3"/>
  <c r="BW134" i="3"/>
  <c r="BW135" i="3"/>
  <c r="BW136" i="3"/>
  <c r="BW137" i="3"/>
  <c r="BW138" i="3"/>
  <c r="BW139" i="3"/>
  <c r="BW140" i="3"/>
  <c r="BW141" i="3"/>
  <c r="BW142" i="3"/>
  <c r="BW143" i="3"/>
  <c r="BW144" i="3"/>
  <c r="BW145" i="3"/>
  <c r="BW146" i="3"/>
  <c r="BW147" i="3"/>
  <c r="BW148" i="3"/>
  <c r="BW149" i="3"/>
  <c r="BW150" i="3"/>
  <c r="BW151" i="3"/>
  <c r="BW152" i="3"/>
  <c r="BW153" i="3"/>
  <c r="BW154" i="3"/>
  <c r="BW155" i="3"/>
  <c r="BW156" i="3"/>
  <c r="BW157" i="3"/>
  <c r="BW158" i="3"/>
  <c r="BW159" i="3"/>
  <c r="BW160" i="3"/>
  <c r="BW161" i="3"/>
  <c r="BW162" i="3"/>
  <c r="BW163" i="3"/>
  <c r="BW164" i="3"/>
  <c r="BW165" i="3"/>
  <c r="BW166" i="3"/>
  <c r="BW167" i="3"/>
  <c r="BW168" i="3"/>
  <c r="BW169" i="3"/>
  <c r="BW170" i="3"/>
  <c r="BW171" i="3"/>
  <c r="BW172" i="3"/>
  <c r="BW173" i="3"/>
  <c r="BW174" i="3"/>
  <c r="BW175" i="3"/>
  <c r="BW176" i="3"/>
  <c r="BW177" i="3"/>
  <c r="BW178" i="3"/>
  <c r="BW179" i="3"/>
  <c r="BW180" i="3"/>
  <c r="BW181" i="3"/>
  <c r="BW182" i="3"/>
  <c r="BW183" i="3"/>
  <c r="BW184" i="3"/>
  <c r="BW185" i="3"/>
  <c r="BW186" i="3"/>
  <c r="BW187" i="3"/>
  <c r="BW188" i="3"/>
  <c r="BW189" i="3"/>
  <c r="BW190" i="3"/>
  <c r="BW191" i="3"/>
  <c r="BW192" i="3"/>
  <c r="BW193" i="3"/>
  <c r="BW194" i="3"/>
  <c r="BW195" i="3"/>
  <c r="BW196" i="3"/>
  <c r="BW197" i="3"/>
  <c r="BW198" i="3"/>
  <c r="BW199" i="3"/>
  <c r="BW200" i="3"/>
  <c r="BW201" i="3"/>
  <c r="BW202" i="3"/>
  <c r="BW203" i="3"/>
  <c r="BW204" i="3"/>
  <c r="BW205" i="3"/>
  <c r="BW206" i="3"/>
  <c r="E40" i="17"/>
  <c r="E39" i="17"/>
  <c r="E38" i="17"/>
  <c r="E37" i="17"/>
  <c r="R40" i="17"/>
  <c r="O40" i="17"/>
  <c r="I40" i="17"/>
  <c r="F40" i="17"/>
  <c r="R39" i="17"/>
  <c r="O39" i="17"/>
  <c r="I39" i="17"/>
  <c r="F39" i="17"/>
  <c r="R38" i="17"/>
  <c r="O38" i="17"/>
  <c r="R37" i="17"/>
  <c r="O37" i="17"/>
  <c r="I43" i="17" l="1"/>
  <c r="F43" i="17"/>
  <c r="F42" i="17"/>
  <c r="I42" i="17"/>
  <c r="O41" i="17"/>
  <c r="O42" i="17"/>
  <c r="O43" i="17"/>
  <c r="R41" i="17"/>
  <c r="R42" i="17"/>
  <c r="R43" i="17"/>
  <c r="E48" i="17"/>
  <c r="E47" i="17"/>
  <c r="E46" i="17"/>
  <c r="E45" i="17"/>
  <c r="E44" i="17"/>
  <c r="E43" i="17"/>
  <c r="E42" i="17"/>
  <c r="E41" i="17"/>
  <c r="E36" i="17"/>
  <c r="E35" i="17"/>
  <c r="E34" i="17"/>
  <c r="E33" i="17"/>
  <c r="O44" i="17" l="1"/>
  <c r="O45" i="17"/>
  <c r="R44" i="17"/>
  <c r="R45" i="17"/>
  <c r="BW3" i="3"/>
  <c r="BW207" i="3"/>
  <c r="BW208" i="3"/>
  <c r="BW209" i="3"/>
  <c r="BW210" i="3"/>
  <c r="BW211" i="3"/>
  <c r="BW212" i="3"/>
  <c r="BW213" i="3"/>
  <c r="BW214" i="3"/>
  <c r="BW215" i="3"/>
  <c r="BW216" i="3"/>
  <c r="BW217" i="3"/>
  <c r="I36" i="17"/>
  <c r="F36" i="17"/>
  <c r="F35" i="17"/>
  <c r="I35" i="17"/>
  <c r="R36" i="17"/>
  <c r="O34" i="17"/>
  <c r="O35" i="17"/>
  <c r="O36" i="17"/>
  <c r="R34" i="17"/>
  <c r="R35" i="17"/>
  <c r="O33" i="17"/>
  <c r="R33" i="17"/>
  <c r="U71" i="3"/>
  <c r="X53" i="3" l="1"/>
  <c r="A9" i="12"/>
  <c r="A8" i="12"/>
  <c r="A7" i="12"/>
  <c r="A6" i="12"/>
  <c r="A5" i="12"/>
  <c r="A4" i="12"/>
  <c r="A3" i="12"/>
  <c r="A2" i="12"/>
  <c r="A1" i="12"/>
  <c r="L59" i="3"/>
  <c r="Y74" i="22" s="1"/>
  <c r="E69" i="17"/>
  <c r="L50" i="3"/>
  <c r="X52" i="3"/>
  <c r="L51" i="3"/>
  <c r="L60" i="3"/>
  <c r="Y75" i="22" s="1"/>
  <c r="Y66" i="22" l="1"/>
  <c r="X50" i="3"/>
  <c r="Y67" i="22"/>
  <c r="X59" i="3"/>
  <c r="BY30" i="3"/>
  <c r="BY31" i="3"/>
  <c r="BY32" i="3"/>
  <c r="BY33" i="3"/>
  <c r="BY34" i="3"/>
  <c r="BY35" i="3"/>
  <c r="BY36" i="3"/>
  <c r="BY37" i="3"/>
  <c r="BY38" i="3"/>
  <c r="BY39" i="3"/>
  <c r="BY40" i="3"/>
  <c r="BY41" i="3"/>
  <c r="BY42" i="3"/>
  <c r="BY43" i="3"/>
  <c r="BY44" i="3"/>
  <c r="BY45" i="3"/>
  <c r="BY46" i="3"/>
  <c r="BY47" i="3"/>
  <c r="BY48" i="3"/>
  <c r="BY49" i="3"/>
  <c r="BY50" i="3"/>
  <c r="BY51" i="3"/>
  <c r="BY52" i="3"/>
  <c r="BX51" i="3"/>
  <c r="BX52" i="3"/>
  <c r="BX53" i="3"/>
  <c r="BX54" i="3"/>
  <c r="BX55" i="3"/>
  <c r="BX56" i="3"/>
  <c r="BX57" i="3"/>
  <c r="BX58" i="3"/>
  <c r="BX59" i="3"/>
  <c r="BX60" i="3"/>
  <c r="BX61" i="3"/>
  <c r="BX62" i="3"/>
  <c r="BX63" i="3"/>
  <c r="BX64" i="3"/>
  <c r="BX65" i="3"/>
  <c r="BX66" i="3"/>
  <c r="BX67" i="3"/>
  <c r="BX68" i="3"/>
  <c r="BX69" i="3"/>
  <c r="BX70" i="3"/>
  <c r="BX71" i="3"/>
  <c r="BX72" i="3"/>
  <c r="BX73" i="3"/>
  <c r="BX74" i="3"/>
  <c r="BX75" i="3"/>
  <c r="BX76" i="3"/>
  <c r="BX77" i="3"/>
  <c r="J79" i="19"/>
  <c r="J80" i="19"/>
  <c r="J81" i="19"/>
  <c r="J78" i="19"/>
  <c r="J77" i="19"/>
  <c r="J76" i="19"/>
  <c r="J75" i="19"/>
  <c r="J74" i="19"/>
  <c r="J73" i="19"/>
  <c r="J72" i="19"/>
  <c r="T61" i="21" l="1"/>
  <c r="V48" i="3"/>
  <c r="AB64" i="22" s="1"/>
  <c r="X60" i="3"/>
  <c r="U63" i="21"/>
  <c r="T63" i="21"/>
  <c r="M63" i="21"/>
  <c r="X66" i="3"/>
  <c r="A61" i="21" l="1"/>
  <c r="W145" i="17"/>
  <c r="V145" i="17"/>
  <c r="U145" i="17"/>
  <c r="T145" i="17"/>
  <c r="S145" i="17"/>
  <c r="Q145" i="17"/>
  <c r="W144" i="17"/>
  <c r="V144" i="17"/>
  <c r="U144" i="17"/>
  <c r="T144" i="17"/>
  <c r="S144" i="17"/>
  <c r="Q144" i="17"/>
  <c r="P144" i="17"/>
  <c r="O144" i="17"/>
  <c r="W143" i="17"/>
  <c r="V143" i="17"/>
  <c r="U143" i="17"/>
  <c r="T143" i="17"/>
  <c r="S143" i="17"/>
  <c r="Q143" i="17"/>
  <c r="P143" i="17"/>
  <c r="O143" i="17"/>
  <c r="W142" i="17"/>
  <c r="V142" i="17"/>
  <c r="U142" i="17"/>
  <c r="T142" i="17"/>
  <c r="S142" i="17"/>
  <c r="Q142" i="17"/>
  <c r="P142" i="17"/>
  <c r="O142" i="17"/>
  <c r="W141" i="17"/>
  <c r="V141" i="17"/>
  <c r="U141" i="17"/>
  <c r="T141" i="17"/>
  <c r="S141" i="17"/>
  <c r="Q141" i="17"/>
  <c r="P141" i="17"/>
  <c r="O141" i="17"/>
  <c r="W140" i="17"/>
  <c r="V140" i="17"/>
  <c r="U140" i="17"/>
  <c r="T140" i="17"/>
  <c r="S140" i="17"/>
  <c r="Q140" i="17"/>
  <c r="P140" i="17"/>
  <c r="O140" i="17"/>
  <c r="W139" i="17"/>
  <c r="V139" i="17"/>
  <c r="U139" i="17"/>
  <c r="T139" i="17"/>
  <c r="S139" i="17"/>
  <c r="Q139" i="17"/>
  <c r="P139" i="17"/>
  <c r="O139" i="17"/>
  <c r="W138" i="17"/>
  <c r="V138" i="17"/>
  <c r="U138" i="17"/>
  <c r="T138" i="17"/>
  <c r="S138" i="17"/>
  <c r="Q138" i="17"/>
  <c r="P138" i="17"/>
  <c r="O138" i="17"/>
  <c r="W136" i="17"/>
  <c r="V136" i="17"/>
  <c r="U136" i="17"/>
  <c r="T136" i="17"/>
  <c r="S136" i="17"/>
  <c r="Q136" i="17"/>
  <c r="P136" i="17"/>
  <c r="O136" i="17"/>
  <c r="W135" i="17"/>
  <c r="V135" i="17"/>
  <c r="U135" i="17"/>
  <c r="T135" i="17"/>
  <c r="S135" i="17"/>
  <c r="Q135" i="17"/>
  <c r="P135" i="17"/>
  <c r="O135" i="17"/>
  <c r="O137" i="17"/>
  <c r="P137" i="17"/>
  <c r="Q137" i="17"/>
  <c r="S137" i="17"/>
  <c r="T137" i="17"/>
  <c r="U137" i="17"/>
  <c r="V137" i="17"/>
  <c r="W137" i="17"/>
  <c r="W134" i="17"/>
  <c r="V134" i="17"/>
  <c r="U134" i="17"/>
  <c r="T134" i="17"/>
  <c r="S134" i="17"/>
  <c r="Q134" i="17"/>
  <c r="P134" i="17"/>
  <c r="O134" i="17"/>
  <c r="P145" i="17"/>
  <c r="O145" i="17"/>
  <c r="E135" i="17"/>
  <c r="E136" i="17"/>
  <c r="E137" i="17"/>
  <c r="E138" i="17"/>
  <c r="E139" i="17"/>
  <c r="E140" i="17"/>
  <c r="E141" i="17"/>
  <c r="E142" i="17"/>
  <c r="E143" i="17"/>
  <c r="E144" i="17"/>
  <c r="E134" i="17"/>
  <c r="AD145" i="17"/>
  <c r="E145" i="17" s="1"/>
  <c r="R134" i="17" l="1"/>
  <c r="R142" i="17"/>
  <c r="R143" i="17"/>
  <c r="R139" i="17"/>
  <c r="R140" i="17"/>
  <c r="R137" i="17"/>
  <c r="R145" i="17"/>
  <c r="R144" i="17"/>
  <c r="R141" i="17"/>
  <c r="R138" i="17"/>
  <c r="R136" i="17"/>
  <c r="R135" i="17"/>
  <c r="BW2" i="3" l="1"/>
  <c r="BW218" i="3"/>
  <c r="BW219" i="3"/>
  <c r="BW220" i="3"/>
  <c r="BW221" i="3"/>
  <c r="BW222" i="3"/>
  <c r="BW223" i="3"/>
  <c r="BW224" i="3"/>
  <c r="BW225" i="3"/>
  <c r="BW226" i="3"/>
  <c r="V56" i="17"/>
  <c r="I53" i="17"/>
  <c r="I52" i="17"/>
  <c r="O52" i="17"/>
  <c r="V53" i="17"/>
  <c r="R53" i="17"/>
  <c r="O53" i="17"/>
  <c r="V49" i="17"/>
  <c r="U49" i="17" s="1"/>
  <c r="R49" i="17"/>
  <c r="V31" i="17"/>
  <c r="U31" i="17"/>
  <c r="R31" i="17"/>
  <c r="O31" i="17"/>
  <c r="I31" i="17"/>
  <c r="V29" i="17"/>
  <c r="U29" i="17"/>
  <c r="R29" i="17"/>
  <c r="O29" i="17"/>
  <c r="I29" i="17"/>
  <c r="V13" i="17"/>
  <c r="U13" i="17"/>
  <c r="R13" i="17"/>
  <c r="O13" i="17"/>
  <c r="I13" i="17"/>
  <c r="V11" i="17"/>
  <c r="U11" i="17"/>
  <c r="R11" i="17"/>
  <c r="O11" i="17"/>
  <c r="I11" i="17"/>
  <c r="V14" i="17"/>
  <c r="U14" i="17"/>
  <c r="R14" i="17"/>
  <c r="O14" i="17"/>
  <c r="I14" i="17"/>
  <c r="V12" i="17"/>
  <c r="U12" i="17"/>
  <c r="R12" i="17"/>
  <c r="O12" i="17"/>
  <c r="I12" i="17"/>
  <c r="U6" i="17"/>
  <c r="R6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W70" i="17"/>
  <c r="V70" i="17"/>
  <c r="U70" i="17"/>
  <c r="T70" i="17"/>
  <c r="S70" i="17"/>
  <c r="R70" i="17"/>
  <c r="Q70" i="17"/>
  <c r="P70" i="17"/>
  <c r="O70" i="17"/>
  <c r="W69" i="17"/>
  <c r="V69" i="17"/>
  <c r="U69" i="17"/>
  <c r="T69" i="17"/>
  <c r="S69" i="17"/>
  <c r="R69" i="17"/>
  <c r="Q69" i="17"/>
  <c r="P69" i="17"/>
  <c r="O69" i="17"/>
  <c r="W68" i="17"/>
  <c r="V68" i="17"/>
  <c r="U68" i="17"/>
  <c r="T68" i="17"/>
  <c r="S68" i="17"/>
  <c r="R68" i="17"/>
  <c r="Q68" i="17"/>
  <c r="P68" i="17"/>
  <c r="O68" i="17"/>
  <c r="W67" i="17"/>
  <c r="V67" i="17"/>
  <c r="U67" i="17"/>
  <c r="T67" i="17"/>
  <c r="S67" i="17"/>
  <c r="R67" i="17"/>
  <c r="Q67" i="17"/>
  <c r="P67" i="17"/>
  <c r="O67" i="17"/>
  <c r="W66" i="17"/>
  <c r="V66" i="17"/>
  <c r="U66" i="17"/>
  <c r="T66" i="17"/>
  <c r="S66" i="17"/>
  <c r="R66" i="17"/>
  <c r="Q66" i="17"/>
  <c r="P66" i="17"/>
  <c r="O66" i="17"/>
  <c r="W65" i="17"/>
  <c r="V65" i="17"/>
  <c r="U65" i="17"/>
  <c r="T65" i="17"/>
  <c r="S65" i="17"/>
  <c r="R65" i="17"/>
  <c r="Q65" i="17"/>
  <c r="P65" i="17"/>
  <c r="O65" i="17"/>
  <c r="W64" i="17"/>
  <c r="V64" i="17"/>
  <c r="U64" i="17"/>
  <c r="T64" i="17"/>
  <c r="S64" i="17"/>
  <c r="R64" i="17"/>
  <c r="Q64" i="17"/>
  <c r="P64" i="17"/>
  <c r="O64" i="17"/>
  <c r="W63" i="17"/>
  <c r="V63" i="17"/>
  <c r="U63" i="17"/>
  <c r="T63" i="17"/>
  <c r="S63" i="17"/>
  <c r="R63" i="17"/>
  <c r="Q63" i="17"/>
  <c r="P63" i="17"/>
  <c r="O63" i="17"/>
  <c r="W62" i="17"/>
  <c r="V62" i="17"/>
  <c r="U62" i="17"/>
  <c r="T62" i="17"/>
  <c r="S62" i="17"/>
  <c r="R62" i="17"/>
  <c r="Q62" i="17"/>
  <c r="P62" i="17"/>
  <c r="O62" i="17"/>
  <c r="W61" i="17"/>
  <c r="V61" i="17"/>
  <c r="U61" i="17"/>
  <c r="T61" i="17"/>
  <c r="S61" i="17"/>
  <c r="R61" i="17"/>
  <c r="Q61" i="17"/>
  <c r="P61" i="17"/>
  <c r="O61" i="17"/>
  <c r="W60" i="17"/>
  <c r="V60" i="17"/>
  <c r="U60" i="17"/>
  <c r="T60" i="17"/>
  <c r="S60" i="17"/>
  <c r="R60" i="17"/>
  <c r="Q60" i="17"/>
  <c r="P60" i="17"/>
  <c r="O60" i="17"/>
  <c r="W59" i="17"/>
  <c r="V59" i="17"/>
  <c r="U59" i="17"/>
  <c r="T59" i="17"/>
  <c r="S59" i="17"/>
  <c r="R59" i="17"/>
  <c r="Q59" i="17"/>
  <c r="P59" i="17"/>
  <c r="O59" i="17"/>
  <c r="W79" i="17"/>
  <c r="V79" i="17"/>
  <c r="U79" i="17"/>
  <c r="T79" i="17"/>
  <c r="S79" i="17"/>
  <c r="R79" i="17"/>
  <c r="Q79" i="17"/>
  <c r="P79" i="17"/>
  <c r="O79" i="17"/>
  <c r="W78" i="17"/>
  <c r="V78" i="17"/>
  <c r="S78" i="17"/>
  <c r="R78" i="17"/>
  <c r="Q78" i="17"/>
  <c r="P78" i="17"/>
  <c r="O78" i="17"/>
  <c r="W77" i="17"/>
  <c r="V77" i="17"/>
  <c r="U77" i="17"/>
  <c r="T77" i="17"/>
  <c r="S77" i="17"/>
  <c r="R77" i="17"/>
  <c r="Q77" i="17"/>
  <c r="P77" i="17"/>
  <c r="O77" i="17"/>
  <c r="W76" i="17"/>
  <c r="V76" i="17"/>
  <c r="U76" i="17"/>
  <c r="T76" i="17"/>
  <c r="S76" i="17"/>
  <c r="R76" i="17"/>
  <c r="Q76" i="17"/>
  <c r="P76" i="17"/>
  <c r="O76" i="17"/>
  <c r="W75" i="17"/>
  <c r="V75" i="17"/>
  <c r="U75" i="17"/>
  <c r="T75" i="17"/>
  <c r="S75" i="17"/>
  <c r="R75" i="17"/>
  <c r="Q75" i="17"/>
  <c r="P75" i="17"/>
  <c r="O75" i="17"/>
  <c r="W74" i="17"/>
  <c r="V74" i="17"/>
  <c r="U74" i="17"/>
  <c r="T74" i="17"/>
  <c r="S74" i="17"/>
  <c r="R74" i="17"/>
  <c r="Q74" i="17"/>
  <c r="P74" i="17"/>
  <c r="O74" i="17"/>
  <c r="W73" i="17"/>
  <c r="V73" i="17"/>
  <c r="U73" i="17"/>
  <c r="T73" i="17"/>
  <c r="S73" i="17"/>
  <c r="R73" i="17"/>
  <c r="Q73" i="17"/>
  <c r="P73" i="17"/>
  <c r="O73" i="17"/>
  <c r="T78" i="17"/>
  <c r="U78" i="17"/>
  <c r="W72" i="17"/>
  <c r="V72" i="17"/>
  <c r="U72" i="17"/>
  <c r="T72" i="17"/>
  <c r="S72" i="17"/>
  <c r="R72" i="17"/>
  <c r="Q72" i="17"/>
  <c r="P72" i="17"/>
  <c r="O72" i="17"/>
  <c r="W71" i="17"/>
  <c r="V71" i="17"/>
  <c r="U71" i="17"/>
  <c r="T71" i="17"/>
  <c r="S71" i="17"/>
  <c r="R71" i="17"/>
  <c r="Q71" i="17"/>
  <c r="P71" i="17"/>
  <c r="O71" i="17"/>
  <c r="E79" i="17"/>
  <c r="E78" i="17"/>
  <c r="E77" i="17"/>
  <c r="E76" i="17"/>
  <c r="E75" i="17"/>
  <c r="E74" i="17"/>
  <c r="E73" i="17"/>
  <c r="E72" i="17"/>
  <c r="E71" i="17"/>
  <c r="E70" i="17"/>
  <c r="E68" i="17"/>
  <c r="E67" i="17"/>
  <c r="E66" i="17"/>
  <c r="E65" i="17"/>
  <c r="E64" i="17"/>
  <c r="E63" i="17"/>
  <c r="E62" i="17"/>
  <c r="E61" i="17"/>
  <c r="E60" i="17"/>
  <c r="E59" i="17"/>
  <c r="E58" i="17"/>
  <c r="E56" i="17"/>
  <c r="E57" i="17"/>
  <c r="E55" i="17"/>
  <c r="E54" i="17"/>
  <c r="E53" i="17"/>
  <c r="E51" i="17"/>
  <c r="E50" i="17"/>
  <c r="E49" i="17"/>
  <c r="E31" i="17"/>
  <c r="E29" i="17"/>
  <c r="E6" i="17"/>
  <c r="E7" i="17"/>
  <c r="R7" i="17"/>
  <c r="U7" i="17"/>
  <c r="V7" i="17" s="1"/>
  <c r="E8" i="17"/>
  <c r="R8" i="17"/>
  <c r="U8" i="17"/>
  <c r="V8" i="17" s="1"/>
  <c r="E9" i="17"/>
  <c r="R9" i="17"/>
  <c r="U9" i="17"/>
  <c r="V9" i="17" s="1"/>
  <c r="E14" i="17"/>
  <c r="E13" i="17"/>
  <c r="E12" i="17"/>
  <c r="E11" i="17"/>
  <c r="V10" i="17"/>
  <c r="U10" i="17"/>
  <c r="R10" i="17"/>
  <c r="E10" i="17"/>
  <c r="L49" i="3" l="1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B14" i="22"/>
  <c r="K16" i="22"/>
  <c r="I11" i="22"/>
  <c r="I10" i="22"/>
  <c r="I9" i="22"/>
  <c r="I8" i="22"/>
  <c r="I7" i="22"/>
  <c r="B5" i="22"/>
  <c r="B4" i="22"/>
  <c r="H2" i="22"/>
  <c r="B2" i="22"/>
  <c r="B1" i="22"/>
  <c r="B6" i="22"/>
  <c r="B15" i="22"/>
  <c r="H15" i="22"/>
  <c r="B13" i="22"/>
  <c r="B12" i="22"/>
  <c r="B11" i="22"/>
  <c r="B10" i="22"/>
  <c r="B9" i="22"/>
  <c r="B8" i="22"/>
  <c r="B7" i="22"/>
  <c r="AA65" i="22" l="1"/>
  <c r="Y65" i="22"/>
  <c r="L5" i="21"/>
  <c r="AA64" i="3"/>
  <c r="BY27" i="3"/>
  <c r="BY28" i="3"/>
  <c r="BY29" i="3"/>
  <c r="BY22" i="3"/>
  <c r="BY23" i="3"/>
  <c r="BY24" i="3"/>
  <c r="BY25" i="3"/>
  <c r="BY26" i="3"/>
  <c r="BX49" i="3"/>
  <c r="BX50" i="3"/>
  <c r="E52" i="17"/>
  <c r="E32" i="17"/>
  <c r="E30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L6" i="21" l="1"/>
  <c r="AH81" i="22" s="1"/>
  <c r="AF82" i="22"/>
  <c r="Y5" i="21"/>
  <c r="L7" i="21"/>
  <c r="M54" i="3"/>
  <c r="Y69" i="22" s="1"/>
  <c r="Y6" i="21" l="1"/>
  <c r="Y7" i="21"/>
  <c r="AH82" i="22"/>
  <c r="X54" i="3"/>
  <c r="AA69" i="3"/>
  <c r="AE62" i="22" s="1"/>
  <c r="K76" i="16"/>
  <c r="K80" i="16"/>
  <c r="K79" i="16"/>
  <c r="K78" i="16"/>
  <c r="K77" i="16"/>
  <c r="Q70" i="16"/>
  <c r="K70" i="16"/>
  <c r="K68" i="16"/>
  <c r="K67" i="16"/>
  <c r="Q66" i="16"/>
  <c r="K66" i="16"/>
  <c r="Q65" i="16"/>
  <c r="K65" i="16"/>
  <c r="Q64" i="16"/>
  <c r="K64" i="16"/>
  <c r="Q63" i="16"/>
  <c r="K63" i="16"/>
  <c r="Q62" i="16"/>
  <c r="K62" i="16"/>
  <c r="K61" i="16"/>
  <c r="K60" i="16"/>
  <c r="K59" i="16"/>
  <c r="K58" i="16"/>
  <c r="Q57" i="16"/>
  <c r="K57" i="16"/>
  <c r="K56" i="16"/>
  <c r="M194" i="16"/>
  <c r="E15" i="20" l="1"/>
  <c r="V52" i="17" l="1"/>
  <c r="U52" i="17"/>
  <c r="R52" i="17"/>
  <c r="U51" i="17"/>
  <c r="V51" i="17" s="1"/>
  <c r="R51" i="17"/>
  <c r="CA6" i="3"/>
  <c r="CA7" i="3"/>
  <c r="CA8" i="3"/>
  <c r="CA9" i="3"/>
  <c r="CA10" i="3"/>
  <c r="CA11" i="3"/>
  <c r="CA12" i="3"/>
  <c r="CA13" i="3"/>
  <c r="CA14" i="3"/>
  <c r="CA15" i="3"/>
  <c r="CA16" i="3"/>
  <c r="CA17" i="3"/>
  <c r="CA18" i="3"/>
  <c r="CA19" i="3"/>
  <c r="CA20" i="3"/>
  <c r="CA21" i="3"/>
  <c r="CA22" i="3"/>
  <c r="CA23" i="3"/>
  <c r="CA24" i="3"/>
  <c r="CA25" i="3"/>
  <c r="CA26" i="3"/>
  <c r="CA27" i="3"/>
  <c r="CA28" i="3"/>
  <c r="CA29" i="3"/>
  <c r="CA30" i="3"/>
  <c r="CA31" i="3"/>
  <c r="CA32" i="3"/>
  <c r="CA33" i="3"/>
  <c r="CA34" i="3"/>
  <c r="CA35" i="3"/>
  <c r="CA36" i="3"/>
  <c r="CA37" i="3"/>
  <c r="CA38" i="3"/>
  <c r="CA39" i="3"/>
  <c r="CA40" i="3"/>
  <c r="CA41" i="3"/>
  <c r="CA42" i="3"/>
  <c r="E20" i="20" l="1"/>
  <c r="J41" i="19" l="1"/>
  <c r="E30" i="20" l="1"/>
  <c r="E29" i="20"/>
  <c r="E28" i="20"/>
  <c r="E27" i="20"/>
  <c r="E26" i="20"/>
  <c r="E25" i="20"/>
  <c r="E18" i="20"/>
  <c r="J46" i="19" l="1"/>
  <c r="J45" i="19"/>
  <c r="J44" i="19"/>
  <c r="J21" i="19" l="1"/>
  <c r="BY6" i="3" l="1"/>
  <c r="BY7" i="3"/>
  <c r="BY8" i="3"/>
  <c r="BY9" i="3"/>
  <c r="BY10" i="3"/>
  <c r="BY11" i="3"/>
  <c r="BY12" i="3"/>
  <c r="BY13" i="3"/>
  <c r="BY14" i="3"/>
  <c r="BY15" i="3"/>
  <c r="BY16" i="3"/>
  <c r="BY17" i="3"/>
  <c r="BY18" i="3"/>
  <c r="BY19" i="3"/>
  <c r="BY20" i="3"/>
  <c r="BY21" i="3"/>
  <c r="E8" i="20"/>
  <c r="E7" i="20"/>
  <c r="E6" i="20"/>
  <c r="E5" i="20"/>
  <c r="E4" i="20"/>
  <c r="CA5" i="3" l="1"/>
  <c r="BY5" i="3"/>
  <c r="BY3" i="3"/>
  <c r="BX7" i="3"/>
  <c r="BX8" i="3"/>
  <c r="BX9" i="3"/>
  <c r="BX10" i="3"/>
  <c r="BX11" i="3"/>
  <c r="BX12" i="3"/>
  <c r="BX13" i="3"/>
  <c r="BX14" i="3"/>
  <c r="BX15" i="3"/>
  <c r="BX16" i="3"/>
  <c r="BX17" i="3"/>
  <c r="BX18" i="3"/>
  <c r="BX19" i="3"/>
  <c r="BX20" i="3"/>
  <c r="BX21" i="3"/>
  <c r="BX22" i="3"/>
  <c r="BX23" i="3"/>
  <c r="BX24" i="3"/>
  <c r="BX25" i="3"/>
  <c r="BX26" i="3"/>
  <c r="BX27" i="3"/>
  <c r="BX28" i="3"/>
  <c r="BX29" i="3"/>
  <c r="BX30" i="3"/>
  <c r="BX31" i="3"/>
  <c r="BX32" i="3"/>
  <c r="BX33" i="3"/>
  <c r="BX34" i="3"/>
  <c r="BX35" i="3"/>
  <c r="BX36" i="3"/>
  <c r="BX37" i="3"/>
  <c r="BX38" i="3"/>
  <c r="BX39" i="3"/>
  <c r="BX40" i="3"/>
  <c r="BX41" i="3"/>
  <c r="BX42" i="3"/>
  <c r="BX43" i="3"/>
  <c r="BX44" i="3"/>
  <c r="BX45" i="3"/>
  <c r="BX46" i="3"/>
  <c r="BX47" i="3"/>
  <c r="BX48" i="3"/>
  <c r="Y31" i="16" l="1"/>
  <c r="Y30" i="16" s="1"/>
  <c r="J42" i="19" l="1"/>
  <c r="E19" i="20" l="1"/>
  <c r="J43" i="19"/>
  <c r="J40" i="19" l="1"/>
  <c r="J39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18" i="19"/>
  <c r="J11" i="19"/>
  <c r="J10" i="19"/>
  <c r="J9" i="19"/>
  <c r="J8" i="19"/>
  <c r="J7" i="19"/>
  <c r="J6" i="19"/>
  <c r="J5" i="19"/>
  <c r="E11" i="20"/>
  <c r="E10" i="20"/>
  <c r="E9" i="20"/>
  <c r="J17" i="19" l="1"/>
  <c r="I5" i="3" l="1"/>
  <c r="O5" i="3"/>
  <c r="B3" i="22" s="1"/>
  <c r="U27" i="17"/>
  <c r="V27" i="17" s="1"/>
  <c r="R27" i="17"/>
  <c r="U26" i="17"/>
  <c r="V26" i="17" s="1"/>
  <c r="R26" i="17"/>
  <c r="U25" i="17"/>
  <c r="V25" i="17" s="1"/>
  <c r="R25" i="17"/>
  <c r="L248" i="16"/>
  <c r="K276" i="16"/>
  <c r="I275" i="16"/>
  <c r="I273" i="16"/>
  <c r="I271" i="16"/>
  <c r="F269" i="16"/>
  <c r="I267" i="16"/>
  <c r="Q265" i="16"/>
  <c r="I265" i="16"/>
  <c r="P263" i="16"/>
  <c r="P261" i="16"/>
  <c r="H263" i="16"/>
  <c r="G261" i="16"/>
  <c r="P259" i="16"/>
  <c r="G259" i="16"/>
  <c r="L257" i="16"/>
  <c r="F257" i="16"/>
  <c r="K255" i="16"/>
  <c r="N253" i="16"/>
  <c r="N252" i="16"/>
  <c r="L249" i="16"/>
  <c r="M247" i="16"/>
  <c r="K247" i="16"/>
  <c r="H245" i="16"/>
  <c r="O3" i="3"/>
  <c r="I72" i="21"/>
  <c r="H14" i="22" s="1"/>
  <c r="AH58" i="21"/>
  <c r="S35" i="21"/>
  <c r="AH53" i="21"/>
  <c r="AG52" i="21"/>
  <c r="AI58" i="21"/>
  <c r="M277" i="16" l="1"/>
  <c r="K69" i="16"/>
  <c r="AJ55" i="21"/>
  <c r="AJ53" i="21" s="1"/>
  <c r="V59" i="21" s="1"/>
  <c r="AH51" i="21"/>
  <c r="AI55" i="21"/>
  <c r="AI53" i="21" s="1"/>
  <c r="AX50" i="21" l="1"/>
  <c r="AF51" i="21"/>
  <c r="AJ51" i="21" s="1"/>
  <c r="V53" i="21" s="1"/>
  <c r="AX53" i="21" l="1"/>
  <c r="AX54" i="21"/>
  <c r="V57" i="21"/>
  <c r="AF49" i="21"/>
  <c r="V55" i="21" s="1"/>
  <c r="AF48" i="21"/>
  <c r="V51" i="21" s="1"/>
  <c r="AF47" i="21"/>
  <c r="V47" i="21" s="1"/>
  <c r="P43" i="21"/>
  <c r="P41" i="21"/>
  <c r="U253" i="16" l="1"/>
  <c r="D7" i="3"/>
  <c r="U252" i="16"/>
  <c r="D5" i="3"/>
  <c r="A37" i="21"/>
  <c r="O1" i="3" s="1"/>
  <c r="E16" i="22" l="1"/>
  <c r="X55" i="3"/>
  <c r="AA55" i="3" s="1"/>
  <c r="X56" i="3"/>
  <c r="AA56" i="3" s="1"/>
  <c r="X57" i="3"/>
  <c r="AA57" i="3" s="1"/>
  <c r="AA54" i="3"/>
  <c r="Q156" i="16" l="1"/>
  <c r="Q157" i="16"/>
  <c r="Q158" i="16"/>
  <c r="Q159" i="16"/>
  <c r="Q160" i="16"/>
  <c r="Q161" i="16"/>
  <c r="Q162" i="16"/>
  <c r="Q163" i="16"/>
  <c r="Q164" i="16"/>
  <c r="Q165" i="16"/>
  <c r="Q166" i="16"/>
  <c r="Q155" i="16"/>
  <c r="K156" i="16"/>
  <c r="K157" i="16"/>
  <c r="K158" i="16"/>
  <c r="K159" i="16"/>
  <c r="K160" i="16"/>
  <c r="K161" i="16"/>
  <c r="K162" i="16"/>
  <c r="K163" i="16"/>
  <c r="K164" i="16"/>
  <c r="K165" i="16"/>
  <c r="K166" i="16"/>
  <c r="K155" i="16"/>
  <c r="E156" i="16"/>
  <c r="E157" i="16"/>
  <c r="E158" i="16"/>
  <c r="E159" i="16"/>
  <c r="E160" i="16"/>
  <c r="E161" i="16"/>
  <c r="E162" i="16"/>
  <c r="E163" i="16"/>
  <c r="E164" i="16"/>
  <c r="E165" i="16"/>
  <c r="E166" i="16"/>
  <c r="E155" i="16"/>
  <c r="L48" i="3"/>
  <c r="Y64" i="22" s="1"/>
  <c r="AB1" i="3"/>
  <c r="AE61" i="22" s="1"/>
  <c r="AA63" i="3"/>
  <c r="Q196" i="16"/>
  <c r="M55" i="3"/>
  <c r="Y70" i="22" s="1"/>
  <c r="M56" i="3"/>
  <c r="Y71" i="22" s="1"/>
  <c r="M57" i="3"/>
  <c r="Y72" i="22" s="1"/>
  <c r="L61" i="3"/>
  <c r="Y76" i="22" s="1"/>
  <c r="L62" i="3"/>
  <c r="Y77" i="22" s="1"/>
  <c r="B34" i="22" l="1"/>
  <c r="B38" i="22" s="1"/>
  <c r="B39" i="22" l="1"/>
  <c r="H39" i="22" s="1"/>
  <c r="B36" i="22"/>
  <c r="B35" i="22"/>
  <c r="B37" i="22"/>
  <c r="X61" i="3"/>
  <c r="AA61" i="3" s="1"/>
  <c r="AA60" i="3"/>
  <c r="AA59" i="3"/>
  <c r="X62" i="3"/>
  <c r="AA62" i="3" s="1"/>
  <c r="C9" i="15"/>
  <c r="D9" i="15" s="1"/>
  <c r="E9" i="15" l="1"/>
  <c r="F9" i="15" l="1"/>
  <c r="G9" i="15" l="1"/>
  <c r="H9" i="15" l="1"/>
  <c r="I9" i="15" l="1"/>
  <c r="J9" i="15" l="1"/>
  <c r="K9" i="15" l="1"/>
  <c r="L9" i="15" l="1"/>
  <c r="M9" i="15" l="1"/>
  <c r="N9" i="15" l="1"/>
  <c r="O9" i="15" l="1"/>
  <c r="P9" i="15" l="1"/>
  <c r="Q9" i="15" l="1"/>
  <c r="R9" i="15" l="1"/>
  <c r="S9" i="15" l="1"/>
  <c r="T9" i="15" l="1"/>
  <c r="U9" i="15" l="1"/>
  <c r="V9" i="15" l="1"/>
  <c r="W9" i="15" l="1"/>
  <c r="X9" i="15" l="1"/>
  <c r="Y9" i="15" l="1"/>
  <c r="Z9" i="15" l="1"/>
  <c r="AA9" i="15" l="1"/>
  <c r="AB9" i="15" l="1"/>
  <c r="AC9" i="15" l="1"/>
  <c r="AD9" i="15" l="1"/>
  <c r="AE9" i="15" l="1"/>
  <c r="AF9" i="15" l="1"/>
  <c r="AG9" i="15" l="1"/>
  <c r="AH9" i="15" l="1"/>
  <c r="AI9" i="15" l="1"/>
  <c r="AJ9" i="15" l="1"/>
  <c r="AK9" i="15" l="1"/>
  <c r="AL9" i="15" l="1"/>
  <c r="AM9" i="15" l="1"/>
  <c r="AN9" i="15" l="1"/>
  <c r="AO9" i="15" l="1"/>
  <c r="AP9" i="15" l="1"/>
  <c r="AQ9" i="15" l="1"/>
  <c r="AR9" i="15" l="1"/>
  <c r="AS9" i="15" l="1"/>
  <c r="AT9" i="15" l="1"/>
  <c r="AU9" i="15" l="1"/>
  <c r="AV9" i="15" l="1"/>
  <c r="AW9" i="15" l="1"/>
  <c r="AX9" i="15" l="1"/>
  <c r="AY9" i="15" l="1"/>
  <c r="L58" i="3" l="1"/>
  <c r="Y73" i="22" s="1"/>
  <c r="AA53" i="3"/>
  <c r="AA52" i="3"/>
  <c r="X58" i="3" l="1"/>
  <c r="AA58" i="3" s="1"/>
  <c r="T49" i="3"/>
  <c r="Z65" i="22" s="1"/>
  <c r="AA50" i="3"/>
  <c r="X48" i="3"/>
  <c r="AA48" i="3" s="1"/>
  <c r="X49" i="3"/>
  <c r="AA49" i="3" s="1"/>
  <c r="T48" i="3"/>
  <c r="Z64" i="22" s="1"/>
  <c r="L80" i="16" l="1"/>
  <c r="U15" i="17" l="1"/>
  <c r="V15" i="17" s="1"/>
  <c r="U16" i="17"/>
  <c r="V16" i="17" s="1"/>
  <c r="U17" i="17"/>
  <c r="V17" i="17" s="1"/>
  <c r="U18" i="17"/>
  <c r="V18" i="17" s="1"/>
  <c r="U19" i="17"/>
  <c r="V19" i="17" s="1"/>
  <c r="R15" i="17"/>
  <c r="R16" i="17"/>
  <c r="R17" i="17"/>
  <c r="R18" i="17"/>
  <c r="R19" i="17"/>
  <c r="AJ36" i="3" l="1"/>
  <c r="BC17" i="3"/>
  <c r="CA3" i="3"/>
  <c r="CA4" i="3"/>
  <c r="CA2" i="3"/>
  <c r="BY4" i="3"/>
  <c r="BX3" i="3"/>
  <c r="BX4" i="3"/>
  <c r="BX5" i="3"/>
  <c r="BX6" i="3"/>
  <c r="BX2" i="3"/>
  <c r="BV10" i="3"/>
  <c r="BV9" i="3"/>
  <c r="BV8" i="3"/>
  <c r="BV7" i="3"/>
  <c r="BV6" i="3"/>
  <c r="BV5" i="3"/>
  <c r="BV4" i="3"/>
  <c r="BV3" i="3"/>
  <c r="BV2" i="3"/>
  <c r="BS2" i="3"/>
  <c r="J4" i="19"/>
  <c r="J3" i="19"/>
  <c r="X51" i="3" s="1"/>
  <c r="AA51" i="3" l="1"/>
  <c r="AA67" i="3" s="1"/>
  <c r="U73" i="3" s="1"/>
  <c r="AE59" i="22" s="1"/>
  <c r="R58" i="17"/>
  <c r="O58" i="17"/>
  <c r="V57" i="17"/>
  <c r="R57" i="17"/>
  <c r="O57" i="17"/>
  <c r="V55" i="17"/>
  <c r="R55" i="17"/>
  <c r="O55" i="17"/>
  <c r="I55" i="17"/>
  <c r="V54" i="17"/>
  <c r="R54" i="17"/>
  <c r="O54" i="17"/>
  <c r="I54" i="17"/>
  <c r="V50" i="17"/>
  <c r="R50" i="17"/>
  <c r="O50" i="17"/>
  <c r="I50" i="17"/>
  <c r="V32" i="17"/>
  <c r="U32" i="17"/>
  <c r="R32" i="17"/>
  <c r="O32" i="17"/>
  <c r="I32" i="17"/>
  <c r="V30" i="17"/>
  <c r="U30" i="17"/>
  <c r="R30" i="17"/>
  <c r="O30" i="17"/>
  <c r="I30" i="17"/>
  <c r="V28" i="17"/>
  <c r="U28" i="17"/>
  <c r="R28" i="17"/>
  <c r="U24" i="17"/>
  <c r="R24" i="17"/>
  <c r="O16" i="17"/>
  <c r="U75" i="3" l="1"/>
  <c r="AE60" i="22" s="1"/>
  <c r="AE57" i="22"/>
  <c r="D10" i="15"/>
  <c r="D11" i="15" l="1"/>
  <c r="B10" i="15"/>
  <c r="AB10" i="15" s="1"/>
  <c r="B4" i="15"/>
  <c r="AY22" i="15"/>
  <c r="AY2" i="15" s="1"/>
  <c r="B2" i="15"/>
  <c r="AX22" i="15"/>
  <c r="AX2" i="15" s="1"/>
  <c r="AW22" i="15"/>
  <c r="AW2" i="15" s="1"/>
  <c r="AV22" i="15"/>
  <c r="AV2" i="15" s="1"/>
  <c r="AU22" i="15"/>
  <c r="AU2" i="15" s="1"/>
  <c r="AT22" i="15"/>
  <c r="AT2" i="15" s="1"/>
  <c r="AS22" i="15"/>
  <c r="AS2" i="15" s="1"/>
  <c r="AR22" i="15"/>
  <c r="AR2" i="15" s="1"/>
  <c r="AQ22" i="15"/>
  <c r="AQ2" i="15" s="1"/>
  <c r="AP22" i="15"/>
  <c r="AP2" i="15" s="1"/>
  <c r="AO22" i="15"/>
  <c r="AO2" i="15" s="1"/>
  <c r="AN22" i="15"/>
  <c r="AN2" i="15" s="1"/>
  <c r="AM22" i="15"/>
  <c r="AM2" i="15" s="1"/>
  <c r="AL22" i="15"/>
  <c r="AL2" i="15" s="1"/>
  <c r="AK22" i="15"/>
  <c r="AK2" i="15" s="1"/>
  <c r="AJ22" i="15"/>
  <c r="AJ2" i="15" s="1"/>
  <c r="AI22" i="15"/>
  <c r="AI2" i="15" s="1"/>
  <c r="AH22" i="15"/>
  <c r="AH2" i="15" s="1"/>
  <c r="AG22" i="15"/>
  <c r="AG2" i="15" s="1"/>
  <c r="AF22" i="15"/>
  <c r="AF2" i="15" s="1"/>
  <c r="AE22" i="15"/>
  <c r="AE2" i="15" s="1"/>
  <c r="AD22" i="15"/>
  <c r="AD2" i="15" s="1"/>
  <c r="AC22" i="15"/>
  <c r="AC2" i="15" s="1"/>
  <c r="AB22" i="15"/>
  <c r="AB2" i="15" s="1"/>
  <c r="AA22" i="15"/>
  <c r="AA2" i="15" s="1"/>
  <c r="Z22" i="15"/>
  <c r="Z2" i="15" s="1"/>
  <c r="Y22" i="15"/>
  <c r="Y2" i="15" s="1"/>
  <c r="X22" i="15"/>
  <c r="X2" i="15" s="1"/>
  <c r="W22" i="15"/>
  <c r="W2" i="15" s="1"/>
  <c r="V22" i="15"/>
  <c r="V2" i="15" s="1"/>
  <c r="U22" i="15"/>
  <c r="U2" i="15" s="1"/>
  <c r="T22" i="15"/>
  <c r="T2" i="15" s="1"/>
  <c r="S22" i="15"/>
  <c r="S2" i="15" s="1"/>
  <c r="R22" i="15"/>
  <c r="R2" i="15" s="1"/>
  <c r="Q22" i="15"/>
  <c r="Q2" i="15" s="1"/>
  <c r="P22" i="15"/>
  <c r="P2" i="15" s="1"/>
  <c r="O22" i="15"/>
  <c r="O2" i="15" s="1"/>
  <c r="N22" i="15"/>
  <c r="N2" i="15" s="1"/>
  <c r="M22" i="15"/>
  <c r="M2" i="15" s="1"/>
  <c r="L22" i="15"/>
  <c r="L2" i="15" s="1"/>
  <c r="K22" i="15"/>
  <c r="K2" i="15" s="1"/>
  <c r="J22" i="15"/>
  <c r="J2" i="15" s="1"/>
  <c r="I22" i="15"/>
  <c r="I2" i="15" s="1"/>
  <c r="H22" i="15"/>
  <c r="H2" i="15" s="1"/>
  <c r="G22" i="15"/>
  <c r="G2" i="15" s="1"/>
  <c r="F22" i="15"/>
  <c r="F2" i="15" s="1"/>
  <c r="E22" i="15"/>
  <c r="E2" i="15" s="1"/>
  <c r="D22" i="15"/>
  <c r="D2" i="15" s="1"/>
  <c r="C22" i="15"/>
  <c r="C2" i="15" s="1"/>
  <c r="D6" i="15" l="1"/>
  <c r="H6" i="15"/>
  <c r="L6" i="15"/>
  <c r="P6" i="15"/>
  <c r="T6" i="15"/>
  <c r="X6" i="15"/>
  <c r="AB6" i="15"/>
  <c r="AF6" i="15"/>
  <c r="AJ6" i="15"/>
  <c r="AN6" i="15"/>
  <c r="AR6" i="15"/>
  <c r="AV6" i="15"/>
  <c r="B6" i="15"/>
  <c r="G6" i="15"/>
  <c r="AA6" i="15"/>
  <c r="AI6" i="15"/>
  <c r="AQ6" i="15"/>
  <c r="AY6" i="15"/>
  <c r="E6" i="15"/>
  <c r="I6" i="15"/>
  <c r="M6" i="15"/>
  <c r="Q6" i="15"/>
  <c r="U6" i="15"/>
  <c r="Y6" i="15"/>
  <c r="AC6" i="15"/>
  <c r="AG6" i="15"/>
  <c r="AK6" i="15"/>
  <c r="AO6" i="15"/>
  <c r="AS6" i="15"/>
  <c r="AW6" i="15"/>
  <c r="F6" i="15"/>
  <c r="J6" i="15"/>
  <c r="N6" i="15"/>
  <c r="R6" i="15"/>
  <c r="V6" i="15"/>
  <c r="Z6" i="15"/>
  <c r="AD6" i="15"/>
  <c r="AH6" i="15"/>
  <c r="AL6" i="15"/>
  <c r="AP6" i="15"/>
  <c r="AT6" i="15"/>
  <c r="AX6" i="15"/>
  <c r="C6" i="15"/>
  <c r="K6" i="15"/>
  <c r="O6" i="15"/>
  <c r="S6" i="15"/>
  <c r="W6" i="15"/>
  <c r="AE6" i="15"/>
  <c r="AM6" i="15"/>
  <c r="AU6" i="15"/>
  <c r="E5" i="15"/>
  <c r="I5" i="15"/>
  <c r="M5" i="15"/>
  <c r="Q5" i="15"/>
  <c r="U5" i="15"/>
  <c r="Y5" i="15"/>
  <c r="AC5" i="15"/>
  <c r="AG5" i="15"/>
  <c r="AK5" i="15"/>
  <c r="AO5" i="15"/>
  <c r="AS5" i="15"/>
  <c r="AW5" i="15"/>
  <c r="F5" i="15"/>
  <c r="J5" i="15"/>
  <c r="N5" i="15"/>
  <c r="R5" i="15"/>
  <c r="V5" i="15"/>
  <c r="Z5" i="15"/>
  <c r="AD5" i="15"/>
  <c r="AH5" i="15"/>
  <c r="AL5" i="15"/>
  <c r="AP5" i="15"/>
  <c r="AT5" i="15"/>
  <c r="AX5" i="15"/>
  <c r="C5" i="15"/>
  <c r="G5" i="15"/>
  <c r="K5" i="15"/>
  <c r="O5" i="15"/>
  <c r="S5" i="15"/>
  <c r="W5" i="15"/>
  <c r="AA5" i="15"/>
  <c r="AE5" i="15"/>
  <c r="AI5" i="15"/>
  <c r="AM5" i="15"/>
  <c r="AQ5" i="15"/>
  <c r="AU5" i="15"/>
  <c r="AY5" i="15"/>
  <c r="D5" i="15"/>
  <c r="H5" i="15"/>
  <c r="L5" i="15"/>
  <c r="P5" i="15"/>
  <c r="T5" i="15"/>
  <c r="X5" i="15"/>
  <c r="AB5" i="15"/>
  <c r="AF5" i="15"/>
  <c r="AJ5" i="15"/>
  <c r="AN5" i="15"/>
  <c r="AR5" i="15"/>
  <c r="AV5" i="15"/>
  <c r="B5" i="15"/>
  <c r="D79" i="15"/>
  <c r="AB11" i="15"/>
  <c r="AB79" i="15"/>
  <c r="AJ4" i="15"/>
  <c r="AG4" i="15"/>
  <c r="AO14" i="15"/>
  <c r="AJ14" i="15"/>
  <c r="AB4" i="15"/>
  <c r="F4" i="15"/>
  <c r="AO4" i="15"/>
  <c r="AG14" i="15"/>
  <c r="W4" i="15"/>
  <c r="AB14" i="15"/>
  <c r="S4" i="15"/>
  <c r="C4" i="15"/>
  <c r="W14" i="15"/>
  <c r="N4" i="15"/>
  <c r="S14" i="15"/>
  <c r="N14" i="15"/>
  <c r="F14" i="15"/>
  <c r="C14" i="15"/>
  <c r="AG13" i="15"/>
  <c r="AB13" i="15"/>
  <c r="W13" i="15"/>
  <c r="S13" i="15"/>
  <c r="N13" i="15"/>
  <c r="F13" i="15"/>
  <c r="C13" i="15"/>
  <c r="AG3" i="15"/>
  <c r="W3" i="15"/>
  <c r="AJ3" i="15"/>
  <c r="AB3" i="15"/>
  <c r="S3" i="15"/>
  <c r="N3" i="15"/>
  <c r="F3" i="15"/>
  <c r="C3" i="15"/>
  <c r="AO3" i="15"/>
  <c r="AP3" i="15" s="1"/>
  <c r="AQ3" i="15" s="1"/>
  <c r="AR3" i="15" s="1"/>
  <c r="AS3" i="15" s="1"/>
  <c r="AT3" i="15" s="1"/>
  <c r="AU3" i="15" s="1"/>
  <c r="AV3" i="15" s="1"/>
  <c r="AW3" i="15" s="1"/>
  <c r="AX3" i="15" s="1"/>
  <c r="AY3" i="15" s="1"/>
  <c r="AO13" i="15"/>
  <c r="AJ13" i="15"/>
  <c r="F10" i="15"/>
  <c r="AQ10" i="15"/>
  <c r="H10" i="15"/>
  <c r="G10" i="15"/>
  <c r="AR10" i="15"/>
  <c r="AO10" i="15"/>
  <c r="T10" i="15"/>
  <c r="C10" i="15"/>
  <c r="S10" i="15"/>
  <c r="R10" i="15"/>
  <c r="AC10" i="15"/>
  <c r="I10" i="15"/>
  <c r="Q10" i="15"/>
  <c r="U10" i="15"/>
  <c r="AP10" i="15"/>
  <c r="AN10" i="15"/>
  <c r="AF10" i="15"/>
  <c r="AE10" i="15"/>
  <c r="J10" i="15"/>
  <c r="AD10" i="15"/>
  <c r="P10" i="15"/>
  <c r="AY10" i="15"/>
  <c r="AM10" i="15"/>
  <c r="AA10" i="15"/>
  <c r="O10" i="15"/>
  <c r="AX10" i="15"/>
  <c r="Z10" i="15"/>
  <c r="AW10" i="15"/>
  <c r="M10" i="15"/>
  <c r="AJ10" i="15"/>
  <c r="E10" i="15"/>
  <c r="W10" i="15"/>
  <c r="L10" i="15"/>
  <c r="AT10" i="15"/>
  <c r="AH10" i="15"/>
  <c r="V10" i="15"/>
  <c r="AL10" i="15"/>
  <c r="N10" i="15"/>
  <c r="AK10" i="15"/>
  <c r="Y10" i="15"/>
  <c r="AV10" i="15"/>
  <c r="X10" i="15"/>
  <c r="AU10" i="15"/>
  <c r="AI10" i="15"/>
  <c r="K10" i="15"/>
  <c r="AS10" i="15"/>
  <c r="AG10" i="15"/>
  <c r="I6" i="1"/>
  <c r="I15" i="1"/>
  <c r="J8" i="1"/>
  <c r="I23" i="1"/>
  <c r="F17" i="1"/>
  <c r="F16" i="1"/>
  <c r="AB51" i="15" l="1"/>
  <c r="C11" i="15"/>
  <c r="C62" i="15" s="1"/>
  <c r="C79" i="15"/>
  <c r="X11" i="15"/>
  <c r="X79" i="15"/>
  <c r="G11" i="15"/>
  <c r="G79" i="15"/>
  <c r="AO11" i="15"/>
  <c r="AO53" i="15" s="1"/>
  <c r="AO79" i="15"/>
  <c r="H11" i="15"/>
  <c r="H79" i="15"/>
  <c r="W11" i="15"/>
  <c r="W54" i="15" s="1"/>
  <c r="W79" i="15"/>
  <c r="AU11" i="15"/>
  <c r="AU79" i="15"/>
  <c r="AJ11" i="15"/>
  <c r="AJ56" i="15" s="1"/>
  <c r="AJ79" i="15"/>
  <c r="Y11" i="15"/>
  <c r="Y79" i="15"/>
  <c r="AQ11" i="15"/>
  <c r="AQ79" i="15"/>
  <c r="AI11" i="15"/>
  <c r="AI79" i="15"/>
  <c r="T11" i="15"/>
  <c r="T79" i="15"/>
  <c r="Z11" i="15"/>
  <c r="Z79" i="15"/>
  <c r="O11" i="15"/>
  <c r="O79" i="15"/>
  <c r="F11" i="15"/>
  <c r="F58" i="15" s="1"/>
  <c r="F79" i="15"/>
  <c r="AD11" i="15"/>
  <c r="AD79" i="15"/>
  <c r="AE11" i="15"/>
  <c r="AE79" i="15"/>
  <c r="AF11" i="15"/>
  <c r="AF79" i="15"/>
  <c r="AN11" i="15"/>
  <c r="AN79" i="15"/>
  <c r="AX11" i="15"/>
  <c r="AX79" i="15"/>
  <c r="I11" i="15"/>
  <c r="I79" i="15"/>
  <c r="J11" i="15"/>
  <c r="J79" i="15"/>
  <c r="M11" i="15"/>
  <c r="M79" i="15"/>
  <c r="AR11" i="15"/>
  <c r="AR79" i="15"/>
  <c r="AW11" i="15"/>
  <c r="AW79" i="15"/>
  <c r="N11" i="15"/>
  <c r="N59" i="15" s="1"/>
  <c r="N79" i="15"/>
  <c r="AL11" i="15"/>
  <c r="AL79" i="15"/>
  <c r="V11" i="15"/>
  <c r="V79" i="15"/>
  <c r="AC11" i="15"/>
  <c r="AC79" i="15"/>
  <c r="AV11" i="15"/>
  <c r="AV79" i="15"/>
  <c r="AK11" i="15"/>
  <c r="AK79" i="15"/>
  <c r="AP11" i="15"/>
  <c r="AP79" i="15"/>
  <c r="Q11" i="15"/>
  <c r="Q79" i="15"/>
  <c r="AA11" i="15"/>
  <c r="AA79" i="15"/>
  <c r="AH11" i="15"/>
  <c r="AH79" i="15"/>
  <c r="AS11" i="15"/>
  <c r="AS79" i="15"/>
  <c r="AT11" i="15"/>
  <c r="AT79" i="15"/>
  <c r="AY11" i="15"/>
  <c r="AY79" i="15"/>
  <c r="R11" i="15"/>
  <c r="R79" i="15"/>
  <c r="E11" i="15"/>
  <c r="E79" i="15"/>
  <c r="U11" i="15"/>
  <c r="U79" i="15"/>
  <c r="AG11" i="15"/>
  <c r="AG54" i="15" s="1"/>
  <c r="AG79" i="15"/>
  <c r="AM11" i="15"/>
  <c r="AM79" i="15"/>
  <c r="K11" i="15"/>
  <c r="K79" i="15"/>
  <c r="L11" i="15"/>
  <c r="L79" i="15"/>
  <c r="P11" i="15"/>
  <c r="P79" i="15"/>
  <c r="S11" i="15"/>
  <c r="S54" i="15" s="1"/>
  <c r="S79" i="15"/>
  <c r="N75" i="15"/>
  <c r="N68" i="15"/>
  <c r="N71" i="15"/>
  <c r="N74" i="15"/>
  <c r="N67" i="15"/>
  <c r="N70" i="15"/>
  <c r="N76" i="15"/>
  <c r="N69" i="15"/>
  <c r="N65" i="15"/>
  <c r="N73" i="15"/>
  <c r="N66" i="15"/>
  <c r="N72" i="15"/>
  <c r="AB62" i="15"/>
  <c r="S70" i="15"/>
  <c r="S69" i="15"/>
  <c r="S73" i="15"/>
  <c r="S72" i="15"/>
  <c r="S71" i="15"/>
  <c r="S66" i="15"/>
  <c r="S65" i="15"/>
  <c r="S68" i="15"/>
  <c r="S76" i="15"/>
  <c r="S75" i="15"/>
  <c r="S74" i="15"/>
  <c r="S67" i="15"/>
  <c r="AB61" i="15"/>
  <c r="W74" i="15"/>
  <c r="W66" i="15"/>
  <c r="W68" i="15"/>
  <c r="W76" i="15"/>
  <c r="W67" i="15"/>
  <c r="W71" i="15"/>
  <c r="W75" i="15"/>
  <c r="W65" i="15"/>
  <c r="W70" i="15"/>
  <c r="W72" i="15"/>
  <c r="W73" i="15"/>
  <c r="W69" i="15"/>
  <c r="AB60" i="15"/>
  <c r="AB73" i="15"/>
  <c r="AB72" i="15"/>
  <c r="AB76" i="15"/>
  <c r="AB67" i="15"/>
  <c r="AB68" i="15"/>
  <c r="AB71" i="15"/>
  <c r="AB75" i="15"/>
  <c r="AB70" i="15"/>
  <c r="AB74" i="15"/>
  <c r="AB65" i="15"/>
  <c r="AB69" i="15"/>
  <c r="AB66" i="15"/>
  <c r="AB59" i="15"/>
  <c r="AG65" i="15"/>
  <c r="AG68" i="15"/>
  <c r="AG72" i="15"/>
  <c r="AG76" i="15"/>
  <c r="AG67" i="15"/>
  <c r="AG71" i="15"/>
  <c r="AG66" i="15"/>
  <c r="AG70" i="15"/>
  <c r="AG74" i="15"/>
  <c r="AG73" i="15"/>
  <c r="AG75" i="15"/>
  <c r="AG69" i="15"/>
  <c r="AB58" i="15"/>
  <c r="AB57" i="15"/>
  <c r="AB56" i="15"/>
  <c r="AB55" i="15"/>
  <c r="AB54" i="15"/>
  <c r="AB53" i="15"/>
  <c r="AJ66" i="15"/>
  <c r="AJ65" i="15"/>
  <c r="AJ69" i="15"/>
  <c r="AJ73" i="15"/>
  <c r="AJ72" i="15"/>
  <c r="AJ76" i="15"/>
  <c r="AJ67" i="15"/>
  <c r="AJ71" i="15"/>
  <c r="AJ70" i="15"/>
  <c r="AJ68" i="15"/>
  <c r="AJ75" i="15"/>
  <c r="AJ74" i="15"/>
  <c r="C68" i="15"/>
  <c r="C75" i="15"/>
  <c r="C72" i="15"/>
  <c r="C73" i="15"/>
  <c r="C74" i="15"/>
  <c r="C76" i="15"/>
  <c r="C65" i="15"/>
  <c r="C67" i="15"/>
  <c r="C70" i="15"/>
  <c r="C66" i="15"/>
  <c r="C69" i="15"/>
  <c r="C71" i="15"/>
  <c r="AB52" i="15"/>
  <c r="AO68" i="15"/>
  <c r="AO66" i="15"/>
  <c r="AO70" i="15"/>
  <c r="AO65" i="15"/>
  <c r="AO69" i="15"/>
  <c r="AO73" i="15"/>
  <c r="AO72" i="15"/>
  <c r="AO67" i="15"/>
  <c r="AO74" i="15"/>
  <c r="AO71" i="15"/>
  <c r="AO76" i="15"/>
  <c r="AO75" i="15"/>
  <c r="F74" i="15"/>
  <c r="F69" i="15"/>
  <c r="F67" i="15"/>
  <c r="F66" i="15"/>
  <c r="F76" i="15"/>
  <c r="F75" i="15"/>
  <c r="F71" i="15"/>
  <c r="F68" i="15"/>
  <c r="F65" i="15"/>
  <c r="F70" i="15"/>
  <c r="F72" i="15"/>
  <c r="F73" i="15"/>
  <c r="C17" i="15"/>
  <c r="C16" i="15"/>
  <c r="D16" i="15" s="1"/>
  <c r="E16" i="15" s="1"/>
  <c r="F16" i="15" s="1"/>
  <c r="G16" i="15" s="1"/>
  <c r="H16" i="15" s="1"/>
  <c r="I16" i="15" s="1"/>
  <c r="J16" i="15" s="1"/>
  <c r="K16" i="15" s="1"/>
  <c r="L16" i="15" s="1"/>
  <c r="M16" i="15" s="1"/>
  <c r="N16" i="15" s="1"/>
  <c r="O16" i="15" s="1"/>
  <c r="P16" i="15" s="1"/>
  <c r="Q16" i="15" s="1"/>
  <c r="R16" i="15" s="1"/>
  <c r="S16" i="15" s="1"/>
  <c r="T16" i="15" s="1"/>
  <c r="U16" i="15" s="1"/>
  <c r="V16" i="15" s="1"/>
  <c r="W16" i="15" s="1"/>
  <c r="X16" i="15" s="1"/>
  <c r="Y16" i="15" s="1"/>
  <c r="Z16" i="15" s="1"/>
  <c r="AA16" i="15" s="1"/>
  <c r="AB16" i="15" s="1"/>
  <c r="AC16" i="15" s="1"/>
  <c r="AD16" i="15" s="1"/>
  <c r="AE16" i="15" s="1"/>
  <c r="AF16" i="15" s="1"/>
  <c r="AG16" i="15" s="1"/>
  <c r="AH16" i="15" s="1"/>
  <c r="AI16" i="15" s="1"/>
  <c r="AJ16" i="15" s="1"/>
  <c r="AK16" i="15" s="1"/>
  <c r="AL16" i="15" s="1"/>
  <c r="AM16" i="15" s="1"/>
  <c r="AN16" i="15" s="1"/>
  <c r="AO16" i="15" s="1"/>
  <c r="AP16" i="15" s="1"/>
  <c r="AQ16" i="15" s="1"/>
  <c r="AB37" i="15"/>
  <c r="AB38" i="15"/>
  <c r="AB39" i="15"/>
  <c r="AB40" i="15"/>
  <c r="AB41" i="15"/>
  <c r="AB42" i="15"/>
  <c r="AB43" i="15"/>
  <c r="AB44" i="15"/>
  <c r="AB45" i="15"/>
  <c r="AB46" i="15"/>
  <c r="AB47" i="15"/>
  <c r="AB48" i="15"/>
  <c r="F38" i="15"/>
  <c r="F41" i="15"/>
  <c r="F39" i="15"/>
  <c r="F40" i="15"/>
  <c r="F45" i="15"/>
  <c r="F37" i="15"/>
  <c r="F47" i="15"/>
  <c r="F44" i="15"/>
  <c r="F43" i="15"/>
  <c r="F42" i="15"/>
  <c r="F46" i="15"/>
  <c r="F48" i="15"/>
  <c r="AJ37" i="15"/>
  <c r="AJ40" i="15"/>
  <c r="AJ38" i="15"/>
  <c r="AJ41" i="15"/>
  <c r="AJ44" i="15"/>
  <c r="AJ47" i="15"/>
  <c r="AJ46" i="15"/>
  <c r="AJ48" i="15"/>
  <c r="AJ42" i="15"/>
  <c r="AJ39" i="15"/>
  <c r="AJ45" i="15"/>
  <c r="AJ43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AO39" i="15"/>
  <c r="AO42" i="15"/>
  <c r="AO40" i="15"/>
  <c r="AO41" i="15"/>
  <c r="AO46" i="15"/>
  <c r="AO38" i="15"/>
  <c r="AO44" i="15"/>
  <c r="AO48" i="15"/>
  <c r="AO37" i="15"/>
  <c r="AO47" i="15"/>
  <c r="AO43" i="15"/>
  <c r="AO45" i="15"/>
  <c r="S39" i="15"/>
  <c r="S42" i="15"/>
  <c r="S37" i="15"/>
  <c r="S38" i="15"/>
  <c r="S47" i="15"/>
  <c r="S43" i="15"/>
  <c r="S41" i="15"/>
  <c r="S45" i="15"/>
  <c r="S46" i="15"/>
  <c r="S44" i="15"/>
  <c r="S40" i="15"/>
  <c r="S48" i="15"/>
  <c r="W39" i="15"/>
  <c r="W42" i="15"/>
  <c r="W37" i="15"/>
  <c r="W40" i="15"/>
  <c r="W43" i="15"/>
  <c r="W46" i="15"/>
  <c r="W48" i="15"/>
  <c r="W44" i="15"/>
  <c r="W38" i="15"/>
  <c r="W45" i="15"/>
  <c r="W41" i="15"/>
  <c r="W47" i="15"/>
  <c r="AG37" i="15"/>
  <c r="AG40" i="15"/>
  <c r="AG43" i="15"/>
  <c r="AG41" i="15"/>
  <c r="AG45" i="15"/>
  <c r="AG42" i="15"/>
  <c r="AG39" i="15"/>
  <c r="AG47" i="15"/>
  <c r="AG48" i="15"/>
  <c r="AG46" i="15"/>
  <c r="AG38" i="15"/>
  <c r="AG44" i="15"/>
  <c r="C38" i="15"/>
  <c r="C44" i="15"/>
  <c r="C47" i="15"/>
  <c r="C48" i="15"/>
  <c r="C42" i="15"/>
  <c r="C45" i="15"/>
  <c r="C39" i="15"/>
  <c r="C40" i="15"/>
  <c r="C37" i="15"/>
  <c r="C41" i="15"/>
  <c r="C46" i="15"/>
  <c r="C43" i="15"/>
  <c r="AO15" i="15"/>
  <c r="C15" i="15"/>
  <c r="F15" i="15"/>
  <c r="AJ15" i="15"/>
  <c r="N15" i="15"/>
  <c r="S15" i="15"/>
  <c r="W15" i="15"/>
  <c r="AB15" i="15"/>
  <c r="AG15" i="15"/>
  <c r="D14" i="15"/>
  <c r="E14" i="15"/>
  <c r="AH14" i="15"/>
  <c r="AI14" i="15"/>
  <c r="AK14" i="15"/>
  <c r="AM14" i="15"/>
  <c r="AL14" i="15"/>
  <c r="AN14" i="15"/>
  <c r="AP14" i="15"/>
  <c r="J14" i="15"/>
  <c r="I14" i="15"/>
  <c r="M14" i="15"/>
  <c r="H14" i="15"/>
  <c r="L14" i="15"/>
  <c r="K14" i="15"/>
  <c r="G14" i="15"/>
  <c r="P14" i="15"/>
  <c r="Q14" i="15"/>
  <c r="R14" i="15"/>
  <c r="O14" i="15"/>
  <c r="T14" i="15"/>
  <c r="U14" i="15"/>
  <c r="V14" i="15"/>
  <c r="Z14" i="15"/>
  <c r="X14" i="15"/>
  <c r="Y14" i="15"/>
  <c r="AA14" i="15"/>
  <c r="AC14" i="15"/>
  <c r="AF14" i="15"/>
  <c r="AE14" i="15"/>
  <c r="AD14" i="15"/>
  <c r="L13" i="15"/>
  <c r="J13" i="15"/>
  <c r="G13" i="15"/>
  <c r="M13" i="15"/>
  <c r="I13" i="15"/>
  <c r="H13" i="15"/>
  <c r="K13" i="15"/>
  <c r="E13" i="15"/>
  <c r="D13" i="15"/>
  <c r="R13" i="15"/>
  <c r="O13" i="15"/>
  <c r="P13" i="15"/>
  <c r="Q13" i="15"/>
  <c r="U13" i="15"/>
  <c r="V13" i="15"/>
  <c r="T13" i="15"/>
  <c r="AH13" i="15"/>
  <c r="AI13" i="15"/>
  <c r="AP13" i="15"/>
  <c r="AK13" i="15"/>
  <c r="AN13" i="15"/>
  <c r="AL13" i="15"/>
  <c r="AM13" i="15"/>
  <c r="Y13" i="15"/>
  <c r="X13" i="15"/>
  <c r="AA13" i="15"/>
  <c r="Z13" i="15"/>
  <c r="AF13" i="15"/>
  <c r="AE13" i="15"/>
  <c r="AC13" i="15"/>
  <c r="AD13" i="15"/>
  <c r="N7" i="15"/>
  <c r="W7" i="15"/>
  <c r="AP4" i="15"/>
  <c r="AO7" i="15"/>
  <c r="AJ7" i="15"/>
  <c r="AG7" i="15"/>
  <c r="AB7" i="15"/>
  <c r="S7" i="15"/>
  <c r="F7" i="15"/>
  <c r="C7" i="15"/>
  <c r="AF3" i="15"/>
  <c r="D4" i="15"/>
  <c r="AE4" i="15"/>
  <c r="T4" i="15"/>
  <c r="L4" i="15"/>
  <c r="AN4" i="15"/>
  <c r="Q3" i="15"/>
  <c r="Z4" i="15"/>
  <c r="E4" i="15"/>
  <c r="AI3" i="15"/>
  <c r="Y4" i="15"/>
  <c r="AA4" i="15"/>
  <c r="V4" i="15"/>
  <c r="U4" i="15"/>
  <c r="AD4" i="15"/>
  <c r="AI4" i="15"/>
  <c r="X4" i="15"/>
  <c r="AF4" i="15"/>
  <c r="AN3" i="15"/>
  <c r="AC4" i="15"/>
  <c r="I4" i="15"/>
  <c r="AM4" i="15"/>
  <c r="AL4" i="15"/>
  <c r="AH4" i="15"/>
  <c r="H4" i="15"/>
  <c r="O4" i="15"/>
  <c r="G4" i="15"/>
  <c r="Q4" i="15"/>
  <c r="AK4" i="15"/>
  <c r="Z3" i="15"/>
  <c r="R4" i="15"/>
  <c r="D3" i="15"/>
  <c r="J4" i="15"/>
  <c r="V3" i="15"/>
  <c r="K4" i="15"/>
  <c r="T3" i="15"/>
  <c r="M4" i="15"/>
  <c r="P4" i="15"/>
  <c r="U3" i="15"/>
  <c r="Y3" i="15"/>
  <c r="AA3" i="15"/>
  <c r="E3" i="15"/>
  <c r="I3" i="15"/>
  <c r="H3" i="15"/>
  <c r="X3" i="15"/>
  <c r="AL3" i="15"/>
  <c r="K3" i="15"/>
  <c r="G3" i="15"/>
  <c r="O3" i="15"/>
  <c r="AH3" i="15"/>
  <c r="P3" i="15"/>
  <c r="J3" i="15"/>
  <c r="AD3" i="15"/>
  <c r="R3" i="15"/>
  <c r="AK3" i="15"/>
  <c r="AE3" i="15"/>
  <c r="AM3" i="15"/>
  <c r="M3" i="15"/>
  <c r="AC3" i="15"/>
  <c r="L3" i="15"/>
  <c r="I7" i="1"/>
  <c r="I8" i="1" s="1"/>
  <c r="E15" i="1"/>
  <c r="I2" i="1"/>
  <c r="E2" i="1"/>
  <c r="E14" i="1" s="1"/>
  <c r="B23" i="1"/>
  <c r="B28" i="1" s="1"/>
  <c r="B16" i="1"/>
  <c r="C16" i="1" s="1"/>
  <c r="B9" i="1"/>
  <c r="C9" i="1" s="1"/>
  <c r="B2" i="1"/>
  <c r="B4" i="1" s="1"/>
  <c r="C56" i="15" l="1"/>
  <c r="C51" i="15"/>
  <c r="F55" i="15"/>
  <c r="C59" i="15"/>
  <c r="C58" i="15"/>
  <c r="N58" i="15"/>
  <c r="N56" i="15"/>
  <c r="N60" i="15"/>
  <c r="N62" i="15"/>
  <c r="N52" i="15"/>
  <c r="N53" i="15"/>
  <c r="N61" i="15"/>
  <c r="N57" i="15"/>
  <c r="N54" i="15"/>
  <c r="N51" i="15"/>
  <c r="N55" i="15"/>
  <c r="F61" i="15"/>
  <c r="F54" i="15"/>
  <c r="F57" i="15"/>
  <c r="F62" i="15"/>
  <c r="F60" i="15"/>
  <c r="F56" i="15"/>
  <c r="F53" i="15"/>
  <c r="AJ55" i="15"/>
  <c r="F52" i="15"/>
  <c r="F51" i="15"/>
  <c r="AO62" i="15"/>
  <c r="F59" i="15"/>
  <c r="AJ60" i="15"/>
  <c r="AJ54" i="15"/>
  <c r="AO52" i="15"/>
  <c r="AJ62" i="15"/>
  <c r="AJ53" i="15"/>
  <c r="AO55" i="15"/>
  <c r="AJ61" i="15"/>
  <c r="AJ52" i="15"/>
  <c r="AO59" i="15"/>
  <c r="AJ59" i="15"/>
  <c r="AJ51" i="15"/>
  <c r="AO54" i="15"/>
  <c r="AJ58" i="15"/>
  <c r="AO51" i="15"/>
  <c r="AO57" i="15"/>
  <c r="AJ57" i="15"/>
  <c r="AO60" i="15"/>
  <c r="AP52" i="15"/>
  <c r="AO61" i="15"/>
  <c r="AO58" i="15"/>
  <c r="AO56" i="15"/>
  <c r="E55" i="15"/>
  <c r="S59" i="15"/>
  <c r="S52" i="15"/>
  <c r="L52" i="15"/>
  <c r="S53" i="15"/>
  <c r="C54" i="15"/>
  <c r="S51" i="15"/>
  <c r="C61" i="15"/>
  <c r="S62" i="15"/>
  <c r="S61" i="15"/>
  <c r="C60" i="15"/>
  <c r="S60" i="15"/>
  <c r="C57" i="15"/>
  <c r="S58" i="15"/>
  <c r="C52" i="15"/>
  <c r="S57" i="15"/>
  <c r="C55" i="15"/>
  <c r="S56" i="15"/>
  <c r="C53" i="15"/>
  <c r="S55" i="15"/>
  <c r="I52" i="15"/>
  <c r="AE52" i="15"/>
  <c r="AD55" i="15"/>
  <c r="O52" i="15"/>
  <c r="P52" i="15"/>
  <c r="U52" i="15"/>
  <c r="AC55" i="15"/>
  <c r="M61" i="15"/>
  <c r="V52" i="15"/>
  <c r="H53" i="15"/>
  <c r="R60" i="15"/>
  <c r="J52" i="15"/>
  <c r="AG52" i="15"/>
  <c r="AI52" i="15"/>
  <c r="G52" i="15"/>
  <c r="W52" i="15"/>
  <c r="AK60" i="15"/>
  <c r="AG53" i="15"/>
  <c r="W53" i="15"/>
  <c r="AG51" i="15"/>
  <c r="W51" i="15"/>
  <c r="AG59" i="15"/>
  <c r="W60" i="15"/>
  <c r="AG60" i="15"/>
  <c r="W62" i="15"/>
  <c r="AG62" i="15"/>
  <c r="W61" i="15"/>
  <c r="AG61" i="15"/>
  <c r="W59" i="15"/>
  <c r="AG58" i="15"/>
  <c r="W58" i="15"/>
  <c r="AG57" i="15"/>
  <c r="W57" i="15"/>
  <c r="AG56" i="15"/>
  <c r="W56" i="15"/>
  <c r="AG55" i="15"/>
  <c r="W55" i="15"/>
  <c r="B79" i="15"/>
  <c r="AP55" i="15"/>
  <c r="X52" i="15"/>
  <c r="AN52" i="15"/>
  <c r="Q54" i="15"/>
  <c r="T56" i="15"/>
  <c r="AP57" i="15"/>
  <c r="AP62" i="15"/>
  <c r="AL52" i="15"/>
  <c r="AM58" i="15"/>
  <c r="AP61" i="15"/>
  <c r="AP60" i="15"/>
  <c r="AP59" i="15"/>
  <c r="K52" i="15"/>
  <c r="Z52" i="15"/>
  <c r="AP54" i="15"/>
  <c r="AA55" i="15"/>
  <c r="AP51" i="15"/>
  <c r="Y61" i="15"/>
  <c r="AP58" i="15"/>
  <c r="AP56" i="15"/>
  <c r="AH52" i="15"/>
  <c r="AP53" i="15"/>
  <c r="AF59" i="15"/>
  <c r="AE74" i="15"/>
  <c r="AE65" i="15"/>
  <c r="AE69" i="15"/>
  <c r="AE73" i="15"/>
  <c r="AE68" i="15"/>
  <c r="AE76" i="15"/>
  <c r="AE67" i="15"/>
  <c r="AE71" i="15"/>
  <c r="AE75" i="15"/>
  <c r="AE66" i="15"/>
  <c r="AE70" i="15"/>
  <c r="AE72" i="15"/>
  <c r="AH71" i="15"/>
  <c r="AH66" i="15"/>
  <c r="AH70" i="15"/>
  <c r="AH74" i="15"/>
  <c r="AH69" i="15"/>
  <c r="AH73" i="15"/>
  <c r="AH68" i="15"/>
  <c r="AH72" i="15"/>
  <c r="AH67" i="15"/>
  <c r="AH65" i="15"/>
  <c r="AH76" i="15"/>
  <c r="AH75" i="15"/>
  <c r="I75" i="15"/>
  <c r="I65" i="15"/>
  <c r="I72" i="15"/>
  <c r="I67" i="15"/>
  <c r="I76" i="15"/>
  <c r="I71" i="15"/>
  <c r="I68" i="15"/>
  <c r="I73" i="15"/>
  <c r="I66" i="15"/>
  <c r="I74" i="15"/>
  <c r="I70" i="15"/>
  <c r="I69" i="15"/>
  <c r="AC51" i="15"/>
  <c r="AM51" i="15"/>
  <c r="AH51" i="15"/>
  <c r="V51" i="15"/>
  <c r="AK59" i="15"/>
  <c r="M60" i="15"/>
  <c r="AE51" i="15"/>
  <c r="J51" i="15"/>
  <c r="I51" i="15"/>
  <c r="AA51" i="15"/>
  <c r="AL51" i="15"/>
  <c r="AF51" i="15"/>
  <c r="Q52" i="15"/>
  <c r="O51" i="15"/>
  <c r="AD51" i="15"/>
  <c r="U51" i="15"/>
  <c r="Y60" i="15"/>
  <c r="X51" i="15"/>
  <c r="H51" i="15"/>
  <c r="Z51" i="15"/>
  <c r="E58" i="15"/>
  <c r="AI51" i="15"/>
  <c r="K51" i="15"/>
  <c r="G51" i="15"/>
  <c r="AN51" i="15"/>
  <c r="P51" i="15"/>
  <c r="T53" i="15"/>
  <c r="L51" i="15"/>
  <c r="R52" i="15"/>
  <c r="T69" i="15"/>
  <c r="T65" i="15"/>
  <c r="T67" i="15"/>
  <c r="T75" i="15"/>
  <c r="T66" i="15"/>
  <c r="T70" i="15"/>
  <c r="T76" i="15"/>
  <c r="T73" i="15"/>
  <c r="T71" i="15"/>
  <c r="T74" i="15"/>
  <c r="T72" i="15"/>
  <c r="T68" i="15"/>
  <c r="AC54" i="15"/>
  <c r="AM56" i="15"/>
  <c r="AH55" i="15"/>
  <c r="V60" i="15"/>
  <c r="AK58" i="15"/>
  <c r="M58" i="15"/>
  <c r="AE59" i="15"/>
  <c r="J62" i="15"/>
  <c r="I62" i="15"/>
  <c r="AA57" i="15"/>
  <c r="AL56" i="15"/>
  <c r="AF58" i="15"/>
  <c r="Q60" i="15"/>
  <c r="O59" i="15"/>
  <c r="AD54" i="15"/>
  <c r="U59" i="15"/>
  <c r="Y51" i="15"/>
  <c r="X62" i="15"/>
  <c r="H57" i="15"/>
  <c r="Z54" i="15"/>
  <c r="E60" i="15"/>
  <c r="AI61" i="15"/>
  <c r="K61" i="15"/>
  <c r="G60" i="15"/>
  <c r="AN59" i="15"/>
  <c r="P60" i="15"/>
  <c r="T58" i="15"/>
  <c r="L62" i="15"/>
  <c r="R55" i="15"/>
  <c r="AF73" i="15"/>
  <c r="AF65" i="15"/>
  <c r="AF67" i="15"/>
  <c r="AF71" i="15"/>
  <c r="AF66" i="15"/>
  <c r="AF70" i="15"/>
  <c r="AF74" i="15"/>
  <c r="AF76" i="15"/>
  <c r="AF68" i="15"/>
  <c r="AF75" i="15"/>
  <c r="AF69" i="15"/>
  <c r="AF72" i="15"/>
  <c r="Z71" i="15"/>
  <c r="Z69" i="15"/>
  <c r="Z73" i="15"/>
  <c r="Z68" i="15"/>
  <c r="Z72" i="15"/>
  <c r="Z76" i="15"/>
  <c r="Z66" i="15"/>
  <c r="Z75" i="15"/>
  <c r="Z65" i="15"/>
  <c r="Z67" i="15"/>
  <c r="Z74" i="15"/>
  <c r="Z70" i="15"/>
  <c r="V71" i="15"/>
  <c r="V66" i="15"/>
  <c r="V70" i="15"/>
  <c r="V74" i="15"/>
  <c r="V65" i="15"/>
  <c r="V69" i="15"/>
  <c r="V68" i="15"/>
  <c r="V72" i="15"/>
  <c r="V67" i="15"/>
  <c r="V73" i="15"/>
  <c r="V75" i="15"/>
  <c r="V76" i="15"/>
  <c r="G65" i="15"/>
  <c r="G67" i="15"/>
  <c r="G74" i="15"/>
  <c r="G69" i="15"/>
  <c r="G73" i="15"/>
  <c r="G72" i="15"/>
  <c r="G71" i="15"/>
  <c r="G75" i="15"/>
  <c r="G76" i="15"/>
  <c r="G66" i="15"/>
  <c r="G70" i="15"/>
  <c r="G68" i="15"/>
  <c r="AC62" i="15"/>
  <c r="AM53" i="15"/>
  <c r="AH56" i="15"/>
  <c r="V62" i="15"/>
  <c r="AK53" i="15"/>
  <c r="M53" i="15"/>
  <c r="AE60" i="15"/>
  <c r="J61" i="15"/>
  <c r="I60" i="15"/>
  <c r="AA59" i="15"/>
  <c r="AL62" i="15"/>
  <c r="AF60" i="15"/>
  <c r="Q51" i="15"/>
  <c r="O56" i="15"/>
  <c r="AD52" i="15"/>
  <c r="U62" i="15"/>
  <c r="Y52" i="15"/>
  <c r="X61" i="15"/>
  <c r="H61" i="15"/>
  <c r="Z62" i="15"/>
  <c r="E56" i="15"/>
  <c r="AI58" i="15"/>
  <c r="K62" i="15"/>
  <c r="G59" i="15"/>
  <c r="AN60" i="15"/>
  <c r="P62" i="15"/>
  <c r="T62" i="15"/>
  <c r="L60" i="15"/>
  <c r="R56" i="15"/>
  <c r="AA75" i="15"/>
  <c r="AA70" i="15"/>
  <c r="AA74" i="15"/>
  <c r="AA65" i="15"/>
  <c r="AA69" i="15"/>
  <c r="AA68" i="15"/>
  <c r="AA67" i="15"/>
  <c r="AA66" i="15"/>
  <c r="AA73" i="15"/>
  <c r="AA72" i="15"/>
  <c r="AA71" i="15"/>
  <c r="AA76" i="15"/>
  <c r="U65" i="15"/>
  <c r="U72" i="15"/>
  <c r="U76" i="15"/>
  <c r="U67" i="15"/>
  <c r="U71" i="15"/>
  <c r="U75" i="15"/>
  <c r="U66" i="15"/>
  <c r="U74" i="15"/>
  <c r="U73" i="15"/>
  <c r="U68" i="15"/>
  <c r="U70" i="15"/>
  <c r="U69" i="15"/>
  <c r="J70" i="15"/>
  <c r="J65" i="15"/>
  <c r="J72" i="15"/>
  <c r="J67" i="15"/>
  <c r="J69" i="15"/>
  <c r="J76" i="15"/>
  <c r="J66" i="15"/>
  <c r="J73" i="15"/>
  <c r="J75" i="15"/>
  <c r="J74" i="15"/>
  <c r="J71" i="15"/>
  <c r="J68" i="15"/>
  <c r="AC61" i="15"/>
  <c r="AM52" i="15"/>
  <c r="AH59" i="15"/>
  <c r="V55" i="15"/>
  <c r="AK52" i="15"/>
  <c r="M59" i="15"/>
  <c r="AE62" i="15"/>
  <c r="J58" i="15"/>
  <c r="I61" i="15"/>
  <c r="AA58" i="15"/>
  <c r="AL61" i="15"/>
  <c r="AF56" i="15"/>
  <c r="Q62" i="15"/>
  <c r="O53" i="15"/>
  <c r="AD57" i="15"/>
  <c r="U61" i="15"/>
  <c r="Y55" i="15"/>
  <c r="X60" i="15"/>
  <c r="H54" i="15"/>
  <c r="Z59" i="15"/>
  <c r="E53" i="15"/>
  <c r="AI62" i="15"/>
  <c r="K60" i="15"/>
  <c r="G62" i="15"/>
  <c r="AN62" i="15"/>
  <c r="P61" i="15"/>
  <c r="T55" i="15"/>
  <c r="L61" i="15"/>
  <c r="R54" i="15"/>
  <c r="M71" i="15"/>
  <c r="M70" i="15"/>
  <c r="M73" i="15"/>
  <c r="M76" i="15"/>
  <c r="M69" i="15"/>
  <c r="M65" i="15"/>
  <c r="M67" i="15"/>
  <c r="M66" i="15"/>
  <c r="M72" i="15"/>
  <c r="M68" i="15"/>
  <c r="M74" i="15"/>
  <c r="M75" i="15"/>
  <c r="D52" i="15"/>
  <c r="D56" i="15"/>
  <c r="D60" i="15"/>
  <c r="D51" i="15"/>
  <c r="D59" i="15"/>
  <c r="D62" i="15"/>
  <c r="D54" i="15"/>
  <c r="D61" i="15"/>
  <c r="D55" i="15"/>
  <c r="D53" i="15"/>
  <c r="D57" i="15"/>
  <c r="D58" i="15"/>
  <c r="X74" i="15"/>
  <c r="X65" i="15"/>
  <c r="X69" i="15"/>
  <c r="X73" i="15"/>
  <c r="X68" i="15"/>
  <c r="X76" i="15"/>
  <c r="X67" i="15"/>
  <c r="X71" i="15"/>
  <c r="X75" i="15"/>
  <c r="X66" i="15"/>
  <c r="X72" i="15"/>
  <c r="X70" i="15"/>
  <c r="Q75" i="15"/>
  <c r="Q68" i="15"/>
  <c r="Q71" i="15"/>
  <c r="Q74" i="15"/>
  <c r="Q67" i="15"/>
  <c r="Q70" i="15"/>
  <c r="Q73" i="15"/>
  <c r="Q72" i="15"/>
  <c r="Q69" i="15"/>
  <c r="Q65" i="15"/>
  <c r="Q76" i="15"/>
  <c r="Q66" i="15"/>
  <c r="L72" i="15"/>
  <c r="L70" i="15"/>
  <c r="L73" i="15"/>
  <c r="L76" i="15"/>
  <c r="L65" i="15"/>
  <c r="L66" i="15"/>
  <c r="L68" i="15"/>
  <c r="L71" i="15"/>
  <c r="L67" i="15"/>
  <c r="L74" i="15"/>
  <c r="L69" i="15"/>
  <c r="L75" i="15"/>
  <c r="AC57" i="15"/>
  <c r="AM55" i="15"/>
  <c r="AH60" i="15"/>
  <c r="V61" i="15"/>
  <c r="AK56" i="15"/>
  <c r="M55" i="15"/>
  <c r="AE61" i="15"/>
  <c r="J57" i="15"/>
  <c r="I59" i="15"/>
  <c r="AA56" i="15"/>
  <c r="AL57" i="15"/>
  <c r="AF53" i="15"/>
  <c r="Q61" i="15"/>
  <c r="O58" i="15"/>
  <c r="AD59" i="15"/>
  <c r="U60" i="15"/>
  <c r="Y57" i="15"/>
  <c r="X59" i="15"/>
  <c r="H60" i="15"/>
  <c r="Z58" i="15"/>
  <c r="E52" i="15"/>
  <c r="AI60" i="15"/>
  <c r="K59" i="15"/>
  <c r="G61" i="15"/>
  <c r="AN61" i="15"/>
  <c r="P59" i="15"/>
  <c r="T60" i="15"/>
  <c r="L59" i="15"/>
  <c r="R53" i="15"/>
  <c r="Y72" i="15"/>
  <c r="Y71" i="15"/>
  <c r="Y75" i="15"/>
  <c r="Y66" i="15"/>
  <c r="Y74" i="15"/>
  <c r="Y68" i="15"/>
  <c r="Y67" i="15"/>
  <c r="Y70" i="15"/>
  <c r="Y69" i="15"/>
  <c r="Y73" i="15"/>
  <c r="Y76" i="15"/>
  <c r="Y65" i="15"/>
  <c r="P76" i="15"/>
  <c r="P68" i="15"/>
  <c r="P71" i="15"/>
  <c r="P74" i="15"/>
  <c r="P69" i="15"/>
  <c r="P72" i="15"/>
  <c r="P73" i="15"/>
  <c r="P65" i="15"/>
  <c r="P70" i="15"/>
  <c r="P66" i="15"/>
  <c r="P67" i="15"/>
  <c r="P75" i="15"/>
  <c r="AC60" i="15"/>
  <c r="AM57" i="15"/>
  <c r="AH62" i="15"/>
  <c r="V57" i="15"/>
  <c r="AK51" i="15"/>
  <c r="M57" i="15"/>
  <c r="AE58" i="15"/>
  <c r="J60" i="15"/>
  <c r="I58" i="15"/>
  <c r="AA53" i="15"/>
  <c r="AL58" i="15"/>
  <c r="AF52" i="15"/>
  <c r="Q58" i="15"/>
  <c r="O55" i="15"/>
  <c r="AD58" i="15"/>
  <c r="U58" i="15"/>
  <c r="Y54" i="15"/>
  <c r="X58" i="15"/>
  <c r="H52" i="15"/>
  <c r="Z56" i="15"/>
  <c r="E61" i="15"/>
  <c r="AI59" i="15"/>
  <c r="K58" i="15"/>
  <c r="G58" i="15"/>
  <c r="AN58" i="15"/>
  <c r="P58" i="15"/>
  <c r="T61" i="15"/>
  <c r="L58" i="15"/>
  <c r="R51" i="15"/>
  <c r="AC52" i="15"/>
  <c r="AM54" i="15"/>
  <c r="AH61" i="15"/>
  <c r="V54" i="15"/>
  <c r="AK55" i="15"/>
  <c r="M54" i="15"/>
  <c r="AE57" i="15"/>
  <c r="J54" i="15"/>
  <c r="I57" i="15"/>
  <c r="AA54" i="15"/>
  <c r="AL53" i="15"/>
  <c r="AF55" i="15"/>
  <c r="Q53" i="15"/>
  <c r="O62" i="15"/>
  <c r="AD56" i="15"/>
  <c r="U57" i="15"/>
  <c r="Y59" i="15"/>
  <c r="X57" i="15"/>
  <c r="H58" i="15"/>
  <c r="Z53" i="15"/>
  <c r="E59" i="15"/>
  <c r="AI57" i="15"/>
  <c r="K57" i="15"/>
  <c r="G57" i="15"/>
  <c r="AN57" i="15"/>
  <c r="P57" i="15"/>
  <c r="T57" i="15"/>
  <c r="L57" i="15"/>
  <c r="R58" i="15"/>
  <c r="O68" i="15"/>
  <c r="O69" i="15"/>
  <c r="O72" i="15"/>
  <c r="O75" i="15"/>
  <c r="O67" i="15"/>
  <c r="O73" i="15"/>
  <c r="O65" i="15"/>
  <c r="O71" i="15"/>
  <c r="O66" i="15"/>
  <c r="O70" i="15"/>
  <c r="O74" i="15"/>
  <c r="O76" i="15"/>
  <c r="AL75" i="15"/>
  <c r="AL65" i="15"/>
  <c r="AL69" i="15"/>
  <c r="AL68" i="15"/>
  <c r="AL72" i="15"/>
  <c r="AL76" i="15"/>
  <c r="AL71" i="15"/>
  <c r="AL66" i="15"/>
  <c r="AL73" i="15"/>
  <c r="AL70" i="15"/>
  <c r="AL74" i="15"/>
  <c r="AL67" i="15"/>
  <c r="AC59" i="15"/>
  <c r="AM62" i="15"/>
  <c r="AH58" i="15"/>
  <c r="V56" i="15"/>
  <c r="AK57" i="15"/>
  <c r="M51" i="15"/>
  <c r="AE56" i="15"/>
  <c r="J59" i="15"/>
  <c r="I56" i="15"/>
  <c r="AA52" i="15"/>
  <c r="AL55" i="15"/>
  <c r="AF62" i="15"/>
  <c r="Q56" i="15"/>
  <c r="O61" i="15"/>
  <c r="AD53" i="15"/>
  <c r="U56" i="15"/>
  <c r="Y58" i="15"/>
  <c r="X56" i="15"/>
  <c r="H62" i="15"/>
  <c r="Z55" i="15"/>
  <c r="E62" i="15"/>
  <c r="AI56" i="15"/>
  <c r="K56" i="15"/>
  <c r="G56" i="15"/>
  <c r="AN56" i="15"/>
  <c r="P56" i="15"/>
  <c r="T54" i="15"/>
  <c r="L56" i="15"/>
  <c r="R59" i="15"/>
  <c r="AM67" i="15"/>
  <c r="AM70" i="15"/>
  <c r="AM74" i="15"/>
  <c r="AM65" i="15"/>
  <c r="AM73" i="15"/>
  <c r="AM72" i="15"/>
  <c r="AM75" i="15"/>
  <c r="AM66" i="15"/>
  <c r="AM69" i="15"/>
  <c r="AM76" i="15"/>
  <c r="AM71" i="15"/>
  <c r="AM68" i="15"/>
  <c r="R76" i="15"/>
  <c r="R69" i="15"/>
  <c r="R72" i="15"/>
  <c r="R75" i="15"/>
  <c r="R65" i="15"/>
  <c r="R68" i="15"/>
  <c r="R71" i="15"/>
  <c r="R70" i="15"/>
  <c r="R73" i="15"/>
  <c r="R66" i="15"/>
  <c r="R74" i="15"/>
  <c r="R67" i="15"/>
  <c r="AN73" i="15"/>
  <c r="AN72" i="15"/>
  <c r="AN76" i="15"/>
  <c r="AN67" i="15"/>
  <c r="AN71" i="15"/>
  <c r="AN66" i="15"/>
  <c r="AN70" i="15"/>
  <c r="AN65" i="15"/>
  <c r="AN68" i="15"/>
  <c r="AN75" i="15"/>
  <c r="AN74" i="15"/>
  <c r="AN69" i="15"/>
  <c r="D76" i="15"/>
  <c r="D71" i="15"/>
  <c r="D73" i="15"/>
  <c r="D75" i="15"/>
  <c r="D70" i="15"/>
  <c r="D69" i="15"/>
  <c r="D68" i="15"/>
  <c r="D65" i="15"/>
  <c r="D74" i="15"/>
  <c r="D66" i="15"/>
  <c r="D72" i="15"/>
  <c r="D67" i="15"/>
  <c r="AC58" i="15"/>
  <c r="AM61" i="15"/>
  <c r="AH53" i="15"/>
  <c r="V53" i="15"/>
  <c r="AK54" i="15"/>
  <c r="M52" i="15"/>
  <c r="AE55" i="15"/>
  <c r="J55" i="15"/>
  <c r="I55" i="15"/>
  <c r="AA62" i="15"/>
  <c r="AL54" i="15"/>
  <c r="AF61" i="15"/>
  <c r="Q59" i="15"/>
  <c r="O60" i="15"/>
  <c r="AD62" i="15"/>
  <c r="U55" i="15"/>
  <c r="Y56" i="15"/>
  <c r="X55" i="15"/>
  <c r="H56" i="15"/>
  <c r="Z61" i="15"/>
  <c r="E57" i="15"/>
  <c r="AI55" i="15"/>
  <c r="K55" i="15"/>
  <c r="G55" i="15"/>
  <c r="AN55" i="15"/>
  <c r="P55" i="15"/>
  <c r="T51" i="15"/>
  <c r="L55" i="15"/>
  <c r="R57" i="15"/>
  <c r="AK76" i="15"/>
  <c r="AK67" i="15"/>
  <c r="AK71" i="15"/>
  <c r="AK75" i="15"/>
  <c r="AK70" i="15"/>
  <c r="AK74" i="15"/>
  <c r="AK65" i="15"/>
  <c r="AK69" i="15"/>
  <c r="AK72" i="15"/>
  <c r="AK66" i="15"/>
  <c r="AK73" i="15"/>
  <c r="AK68" i="15"/>
  <c r="E66" i="15"/>
  <c r="E68" i="15"/>
  <c r="E75" i="15"/>
  <c r="E72" i="15"/>
  <c r="E74" i="15"/>
  <c r="E65" i="15"/>
  <c r="E70" i="15"/>
  <c r="E69" i="15"/>
  <c r="E71" i="15"/>
  <c r="E73" i="15"/>
  <c r="E67" i="15"/>
  <c r="E76" i="15"/>
  <c r="AC56" i="15"/>
  <c r="AM60" i="15"/>
  <c r="AH57" i="15"/>
  <c r="V59" i="15"/>
  <c r="AK62" i="15"/>
  <c r="M56" i="15"/>
  <c r="AE54" i="15"/>
  <c r="J56" i="15"/>
  <c r="I54" i="15"/>
  <c r="AA61" i="15"/>
  <c r="AL60" i="15"/>
  <c r="AF57" i="15"/>
  <c r="Q55" i="15"/>
  <c r="O57" i="15"/>
  <c r="AD61" i="15"/>
  <c r="U54" i="15"/>
  <c r="Y53" i="15"/>
  <c r="X54" i="15"/>
  <c r="H55" i="15"/>
  <c r="Z57" i="15"/>
  <c r="E54" i="15"/>
  <c r="AI54" i="15"/>
  <c r="K54" i="15"/>
  <c r="G54" i="15"/>
  <c r="AN54" i="15"/>
  <c r="P54" i="15"/>
  <c r="T52" i="15"/>
  <c r="L54" i="15"/>
  <c r="R62" i="15"/>
  <c r="AD76" i="15"/>
  <c r="AD71" i="15"/>
  <c r="AD75" i="15"/>
  <c r="AD66" i="15"/>
  <c r="AD70" i="15"/>
  <c r="AD65" i="15"/>
  <c r="AD73" i="15"/>
  <c r="AD67" i="15"/>
  <c r="AD74" i="15"/>
  <c r="AD69" i="15"/>
  <c r="AD72" i="15"/>
  <c r="AD68" i="15"/>
  <c r="AQ13" i="15"/>
  <c r="AP68" i="15"/>
  <c r="AP67" i="15"/>
  <c r="AP71" i="15"/>
  <c r="AP75" i="15"/>
  <c r="AP66" i="15"/>
  <c r="AP74" i="15"/>
  <c r="AP65" i="15"/>
  <c r="AP69" i="15"/>
  <c r="AP73" i="15"/>
  <c r="AP72" i="15"/>
  <c r="AP70" i="15"/>
  <c r="AP76" i="15"/>
  <c r="K73" i="15"/>
  <c r="K68" i="15"/>
  <c r="K66" i="15"/>
  <c r="K72" i="15"/>
  <c r="K67" i="15"/>
  <c r="K65" i="15"/>
  <c r="K74" i="15"/>
  <c r="K69" i="15"/>
  <c r="K75" i="15"/>
  <c r="K71" i="15"/>
  <c r="K70" i="15"/>
  <c r="K76" i="15"/>
  <c r="AC53" i="15"/>
  <c r="AM59" i="15"/>
  <c r="AH54" i="15"/>
  <c r="V58" i="15"/>
  <c r="AK61" i="15"/>
  <c r="M62" i="15"/>
  <c r="AE53" i="15"/>
  <c r="J53" i="15"/>
  <c r="I53" i="15"/>
  <c r="AA60" i="15"/>
  <c r="AL59" i="15"/>
  <c r="AF54" i="15"/>
  <c r="Q57" i="15"/>
  <c r="O54" i="15"/>
  <c r="AD60" i="15"/>
  <c r="U53" i="15"/>
  <c r="Y62" i="15"/>
  <c r="X53" i="15"/>
  <c r="H59" i="15"/>
  <c r="Z60" i="15"/>
  <c r="E51" i="15"/>
  <c r="AI53" i="15"/>
  <c r="K53" i="15"/>
  <c r="G53" i="15"/>
  <c r="AN53" i="15"/>
  <c r="P53" i="15"/>
  <c r="T59" i="15"/>
  <c r="L53" i="15"/>
  <c r="R61" i="15"/>
  <c r="AC76" i="15"/>
  <c r="AC70" i="15"/>
  <c r="AC74" i="15"/>
  <c r="AC65" i="15"/>
  <c r="AC73" i="15"/>
  <c r="AC68" i="15"/>
  <c r="AC75" i="15"/>
  <c r="AC66" i="15"/>
  <c r="AC69" i="15"/>
  <c r="AC67" i="15"/>
  <c r="AC72" i="15"/>
  <c r="AC71" i="15"/>
  <c r="AI66" i="15"/>
  <c r="AI72" i="15"/>
  <c r="AI76" i="15"/>
  <c r="AI67" i="15"/>
  <c r="AI71" i="15"/>
  <c r="AI75" i="15"/>
  <c r="AI70" i="15"/>
  <c r="AI74" i="15"/>
  <c r="AI68" i="15"/>
  <c r="AI65" i="15"/>
  <c r="AI73" i="15"/>
  <c r="AI69" i="15"/>
  <c r="H72" i="15"/>
  <c r="H67" i="15"/>
  <c r="H74" i="15"/>
  <c r="H69" i="15"/>
  <c r="H71" i="15"/>
  <c r="H66" i="15"/>
  <c r="H65" i="15"/>
  <c r="H68" i="15"/>
  <c r="H76" i="15"/>
  <c r="H75" i="15"/>
  <c r="H73" i="15"/>
  <c r="H70" i="15"/>
  <c r="B7" i="1"/>
  <c r="AO8" i="15"/>
  <c r="AJ8" i="15"/>
  <c r="F8" i="15"/>
  <c r="S8" i="15"/>
  <c r="W8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AD38" i="15"/>
  <c r="AD41" i="15"/>
  <c r="AD39" i="15"/>
  <c r="AD42" i="15"/>
  <c r="AD45" i="15"/>
  <c r="AD48" i="15"/>
  <c r="AD44" i="15"/>
  <c r="AD43" i="15"/>
  <c r="AD47" i="15"/>
  <c r="AD46" i="15"/>
  <c r="AD40" i="15"/>
  <c r="AD37" i="15"/>
  <c r="R39" i="15"/>
  <c r="R42" i="15"/>
  <c r="R45" i="15"/>
  <c r="R48" i="15"/>
  <c r="R38" i="15"/>
  <c r="R41" i="15"/>
  <c r="R47" i="15"/>
  <c r="R43" i="15"/>
  <c r="R44" i="15"/>
  <c r="R37" i="15"/>
  <c r="R46" i="15"/>
  <c r="R40" i="15"/>
  <c r="AL37" i="15"/>
  <c r="AL38" i="15"/>
  <c r="AL39" i="15"/>
  <c r="AL40" i="15"/>
  <c r="AL41" i="15"/>
  <c r="AL42" i="15"/>
  <c r="AL43" i="15"/>
  <c r="AL44" i="15"/>
  <c r="AL45" i="15"/>
  <c r="AL46" i="15"/>
  <c r="AL47" i="15"/>
  <c r="AL48" i="15"/>
  <c r="AF37" i="15"/>
  <c r="AF38" i="15"/>
  <c r="AF39" i="15"/>
  <c r="AF40" i="15"/>
  <c r="AF41" i="15"/>
  <c r="AF42" i="15"/>
  <c r="AF43" i="15"/>
  <c r="AF44" i="15"/>
  <c r="AF45" i="15"/>
  <c r="AF46" i="15"/>
  <c r="AF47" i="15"/>
  <c r="AF48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AK37" i="15"/>
  <c r="AK38" i="15"/>
  <c r="AK39" i="15"/>
  <c r="AK40" i="15"/>
  <c r="AK41" i="15"/>
  <c r="AK42" i="15"/>
  <c r="AK43" i="15"/>
  <c r="AK44" i="15"/>
  <c r="AK45" i="15"/>
  <c r="AK46" i="15"/>
  <c r="AK47" i="15"/>
  <c r="AK48" i="15"/>
  <c r="AC38" i="15"/>
  <c r="AC41" i="15"/>
  <c r="AC44" i="15"/>
  <c r="AC47" i="15"/>
  <c r="AC45" i="15"/>
  <c r="AC42" i="15"/>
  <c r="AC37" i="15"/>
  <c r="AC48" i="15"/>
  <c r="AC39" i="15"/>
  <c r="AC43" i="15"/>
  <c r="AC46" i="15"/>
  <c r="AC40" i="15"/>
  <c r="G38" i="15"/>
  <c r="G41" i="15"/>
  <c r="G44" i="15"/>
  <c r="G47" i="15"/>
  <c r="G46" i="15"/>
  <c r="G39" i="15"/>
  <c r="G40" i="15"/>
  <c r="G45" i="15"/>
  <c r="G42" i="15"/>
  <c r="G43" i="15"/>
  <c r="G48" i="15"/>
  <c r="G37" i="15"/>
  <c r="AI37" i="15"/>
  <c r="AI40" i="15"/>
  <c r="AI43" i="15"/>
  <c r="AI46" i="15"/>
  <c r="AI41" i="15"/>
  <c r="AI45" i="15"/>
  <c r="AI38" i="15"/>
  <c r="AI48" i="15"/>
  <c r="AI39" i="15"/>
  <c r="AI47" i="15"/>
  <c r="AI44" i="15"/>
  <c r="AI42" i="15"/>
  <c r="AE37" i="15"/>
  <c r="AE40" i="15"/>
  <c r="AE43" i="15"/>
  <c r="AE46" i="15"/>
  <c r="AE39" i="15"/>
  <c r="AE45" i="15"/>
  <c r="AE42" i="15"/>
  <c r="AE47" i="15"/>
  <c r="AE41" i="15"/>
  <c r="AE44" i="15"/>
  <c r="AE48" i="15"/>
  <c r="AE38" i="15"/>
  <c r="Q37" i="15"/>
  <c r="Q40" i="15"/>
  <c r="Q38" i="15"/>
  <c r="Q41" i="15"/>
  <c r="Q44" i="15"/>
  <c r="Q47" i="15"/>
  <c r="Q43" i="15"/>
  <c r="Q46" i="15"/>
  <c r="Q45" i="15"/>
  <c r="Q42" i="15"/>
  <c r="Q48" i="15"/>
  <c r="Q39" i="15"/>
  <c r="AM39" i="15"/>
  <c r="AM42" i="15"/>
  <c r="AM45" i="15"/>
  <c r="AM48" i="15"/>
  <c r="AM38" i="15"/>
  <c r="AM41" i="15"/>
  <c r="AM46" i="15"/>
  <c r="AM44" i="15"/>
  <c r="AM37" i="15"/>
  <c r="AM47" i="15"/>
  <c r="AM43" i="15"/>
  <c r="AM40" i="15"/>
  <c r="AA38" i="15"/>
  <c r="AA41" i="15"/>
  <c r="AA42" i="15"/>
  <c r="AA37" i="15"/>
  <c r="AA44" i="15"/>
  <c r="AA48" i="15"/>
  <c r="AA40" i="15"/>
  <c r="AA46" i="15"/>
  <c r="AA47" i="15"/>
  <c r="AA39" i="15"/>
  <c r="AA45" i="15"/>
  <c r="AA43" i="15"/>
  <c r="K37" i="15"/>
  <c r="K40" i="15"/>
  <c r="K43" i="15"/>
  <c r="K46" i="15"/>
  <c r="K39" i="15"/>
  <c r="K42" i="15"/>
  <c r="K44" i="15"/>
  <c r="K48" i="15"/>
  <c r="K41" i="15"/>
  <c r="K38" i="15"/>
  <c r="K47" i="15"/>
  <c r="K45" i="15"/>
  <c r="AH37" i="15"/>
  <c r="AH38" i="15"/>
  <c r="AH39" i="15"/>
  <c r="AH40" i="15"/>
  <c r="AH41" i="15"/>
  <c r="AH42" i="15"/>
  <c r="AH43" i="15"/>
  <c r="AH44" i="15"/>
  <c r="AH45" i="15"/>
  <c r="AH46" i="15"/>
  <c r="AH47" i="15"/>
  <c r="AH48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L15" i="15"/>
  <c r="L37" i="15"/>
  <c r="L40" i="15"/>
  <c r="L43" i="15"/>
  <c r="L38" i="15"/>
  <c r="L39" i="15"/>
  <c r="L46" i="15"/>
  <c r="L42" i="15"/>
  <c r="L44" i="15"/>
  <c r="L48" i="15"/>
  <c r="L45" i="15"/>
  <c r="L41" i="15"/>
  <c r="L47" i="15"/>
  <c r="E15" i="15"/>
  <c r="E38" i="15"/>
  <c r="E41" i="15"/>
  <c r="E44" i="15"/>
  <c r="E47" i="15"/>
  <c r="E37" i="15"/>
  <c r="E40" i="15"/>
  <c r="E45" i="15"/>
  <c r="E43" i="15"/>
  <c r="E48" i="15"/>
  <c r="E46" i="15"/>
  <c r="E39" i="15"/>
  <c r="E42" i="15"/>
  <c r="H15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M15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X15" i="15"/>
  <c r="X38" i="15"/>
  <c r="X41" i="15"/>
  <c r="X44" i="15"/>
  <c r="X47" i="15"/>
  <c r="X37" i="15"/>
  <c r="X40" i="15"/>
  <c r="X48" i="15"/>
  <c r="X46" i="15"/>
  <c r="X39" i="15"/>
  <c r="X45" i="15"/>
  <c r="X42" i="15"/>
  <c r="X43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I38" i="15"/>
  <c r="I41" i="15"/>
  <c r="I39" i="15"/>
  <c r="I42" i="15"/>
  <c r="I45" i="15"/>
  <c r="I48" i="15"/>
  <c r="I43" i="15"/>
  <c r="I46" i="15"/>
  <c r="I44" i="15"/>
  <c r="I40" i="15"/>
  <c r="I47" i="15"/>
  <c r="I37" i="15"/>
  <c r="U39" i="15"/>
  <c r="U42" i="15"/>
  <c r="U45" i="15"/>
  <c r="U48" i="15"/>
  <c r="U44" i="15"/>
  <c r="U37" i="15"/>
  <c r="U38" i="15"/>
  <c r="U47" i="15"/>
  <c r="U40" i="15"/>
  <c r="U46" i="15"/>
  <c r="U41" i="15"/>
  <c r="U43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AP39" i="15"/>
  <c r="AP42" i="15"/>
  <c r="AP45" i="15"/>
  <c r="AP48" i="15"/>
  <c r="AP43" i="15"/>
  <c r="AP47" i="15"/>
  <c r="AP40" i="15"/>
  <c r="AP41" i="15"/>
  <c r="AP46" i="15"/>
  <c r="AP37" i="15"/>
  <c r="AP38" i="15"/>
  <c r="AP44" i="15"/>
  <c r="O37" i="15"/>
  <c r="O40" i="15"/>
  <c r="O43" i="15"/>
  <c r="O46" i="15"/>
  <c r="O47" i="15"/>
  <c r="O38" i="15"/>
  <c r="O39" i="15"/>
  <c r="O41" i="15"/>
  <c r="O45" i="15"/>
  <c r="O44" i="15"/>
  <c r="O42" i="15"/>
  <c r="O48" i="15"/>
  <c r="AN15" i="15"/>
  <c r="AN37" i="15"/>
  <c r="AN38" i="15"/>
  <c r="AN39" i="15"/>
  <c r="AN40" i="15"/>
  <c r="AN41" i="15"/>
  <c r="AN42" i="15"/>
  <c r="AN43" i="15"/>
  <c r="AN44" i="15"/>
  <c r="AN45" i="15"/>
  <c r="AN46" i="15"/>
  <c r="AN47" i="15"/>
  <c r="AN48" i="15"/>
  <c r="N8" i="15"/>
  <c r="B6" i="1"/>
  <c r="O15" i="15"/>
  <c r="AE15" i="15"/>
  <c r="Q15" i="15"/>
  <c r="AM15" i="15"/>
  <c r="Y15" i="15"/>
  <c r="Z15" i="15"/>
  <c r="C2" i="1"/>
  <c r="C3" i="1" s="1"/>
  <c r="B3" i="1"/>
  <c r="V15" i="15"/>
  <c r="I15" i="15"/>
  <c r="B5" i="1"/>
  <c r="U15" i="15"/>
  <c r="J15" i="15"/>
  <c r="AG8" i="15"/>
  <c r="C8" i="15"/>
  <c r="AB8" i="15"/>
  <c r="AQ14" i="15"/>
  <c r="AP15" i="15"/>
  <c r="AD15" i="15"/>
  <c r="R15" i="15"/>
  <c r="AL15" i="15"/>
  <c r="T15" i="15"/>
  <c r="AF15" i="15"/>
  <c r="AC15" i="15"/>
  <c r="G15" i="15"/>
  <c r="AI15" i="15"/>
  <c r="D17" i="15"/>
  <c r="C18" i="15"/>
  <c r="AK15" i="15"/>
  <c r="AA15" i="15"/>
  <c r="K15" i="15"/>
  <c r="AH15" i="15"/>
  <c r="P15" i="15"/>
  <c r="D15" i="15"/>
  <c r="AR16" i="15"/>
  <c r="B17" i="1"/>
  <c r="E16" i="1"/>
  <c r="E19" i="1"/>
  <c r="E17" i="1"/>
  <c r="E18" i="1"/>
  <c r="B10" i="1"/>
  <c r="B20" i="1"/>
  <c r="C23" i="1"/>
  <c r="B18" i="1"/>
  <c r="B12" i="1"/>
  <c r="B13" i="1"/>
  <c r="B19" i="1"/>
  <c r="B25" i="1"/>
  <c r="B21" i="1"/>
  <c r="B24" i="1"/>
  <c r="B14" i="1"/>
  <c r="B11" i="1"/>
  <c r="B26" i="1"/>
  <c r="B27" i="1"/>
  <c r="E7" i="15"/>
  <c r="E8" i="15"/>
  <c r="AQ4" i="15"/>
  <c r="AP7" i="15"/>
  <c r="AP8" i="15"/>
  <c r="Z8" i="15"/>
  <c r="Z7" i="15"/>
  <c r="AF7" i="15"/>
  <c r="AF8" i="15"/>
  <c r="X8" i="15"/>
  <c r="X7" i="15"/>
  <c r="Q7" i="15"/>
  <c r="Q8" i="15"/>
  <c r="AI7" i="15"/>
  <c r="AI8" i="15"/>
  <c r="T7" i="15"/>
  <c r="T8" i="15"/>
  <c r="G7" i="15"/>
  <c r="G8" i="15"/>
  <c r="AD7" i="15"/>
  <c r="AD8" i="15"/>
  <c r="P7" i="15"/>
  <c r="P8" i="15"/>
  <c r="O7" i="15"/>
  <c r="O8" i="15"/>
  <c r="U8" i="15"/>
  <c r="U7" i="15"/>
  <c r="AE7" i="15"/>
  <c r="AE8" i="15"/>
  <c r="AM7" i="15"/>
  <c r="AM8" i="15"/>
  <c r="J8" i="15"/>
  <c r="J7" i="15"/>
  <c r="I7" i="15"/>
  <c r="I8" i="15"/>
  <c r="AC7" i="15"/>
  <c r="AC8" i="15"/>
  <c r="R7" i="15"/>
  <c r="R8" i="15"/>
  <c r="AN7" i="15"/>
  <c r="AN8" i="15"/>
  <c r="AK7" i="15"/>
  <c r="AK8" i="15"/>
  <c r="L7" i="15"/>
  <c r="L8" i="15"/>
  <c r="M7" i="15"/>
  <c r="M8" i="15"/>
  <c r="H7" i="15"/>
  <c r="H8" i="15"/>
  <c r="V7" i="15"/>
  <c r="V8" i="15"/>
  <c r="D7" i="15"/>
  <c r="D8" i="15"/>
  <c r="AH7" i="15"/>
  <c r="AH8" i="15"/>
  <c r="AA7" i="15"/>
  <c r="AA8" i="15"/>
  <c r="K7" i="15"/>
  <c r="K8" i="15"/>
  <c r="AL7" i="15"/>
  <c r="AL8" i="15"/>
  <c r="Y8" i="15"/>
  <c r="Y7" i="15"/>
  <c r="C13" i="1"/>
  <c r="C10" i="1"/>
  <c r="C14" i="1"/>
  <c r="C21" i="1"/>
  <c r="C17" i="1"/>
  <c r="C19" i="1"/>
  <c r="C11" i="1"/>
  <c r="C20" i="1"/>
  <c r="C18" i="1"/>
  <c r="C12" i="1"/>
  <c r="AQ52" i="15" l="1"/>
  <c r="AQ53" i="15"/>
  <c r="AQ54" i="15"/>
  <c r="AQ55" i="15"/>
  <c r="AQ56" i="15"/>
  <c r="AQ57" i="15"/>
  <c r="AQ58" i="15"/>
  <c r="AQ59" i="15"/>
  <c r="AQ61" i="15"/>
  <c r="AQ62" i="15"/>
  <c r="AQ60" i="15"/>
  <c r="AQ51" i="15"/>
  <c r="AR13" i="15"/>
  <c r="AQ66" i="15"/>
  <c r="AQ65" i="15"/>
  <c r="AQ69" i="15"/>
  <c r="AQ73" i="15"/>
  <c r="AQ72" i="15"/>
  <c r="AQ76" i="15"/>
  <c r="AQ67" i="15"/>
  <c r="AQ71" i="15"/>
  <c r="AQ75" i="15"/>
  <c r="AQ74" i="15"/>
  <c r="AQ68" i="15"/>
  <c r="AQ70" i="15"/>
  <c r="C4" i="1"/>
  <c r="C7" i="1"/>
  <c r="C6" i="1"/>
  <c r="C5" i="1"/>
  <c r="AQ39" i="15"/>
  <c r="AQ42" i="15"/>
  <c r="AQ37" i="15"/>
  <c r="AQ40" i="15"/>
  <c r="AQ43" i="15"/>
  <c r="AQ46" i="15"/>
  <c r="AQ47" i="15"/>
  <c r="AQ48" i="15"/>
  <c r="AQ41" i="15"/>
  <c r="AQ45" i="15"/>
  <c r="AQ38" i="15"/>
  <c r="AQ44" i="15"/>
  <c r="AS16" i="15"/>
  <c r="E17" i="15"/>
  <c r="D18" i="15"/>
  <c r="AR14" i="15"/>
  <c r="AQ15" i="15"/>
  <c r="C28" i="1"/>
  <c r="C27" i="1"/>
  <c r="C26" i="1"/>
  <c r="C25" i="1"/>
  <c r="C24" i="1"/>
  <c r="AR4" i="15"/>
  <c r="AQ7" i="15"/>
  <c r="AQ8" i="15"/>
  <c r="AR52" i="15" l="1"/>
  <c r="AR53" i="15"/>
  <c r="AR56" i="15"/>
  <c r="AR51" i="15"/>
  <c r="AR60" i="15"/>
  <c r="AR58" i="15"/>
  <c r="AR61" i="15"/>
  <c r="AR57" i="15"/>
  <c r="AR55" i="15"/>
  <c r="AR59" i="15"/>
  <c r="AR62" i="15"/>
  <c r="AR54" i="15"/>
  <c r="AS13" i="15"/>
  <c r="AR69" i="15"/>
  <c r="AR65" i="15"/>
  <c r="AR67" i="15"/>
  <c r="AR75" i="15"/>
  <c r="AR66" i="15"/>
  <c r="AR70" i="15"/>
  <c r="AR74" i="15"/>
  <c r="AR73" i="15"/>
  <c r="AR72" i="15"/>
  <c r="AR71" i="15"/>
  <c r="AR68" i="15"/>
  <c r="AR76" i="15"/>
  <c r="AR37" i="15"/>
  <c r="AR38" i="15"/>
  <c r="AR39" i="15"/>
  <c r="AR40" i="15"/>
  <c r="AR41" i="15"/>
  <c r="AR42" i="15"/>
  <c r="AR43" i="15"/>
  <c r="AR44" i="15"/>
  <c r="AR45" i="15"/>
  <c r="AR46" i="15"/>
  <c r="AR47" i="15"/>
  <c r="AR48" i="15"/>
  <c r="AS14" i="15"/>
  <c r="AR15" i="15"/>
  <c r="AT16" i="15"/>
  <c r="F17" i="15"/>
  <c r="E18" i="15"/>
  <c r="AS4" i="15"/>
  <c r="AR7" i="15"/>
  <c r="AR8" i="15"/>
  <c r="AS52" i="15" l="1"/>
  <c r="AS53" i="15"/>
  <c r="AS54" i="15"/>
  <c r="AS55" i="15"/>
  <c r="AS56" i="15"/>
  <c r="AS57" i="15"/>
  <c r="AS58" i="15"/>
  <c r="AS60" i="15"/>
  <c r="AS59" i="15"/>
  <c r="AS62" i="15"/>
  <c r="AS61" i="15"/>
  <c r="AS51" i="15"/>
  <c r="AT13" i="15"/>
  <c r="AS69" i="15"/>
  <c r="AS68" i="15"/>
  <c r="AS72" i="15"/>
  <c r="AS76" i="15"/>
  <c r="AS71" i="15"/>
  <c r="AS75" i="15"/>
  <c r="AS66" i="15"/>
  <c r="AS70" i="15"/>
  <c r="AS74" i="15"/>
  <c r="AS65" i="15"/>
  <c r="AS67" i="15"/>
  <c r="AS73" i="15"/>
  <c r="AS38" i="15"/>
  <c r="AS41" i="15"/>
  <c r="AS44" i="15"/>
  <c r="AS47" i="15"/>
  <c r="AS37" i="15"/>
  <c r="AS40" i="15"/>
  <c r="AS43" i="15"/>
  <c r="AS45" i="15"/>
  <c r="AS42" i="15"/>
  <c r="AS39" i="15"/>
  <c r="AS46" i="15"/>
  <c r="AS48" i="15"/>
  <c r="G17" i="15"/>
  <c r="F18" i="15"/>
  <c r="AU16" i="15"/>
  <c r="AT14" i="15"/>
  <c r="AS15" i="15"/>
  <c r="AT4" i="15"/>
  <c r="AS8" i="15"/>
  <c r="AS7" i="15"/>
  <c r="AT52" i="15" l="1"/>
  <c r="AT55" i="15"/>
  <c r="AT56" i="15"/>
  <c r="AT61" i="15"/>
  <c r="AT62" i="15"/>
  <c r="AT54" i="15"/>
  <c r="AT58" i="15"/>
  <c r="AT60" i="15"/>
  <c r="AT57" i="15"/>
  <c r="AT53" i="15"/>
  <c r="AT59" i="15"/>
  <c r="AT51" i="15"/>
  <c r="AU13" i="15"/>
  <c r="AT75" i="15"/>
  <c r="AT66" i="15"/>
  <c r="AT70" i="15"/>
  <c r="AT65" i="15"/>
  <c r="AT69" i="15"/>
  <c r="AT73" i="15"/>
  <c r="AT72" i="15"/>
  <c r="AT71" i="15"/>
  <c r="AT74" i="15"/>
  <c r="AT68" i="15"/>
  <c r="AT76" i="15"/>
  <c r="AT67" i="15"/>
  <c r="AT37" i="15"/>
  <c r="AT38" i="15"/>
  <c r="AT39" i="15"/>
  <c r="AT40" i="15"/>
  <c r="AT41" i="15"/>
  <c r="AT42" i="15"/>
  <c r="AT43" i="15"/>
  <c r="AT44" i="15"/>
  <c r="AT45" i="15"/>
  <c r="AT46" i="15"/>
  <c r="AT47" i="15"/>
  <c r="AT48" i="15"/>
  <c r="AV16" i="15"/>
  <c r="H17" i="15"/>
  <c r="G18" i="15"/>
  <c r="AU14" i="15"/>
  <c r="AT15" i="15"/>
  <c r="AU4" i="15"/>
  <c r="AT7" i="15"/>
  <c r="AT8" i="15"/>
  <c r="AU52" i="15" l="1"/>
  <c r="AU53" i="15"/>
  <c r="AU54" i="15"/>
  <c r="AU55" i="15"/>
  <c r="AU56" i="15"/>
  <c r="AU58" i="15"/>
  <c r="AU61" i="15"/>
  <c r="AU62" i="15"/>
  <c r="AU60" i="15"/>
  <c r="AU59" i="15"/>
  <c r="AU57" i="15"/>
  <c r="AU51" i="15"/>
  <c r="AV13" i="15"/>
  <c r="AU70" i="15"/>
  <c r="AU68" i="15"/>
  <c r="AU72" i="15"/>
  <c r="AU76" i="15"/>
  <c r="AU71" i="15"/>
  <c r="AU75" i="15"/>
  <c r="AU74" i="15"/>
  <c r="AU65" i="15"/>
  <c r="AU69" i="15"/>
  <c r="AU67" i="15"/>
  <c r="AU73" i="15"/>
  <c r="AU66" i="15"/>
  <c r="AU38" i="15"/>
  <c r="AU41" i="15"/>
  <c r="AU39" i="15"/>
  <c r="AU48" i="15"/>
  <c r="AU40" i="15"/>
  <c r="AU43" i="15"/>
  <c r="AU47" i="15"/>
  <c r="AU42" i="15"/>
  <c r="AU37" i="15"/>
  <c r="AU45" i="15"/>
  <c r="AU44" i="15"/>
  <c r="AU46" i="15"/>
  <c r="I17" i="15"/>
  <c r="H18" i="15"/>
  <c r="AW16" i="15"/>
  <c r="AV14" i="15"/>
  <c r="AU15" i="15"/>
  <c r="AV4" i="15"/>
  <c r="AU7" i="15"/>
  <c r="AU8" i="15"/>
  <c r="F9" i="1"/>
  <c r="F8" i="1"/>
  <c r="F7" i="1"/>
  <c r="AV52" i="15" l="1"/>
  <c r="AV53" i="15"/>
  <c r="AV54" i="15"/>
  <c r="AV55" i="15"/>
  <c r="AV56" i="15"/>
  <c r="AV57" i="15"/>
  <c r="AV58" i="15"/>
  <c r="AV61" i="15"/>
  <c r="AV62" i="15"/>
  <c r="AV59" i="15"/>
  <c r="AV60" i="15"/>
  <c r="AV51" i="15"/>
  <c r="AW13" i="15"/>
  <c r="AV70" i="15"/>
  <c r="AV65" i="15"/>
  <c r="AV69" i="15"/>
  <c r="AV73" i="15"/>
  <c r="AV68" i="15"/>
  <c r="AV72" i="15"/>
  <c r="AV67" i="15"/>
  <c r="AV71" i="15"/>
  <c r="AV75" i="15"/>
  <c r="AV66" i="15"/>
  <c r="AV76" i="15"/>
  <c r="AV74" i="15"/>
  <c r="AV38" i="15"/>
  <c r="AV41" i="15"/>
  <c r="AV44" i="15"/>
  <c r="AV47" i="15"/>
  <c r="AV48" i="15"/>
  <c r="AV39" i="15"/>
  <c r="AV40" i="15"/>
  <c r="AV43" i="15"/>
  <c r="AV42" i="15"/>
  <c r="AV37" i="15"/>
  <c r="AV46" i="15"/>
  <c r="AV45" i="15"/>
  <c r="AW14" i="15"/>
  <c r="AV15" i="15"/>
  <c r="AX16" i="15"/>
  <c r="J17" i="15"/>
  <c r="I18" i="15"/>
  <c r="AW4" i="15"/>
  <c r="AV7" i="15"/>
  <c r="AV8" i="15"/>
  <c r="AW59" i="15" l="1"/>
  <c r="AW60" i="15"/>
  <c r="AW61" i="15"/>
  <c r="AW62" i="15"/>
  <c r="AW52" i="15"/>
  <c r="AW51" i="15"/>
  <c r="AW53" i="15"/>
  <c r="AW56" i="15"/>
  <c r="AW58" i="15"/>
  <c r="AW54" i="15"/>
  <c r="AW57" i="15"/>
  <c r="AW55" i="15"/>
  <c r="AX13" i="15"/>
  <c r="AW76" i="15"/>
  <c r="AW71" i="15"/>
  <c r="AW75" i="15"/>
  <c r="AW66" i="15"/>
  <c r="AW70" i="15"/>
  <c r="AW74" i="15"/>
  <c r="AW69" i="15"/>
  <c r="AW68" i="15"/>
  <c r="AW67" i="15"/>
  <c r="AW65" i="15"/>
  <c r="AW73" i="15"/>
  <c r="AW72" i="15"/>
  <c r="AW37" i="15"/>
  <c r="AW38" i="15"/>
  <c r="AW39" i="15"/>
  <c r="AW40" i="15"/>
  <c r="AW41" i="15"/>
  <c r="AW42" i="15"/>
  <c r="AW43" i="15"/>
  <c r="AW44" i="15"/>
  <c r="AW45" i="15"/>
  <c r="AW46" i="15"/>
  <c r="AW47" i="15"/>
  <c r="AW48" i="15"/>
  <c r="AY16" i="15"/>
  <c r="K17" i="15"/>
  <c r="J18" i="15"/>
  <c r="AX14" i="15"/>
  <c r="AW15" i="15"/>
  <c r="AX4" i="15"/>
  <c r="AW8" i="15"/>
  <c r="AW7" i="15"/>
  <c r="AX52" i="15" l="1"/>
  <c r="AX55" i="15"/>
  <c r="AX59" i="15"/>
  <c r="AX58" i="15"/>
  <c r="AX60" i="15"/>
  <c r="AX53" i="15"/>
  <c r="AX56" i="15"/>
  <c r="AX62" i="15"/>
  <c r="AX61" i="15"/>
  <c r="AX54" i="15"/>
  <c r="AX57" i="15"/>
  <c r="AX51" i="15"/>
  <c r="AY13" i="15"/>
  <c r="AX71" i="15"/>
  <c r="AX65" i="15"/>
  <c r="AX69" i="15"/>
  <c r="AX68" i="15"/>
  <c r="AX72" i="15"/>
  <c r="AX76" i="15"/>
  <c r="AX70" i="15"/>
  <c r="AX75" i="15"/>
  <c r="AX74" i="15"/>
  <c r="AX67" i="15"/>
  <c r="AX73" i="15"/>
  <c r="AX66" i="15"/>
  <c r="AX37" i="15"/>
  <c r="AX38" i="15"/>
  <c r="AX39" i="15"/>
  <c r="AX40" i="15"/>
  <c r="AX41" i="15"/>
  <c r="AX42" i="15"/>
  <c r="AX43" i="15"/>
  <c r="AX44" i="15"/>
  <c r="AX45" i="15"/>
  <c r="AX46" i="15"/>
  <c r="AX47" i="15"/>
  <c r="AX48" i="15"/>
  <c r="L17" i="15"/>
  <c r="K18" i="15"/>
  <c r="AY14" i="15"/>
  <c r="AX15" i="15"/>
  <c r="AY4" i="15"/>
  <c r="AX7" i="15"/>
  <c r="AX8" i="15"/>
  <c r="AY53" i="15" l="1"/>
  <c r="B53" i="15" s="1"/>
  <c r="T21" i="22" s="1"/>
  <c r="U21" i="22" s="1"/>
  <c r="AY54" i="15"/>
  <c r="B54" i="15" s="1"/>
  <c r="T22" i="22" s="1"/>
  <c r="U22" i="22" s="1"/>
  <c r="AY56" i="15"/>
  <c r="B56" i="15" s="1"/>
  <c r="T24" i="22" s="1"/>
  <c r="U24" i="22" s="1"/>
  <c r="AY57" i="15"/>
  <c r="B57" i="15" s="1"/>
  <c r="T25" i="22" s="1"/>
  <c r="U25" i="22" s="1"/>
  <c r="AY55" i="15"/>
  <c r="B55" i="15" s="1"/>
  <c r="T23" i="22" s="1"/>
  <c r="U23" i="22" s="1"/>
  <c r="AY59" i="15"/>
  <c r="B59" i="15" s="1"/>
  <c r="T27" i="22" s="1"/>
  <c r="U27" i="22" s="1"/>
  <c r="AY60" i="15"/>
  <c r="B60" i="15" s="1"/>
  <c r="T28" i="22" s="1"/>
  <c r="U28" i="22" s="1"/>
  <c r="AY61" i="15"/>
  <c r="B61" i="15" s="1"/>
  <c r="T29" i="22" s="1"/>
  <c r="U29" i="22" s="1"/>
  <c r="AY62" i="15"/>
  <c r="B62" i="15" s="1"/>
  <c r="T30" i="22" s="1"/>
  <c r="U30" i="22" s="1"/>
  <c r="AY52" i="15"/>
  <c r="B52" i="15" s="1"/>
  <c r="T20" i="22" s="1"/>
  <c r="U20" i="22" s="1"/>
  <c r="AY58" i="15"/>
  <c r="B58" i="15" s="1"/>
  <c r="T26" i="22" s="1"/>
  <c r="U26" i="22" s="1"/>
  <c r="AY51" i="15"/>
  <c r="B51" i="15" s="1"/>
  <c r="T19" i="22" s="1"/>
  <c r="AY66" i="15"/>
  <c r="AY74" i="15"/>
  <c r="AY65" i="15"/>
  <c r="B65" i="15" s="1"/>
  <c r="R19" i="22" s="1"/>
  <c r="S19" i="22" s="1"/>
  <c r="AY69" i="15"/>
  <c r="AY73" i="15"/>
  <c r="AY68" i="15"/>
  <c r="AY76" i="15"/>
  <c r="AY71" i="15"/>
  <c r="AY70" i="15"/>
  <c r="AY72" i="15"/>
  <c r="AY67" i="15"/>
  <c r="AY75" i="15"/>
  <c r="AY38" i="15"/>
  <c r="AY41" i="15"/>
  <c r="AY39" i="15"/>
  <c r="AY42" i="15"/>
  <c r="AY45" i="15"/>
  <c r="AY44" i="15"/>
  <c r="AY48" i="15"/>
  <c r="AY47" i="15"/>
  <c r="AY46" i="15"/>
  <c r="AY37" i="15"/>
  <c r="B37" i="15" s="1"/>
  <c r="P19" i="22" s="1"/>
  <c r="AY40" i="15"/>
  <c r="AY43" i="15"/>
  <c r="AY15" i="15"/>
  <c r="M17" i="15"/>
  <c r="L18" i="15"/>
  <c r="AY8" i="15"/>
  <c r="AY7" i="15"/>
  <c r="U19" i="22" l="1"/>
  <c r="T31" i="22"/>
  <c r="Q19" i="22"/>
  <c r="T161" i="16"/>
  <c r="T162" i="16"/>
  <c r="T156" i="16"/>
  <c r="T163" i="16"/>
  <c r="T158" i="16"/>
  <c r="T165" i="16"/>
  <c r="T164" i="16"/>
  <c r="T160" i="16"/>
  <c r="T166" i="16"/>
  <c r="T159" i="16"/>
  <c r="T157" i="16"/>
  <c r="H164" i="16"/>
  <c r="B46" i="15"/>
  <c r="P28" i="22" s="1"/>
  <c r="Q28" i="22" s="1"/>
  <c r="H165" i="16"/>
  <c r="B47" i="15"/>
  <c r="P29" i="22" s="1"/>
  <c r="Q29" i="22" s="1"/>
  <c r="H163" i="16"/>
  <c r="B45" i="15"/>
  <c r="P27" i="22" s="1"/>
  <c r="Q27" i="22" s="1"/>
  <c r="H160" i="16"/>
  <c r="B42" i="15"/>
  <c r="P24" i="22" s="1"/>
  <c r="Q24" i="22" s="1"/>
  <c r="H162" i="16"/>
  <c r="B44" i="15"/>
  <c r="P26" i="22" s="1"/>
  <c r="Q26" i="22" s="1"/>
  <c r="H166" i="16"/>
  <c r="B48" i="15"/>
  <c r="P30" i="22" s="1"/>
  <c r="Q30" i="22" s="1"/>
  <c r="H157" i="16"/>
  <c r="B39" i="15"/>
  <c r="P21" i="22" s="1"/>
  <c r="Q21" i="22" s="1"/>
  <c r="H161" i="16"/>
  <c r="B43" i="15"/>
  <c r="P25" i="22" s="1"/>
  <c r="Q25" i="22" s="1"/>
  <c r="H159" i="16"/>
  <c r="B41" i="15"/>
  <c r="P23" i="22" s="1"/>
  <c r="Q23" i="22" s="1"/>
  <c r="H156" i="16"/>
  <c r="B38" i="15"/>
  <c r="P20" i="22" s="1"/>
  <c r="Q20" i="22" s="1"/>
  <c r="H158" i="16"/>
  <c r="B40" i="15"/>
  <c r="P22" i="22" s="1"/>
  <c r="Q22" i="22" s="1"/>
  <c r="B67" i="15"/>
  <c r="R21" i="22" s="1"/>
  <c r="S21" i="22" s="1"/>
  <c r="B76" i="15"/>
  <c r="R30" i="22" s="1"/>
  <c r="S30" i="22" s="1"/>
  <c r="B68" i="15"/>
  <c r="R22" i="22" s="1"/>
  <c r="S22" i="22" s="1"/>
  <c r="B73" i="15"/>
  <c r="R27" i="22" s="1"/>
  <c r="S27" i="22" s="1"/>
  <c r="B69" i="15"/>
  <c r="R23" i="22" s="1"/>
  <c r="S23" i="22" s="1"/>
  <c r="B72" i="15"/>
  <c r="R26" i="22" s="1"/>
  <c r="S26" i="22" s="1"/>
  <c r="B70" i="15"/>
  <c r="R24" i="22" s="1"/>
  <c r="S24" i="22" s="1"/>
  <c r="B71" i="15"/>
  <c r="R25" i="22" s="1"/>
  <c r="S25" i="22" s="1"/>
  <c r="B74" i="15"/>
  <c r="R28" i="22" s="1"/>
  <c r="S28" i="22" s="1"/>
  <c r="B75" i="15"/>
  <c r="R29" i="22" s="1"/>
  <c r="S29" i="22" s="1"/>
  <c r="B66" i="15"/>
  <c r="R20" i="22" s="1"/>
  <c r="S20" i="22" s="1"/>
  <c r="Q167" i="16"/>
  <c r="G37" i="3"/>
  <c r="H155" i="16"/>
  <c r="N155" i="16"/>
  <c r="J37" i="3"/>
  <c r="N17" i="15"/>
  <c r="M18" i="15"/>
  <c r="P31" i="22" l="1"/>
  <c r="N162" i="16"/>
  <c r="N164" i="16"/>
  <c r="N157" i="16"/>
  <c r="N161" i="16"/>
  <c r="U31" i="22"/>
  <c r="N165" i="16"/>
  <c r="N166" i="16"/>
  <c r="Q31" i="22"/>
  <c r="N159" i="16"/>
  <c r="N163" i="16"/>
  <c r="N160" i="16"/>
  <c r="N158" i="16"/>
  <c r="H167" i="16"/>
  <c r="J36" i="3"/>
  <c r="G36" i="3"/>
  <c r="B49" i="15"/>
  <c r="B82" i="15" s="1"/>
  <c r="N156" i="16"/>
  <c r="K167" i="16"/>
  <c r="J38" i="3"/>
  <c r="T155" i="16"/>
  <c r="T167" i="16" s="1"/>
  <c r="G38" i="3"/>
  <c r="E167" i="16"/>
  <c r="O17" i="15"/>
  <c r="N18" i="15"/>
  <c r="O39" i="3" l="1"/>
  <c r="B40" i="22"/>
  <c r="N167" i="16"/>
  <c r="S31" i="22"/>
  <c r="T32" i="22" s="1"/>
  <c r="R31" i="22"/>
  <c r="J39" i="3"/>
  <c r="G39" i="3"/>
  <c r="O168" i="16"/>
  <c r="P17" i="15"/>
  <c r="O18" i="15"/>
  <c r="Q17" i="15" l="1"/>
  <c r="P18" i="15"/>
  <c r="R17" i="15" l="1"/>
  <c r="Q18" i="15"/>
  <c r="S17" i="15" l="1"/>
  <c r="R18" i="15"/>
  <c r="T17" i="15" l="1"/>
  <c r="S18" i="15"/>
  <c r="U17" i="15" l="1"/>
  <c r="T18" i="15"/>
  <c r="V17" i="15" l="1"/>
  <c r="U18" i="15"/>
  <c r="W17" i="15" l="1"/>
  <c r="V18" i="15"/>
  <c r="X17" i="15" l="1"/>
  <c r="W18" i="15"/>
  <c r="Y17" i="15" l="1"/>
  <c r="X18" i="15"/>
  <c r="Z17" i="15" l="1"/>
  <c r="Y18" i="15"/>
  <c r="AA17" i="15" l="1"/>
  <c r="Z18" i="15"/>
  <c r="AB17" i="15" l="1"/>
  <c r="AA18" i="15"/>
  <c r="AC17" i="15" l="1"/>
  <c r="AB18" i="15"/>
  <c r="AD17" i="15" l="1"/>
  <c r="AC18" i="15"/>
  <c r="AE17" i="15" l="1"/>
  <c r="AD18" i="15"/>
  <c r="AF17" i="15" l="1"/>
  <c r="AE18" i="15"/>
  <c r="AG17" i="15" l="1"/>
  <c r="AF18" i="15"/>
  <c r="AH17" i="15" l="1"/>
  <c r="AG18" i="15"/>
  <c r="AI17" i="15" l="1"/>
  <c r="AH18" i="15"/>
  <c r="AJ17" i="15" l="1"/>
  <c r="AI18" i="15"/>
  <c r="AK17" i="15" l="1"/>
  <c r="AJ18" i="15"/>
  <c r="AL17" i="15" l="1"/>
  <c r="AK18" i="15"/>
  <c r="AM17" i="15" l="1"/>
  <c r="AL18" i="15"/>
  <c r="AN17" i="15" l="1"/>
  <c r="AM18" i="15"/>
  <c r="AO17" i="15" l="1"/>
  <c r="AN18" i="15"/>
  <c r="AP17" i="15" l="1"/>
  <c r="AO18" i="15"/>
  <c r="AQ17" i="15" l="1"/>
  <c r="AP18" i="15"/>
  <c r="AR17" i="15" l="1"/>
  <c r="AQ18" i="15"/>
  <c r="AS17" i="15" l="1"/>
  <c r="AR18" i="15"/>
  <c r="AT17" i="15" l="1"/>
  <c r="AS18" i="15"/>
  <c r="AU17" i="15" l="1"/>
  <c r="AT18" i="15"/>
  <c r="AV17" i="15" l="1"/>
  <c r="AU18" i="15"/>
  <c r="AW17" i="15" l="1"/>
  <c r="AV18" i="15"/>
  <c r="AX17" i="15" l="1"/>
  <c r="AW18" i="15"/>
  <c r="AY17" i="15" l="1"/>
  <c r="AY18" i="15" s="1"/>
  <c r="AX18" i="15"/>
  <c r="X67" i="3" l="1"/>
  <c r="AE58" i="22" s="1"/>
  <c r="X6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Dawid Jarząbek</author>
  </authors>
  <commentList>
    <comment ref="BS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Dawid Jarząbek:</t>
        </r>
        <r>
          <rPr>
            <sz val="9"/>
            <color indexed="81"/>
            <rFont val="Tahoma"/>
            <family val="2"/>
            <charset val="238"/>
          </rPr>
          <t xml:space="preserve">
formuła wyboru schematu</t>
        </r>
      </text>
    </comment>
    <comment ref="BV2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Dawid Jarząbek:</t>
        </r>
        <r>
          <rPr>
            <sz val="9"/>
            <color indexed="81"/>
            <rFont val="Tahoma"/>
            <family val="2"/>
            <charset val="238"/>
          </rPr>
          <t xml:space="preserve">
Lista schematów</t>
        </r>
      </text>
    </comment>
    <comment ref="BW2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Dawid Jarząbek:</t>
        </r>
        <r>
          <rPr>
            <sz val="9"/>
            <color indexed="81"/>
            <rFont val="Tahoma"/>
            <family val="2"/>
            <charset val="238"/>
          </rPr>
          <t xml:space="preserve">
Lista Pomp Ciepła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Dawid Jarząbek</author>
  </authors>
  <commentList>
    <comment ref="A1" authorId="0" shapeId="0" xr:uid="{079E7945-D739-40FA-8B88-962DE9169CF9}">
      <text>
        <r>
          <rPr>
            <b/>
            <sz val="9"/>
            <color indexed="81"/>
            <rFont val="Tahoma"/>
            <family val="2"/>
            <charset val="238"/>
          </rPr>
          <t>Dawid Jarząbek:</t>
        </r>
        <r>
          <rPr>
            <sz val="9"/>
            <color indexed="81"/>
            <rFont val="Tahoma"/>
            <family val="2"/>
            <charset val="238"/>
          </rPr>
          <t xml:space="preserve">
Lista schematów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<sst xmlns="http://schemas.openxmlformats.org/spreadsheetml/2006/main" count="1896" uniqueCount="1099">
  <si>
    <t>szt</t>
  </si>
  <si>
    <t>GZ 1' PP32</t>
  </si>
  <si>
    <t>Zbiornik CWU</t>
  </si>
  <si>
    <t>Pompa Obiegowa</t>
  </si>
  <si>
    <t>Przepona</t>
  </si>
  <si>
    <t>Nacz.Przep. 24l</t>
  </si>
  <si>
    <t>Nacz.Przep. 35l</t>
  </si>
  <si>
    <t>Miedź</t>
  </si>
  <si>
    <t>Ocynk</t>
  </si>
  <si>
    <t>Stal</t>
  </si>
  <si>
    <t>Rury</t>
  </si>
  <si>
    <t>Nierdzewne</t>
  </si>
  <si>
    <t>PEX</t>
  </si>
  <si>
    <t>PP</t>
  </si>
  <si>
    <t>średnice</t>
  </si>
  <si>
    <t>Pompa Ciepła</t>
  </si>
  <si>
    <t>Naczynie przeponowe</t>
  </si>
  <si>
    <t>H6</t>
  </si>
  <si>
    <t>Zbiornik Buforowy</t>
  </si>
  <si>
    <t xml:space="preserve">H10 </t>
  </si>
  <si>
    <t>Obieg 1</t>
  </si>
  <si>
    <t>Obieg 2</t>
  </si>
  <si>
    <t>Obieg 3</t>
  </si>
  <si>
    <t>Obieg 4</t>
  </si>
  <si>
    <t>Podłogówka</t>
  </si>
  <si>
    <t>Grzejniki</t>
  </si>
  <si>
    <t>Rodzaj</t>
  </si>
  <si>
    <t>pompa</t>
  </si>
  <si>
    <t>zawór mieszający</t>
  </si>
  <si>
    <t>Keller 25-60</t>
  </si>
  <si>
    <t>Zawór mieszający</t>
  </si>
  <si>
    <t>NIE</t>
  </si>
  <si>
    <t>Cyrkulacja</t>
  </si>
  <si>
    <t>Zależne od zastosowanego materiału</t>
  </si>
  <si>
    <t>Rury pomiędzy PC i buforem</t>
  </si>
  <si>
    <t>Bufor</t>
  </si>
  <si>
    <t>nypel red. Mos. 6/4' / 1'</t>
  </si>
  <si>
    <t>śrubunek mos. 1'</t>
  </si>
  <si>
    <t>zawór kulowy</t>
  </si>
  <si>
    <t>możliwość wyboru kątowego</t>
  </si>
  <si>
    <t>W zależności od ilośći układów (2)</t>
  </si>
  <si>
    <t>Korek 6/4' mos.</t>
  </si>
  <si>
    <t>Korek 1/2' mos.</t>
  </si>
  <si>
    <t>Kapilara 10cm 1/2'</t>
  </si>
  <si>
    <t>-(4+ilość obiegów)</t>
  </si>
  <si>
    <t>-2</t>
  </si>
  <si>
    <t>termomanometr prosty 0-80st C / 2,5bara 1/2'</t>
  </si>
  <si>
    <t>Odpowietrznik auto. 1/2'</t>
  </si>
  <si>
    <t>Red. Mos. 1' / 1/2'</t>
  </si>
  <si>
    <t>lub Red mos.6/4' / 1/2' , Trójnik mos 1'</t>
  </si>
  <si>
    <t>w zależnoći od materiału</t>
  </si>
  <si>
    <t>zaw. Bezp. 1/2' 2,5bar</t>
  </si>
  <si>
    <t>nypel mos. 1/2'</t>
  </si>
  <si>
    <t>nypel red. Mos. 5/4 / 1'</t>
  </si>
  <si>
    <t>zawór kulowy 1'</t>
  </si>
  <si>
    <t>GZ 1/2' PP25</t>
  </si>
  <si>
    <t>Trójnik mos. 1/2'</t>
  </si>
  <si>
    <t>zaw. Bezp. 1/2' 6bar</t>
  </si>
  <si>
    <t>Połączenie wężownic</t>
  </si>
  <si>
    <t>Red. Mos. 5/4' / 1'</t>
  </si>
  <si>
    <t>Kolano PP32</t>
  </si>
  <si>
    <t>Trójnik 1'</t>
  </si>
  <si>
    <t>Nypel 1'</t>
  </si>
  <si>
    <t>1/2'</t>
  </si>
  <si>
    <t>3/4'</t>
  </si>
  <si>
    <t>1'</t>
  </si>
  <si>
    <t>5/4'</t>
  </si>
  <si>
    <t>6/4'</t>
  </si>
  <si>
    <t>2'</t>
  </si>
  <si>
    <t>Schemat nr</t>
  </si>
  <si>
    <t>CWU</t>
  </si>
  <si>
    <t>Materiały przyłączeniowe</t>
  </si>
  <si>
    <t>Elektryka</t>
  </si>
  <si>
    <t>Klimakonwektor</t>
  </si>
  <si>
    <t>---</t>
  </si>
  <si>
    <t>TAK</t>
  </si>
  <si>
    <t>Panasonic 16kW ALLinONE TCAP</t>
  </si>
  <si>
    <t>-</t>
  </si>
  <si>
    <t>Bufor CWU</t>
  </si>
  <si>
    <t>Bufor CO</t>
  </si>
  <si>
    <t>PC</t>
  </si>
  <si>
    <t>schemat</t>
  </si>
  <si>
    <t>Elementy dodatkowe</t>
  </si>
  <si>
    <t>ele dodat</t>
  </si>
  <si>
    <t>kW</t>
  </si>
  <si>
    <t>Schemat</t>
  </si>
  <si>
    <t>WZ</t>
  </si>
  <si>
    <t>zestawienie</t>
  </si>
  <si>
    <t>Baza danych</t>
  </si>
  <si>
    <t>Mosiądz</t>
  </si>
  <si>
    <t>Rurka CWU klienta</t>
  </si>
  <si>
    <t>Rurka z.w.u.</t>
  </si>
  <si>
    <t>H21</t>
  </si>
  <si>
    <t>Keller 25-40</t>
  </si>
  <si>
    <t>C.O. dwa obiegi + C.W.U.</t>
  </si>
  <si>
    <t>Pompa obiegowa 1</t>
  </si>
  <si>
    <t>Pompa obiegowa 2</t>
  </si>
  <si>
    <t>Pompa obiegowa 3</t>
  </si>
  <si>
    <t>Pompa obiegowa 4</t>
  </si>
  <si>
    <t>zawór 3-drogowy AZV</t>
  </si>
  <si>
    <t>półśrubunek wodomierzowy 1'/1'</t>
  </si>
  <si>
    <t>uszczelka wodomierzowa 3/4'</t>
  </si>
  <si>
    <t>Kolumna1</t>
  </si>
  <si>
    <t>fi</t>
  </si>
  <si>
    <t>L</t>
  </si>
  <si>
    <t>min</t>
  </si>
  <si>
    <t>Cordivari 300</t>
  </si>
  <si>
    <t>l</t>
  </si>
  <si>
    <t>Cordivari Bolly2 300</t>
  </si>
  <si>
    <t>odpowietrznik</t>
  </si>
  <si>
    <t>naczynie przeponowe</t>
  </si>
  <si>
    <t>Odpowitrznik wężownicy</t>
  </si>
  <si>
    <t>zawór 3drożny</t>
  </si>
  <si>
    <t>dopuszczanie do układu</t>
  </si>
  <si>
    <t>węzyk 1/2 60cm</t>
  </si>
  <si>
    <t>zawór kulowy 1/2'</t>
  </si>
  <si>
    <t>zawór zwrotny 1/2'</t>
  </si>
  <si>
    <t>GZ 1/2 PP32</t>
  </si>
  <si>
    <t>nypel 1/2'</t>
  </si>
  <si>
    <t>Katowice</t>
  </si>
  <si>
    <t>-20</t>
  </si>
  <si>
    <t>-17</t>
  </si>
  <si>
    <t>-16</t>
  </si>
  <si>
    <t>-15</t>
  </si>
  <si>
    <t>-14</t>
  </si>
  <si>
    <t>-13</t>
  </si>
  <si>
    <t>-12</t>
  </si>
  <si>
    <t>-11</t>
  </si>
  <si>
    <t>-10</t>
  </si>
  <si>
    <t>-9</t>
  </si>
  <si>
    <t>-8</t>
  </si>
  <si>
    <t>-7</t>
  </si>
  <si>
    <t>-6</t>
  </si>
  <si>
    <t>-5</t>
  </si>
  <si>
    <t>-4</t>
  </si>
  <si>
    <t>-3</t>
  </si>
  <si>
    <t>-1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</si>
  <si>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</si>
  <si>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</si>
  <si>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</si>
  <si>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</si>
  <si>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</si>
  <si>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</si>
  <si>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</si>
  <si>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</si>
  <si>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</si>
  <si>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</si>
  <si>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</si>
  <si>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</si>
  <si>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</si>
  <si>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</si>
  <si>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</si>
  <si>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</si>
  <si>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</si>
  <si>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</si>
  <si>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</si>
  <si>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</si>
  <si>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</si>
  <si>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</si>
  <si>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</si>
  <si>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</si>
  <si>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</si>
  <si>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</si>
  <si>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</si>
  <si>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</si>
  <si>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</si>
  <si>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</si>
  <si>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</si>
  <si>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</si>
  <si>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</si>
  <si>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</si>
  <si>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</si>
  <si>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</si>
  <si>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</si>
  <si>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</si>
  <si>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</si>
  <si>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</si>
  <si>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</si>
  <si>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</si>
  <si>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</si>
  <si>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dane meteo</t>
  </si>
  <si>
    <t>Temperatura zewnętrzna</t>
  </si>
  <si>
    <t>ilość godzin</t>
  </si>
  <si>
    <t>Lokalizacja</t>
  </si>
  <si>
    <t>wykres pompy1</t>
  </si>
  <si>
    <t>wykres pompy2</t>
  </si>
  <si>
    <t>wykres grzałki1</t>
  </si>
  <si>
    <t>wykres grzałki2</t>
  </si>
  <si>
    <t>chłodzenie</t>
  </si>
  <si>
    <t>Panasonic 5kW ALLinONE HP</t>
  </si>
  <si>
    <t>Panasonic 16kW T-CAP 3F</t>
  </si>
  <si>
    <t>grzanie</t>
  </si>
  <si>
    <t>suma PC</t>
  </si>
  <si>
    <t>suma Grzałek</t>
  </si>
  <si>
    <t>temp. Zał. PC</t>
  </si>
  <si>
    <t>st</t>
  </si>
  <si>
    <t>kWh</t>
  </si>
  <si>
    <t>Panasonic HP 5kW</t>
  </si>
  <si>
    <t>koszt ogrzewania PC</t>
  </si>
  <si>
    <t>zł</t>
  </si>
  <si>
    <t>koszt ogrzewania grzałką</t>
  </si>
  <si>
    <t>suma</t>
  </si>
  <si>
    <t>Panasonic HP 12kW 3F</t>
  </si>
  <si>
    <t>Panasonic 9kW  T-CAP 1F</t>
  </si>
  <si>
    <t>Panasonic HP 3kW</t>
  </si>
  <si>
    <t>Panasonic HP 7kW</t>
  </si>
  <si>
    <t>Panasonic HP 9kW 1F</t>
  </si>
  <si>
    <t>Wydajność grzewcza</t>
  </si>
  <si>
    <t>SCOP</t>
  </si>
  <si>
    <t>Gwarancja</t>
  </si>
  <si>
    <t>Grzałka</t>
  </si>
  <si>
    <t>producent</t>
  </si>
  <si>
    <t>j.wew</t>
  </si>
  <si>
    <t>j.zew</t>
  </si>
  <si>
    <t>fazy</t>
  </si>
  <si>
    <t>c.zak</t>
  </si>
  <si>
    <t>E-20</t>
  </si>
  <si>
    <t>E-15</t>
  </si>
  <si>
    <t>E-7</t>
  </si>
  <si>
    <t>E-2</t>
  </si>
  <si>
    <t>E2</t>
  </si>
  <si>
    <t>E7</t>
  </si>
  <si>
    <t>E12</t>
  </si>
  <si>
    <t>E15</t>
  </si>
  <si>
    <t>E20</t>
  </si>
  <si>
    <t>PC_zdjęcie</t>
  </si>
  <si>
    <t>gwarancja</t>
  </si>
  <si>
    <t>WH-ADC0309J3E5</t>
  </si>
  <si>
    <t>WH-UD05JE5</t>
  </si>
  <si>
    <t>Panasonic 7kW ALLinONE HP</t>
  </si>
  <si>
    <t>WH-UD07JE5</t>
  </si>
  <si>
    <t>Panasonic 9kW ALLinONE HP 1F</t>
  </si>
  <si>
    <t>WH-UD09JE5-1</t>
  </si>
  <si>
    <t>WH-ADC1216H6E5</t>
  </si>
  <si>
    <t>WH-UX09HE5</t>
  </si>
  <si>
    <t>Panasonic 9kW ALLinONE HP 3F</t>
  </si>
  <si>
    <t>WH-ADC0916H9E8</t>
  </si>
  <si>
    <t>WH-UD09HE8</t>
  </si>
  <si>
    <t>Panasonic 12kW ALLinONE TCAP 1F</t>
  </si>
  <si>
    <t>WH-UX12HE5</t>
  </si>
  <si>
    <t>Panasonic 12kW ALLinONE TCAP 3F</t>
  </si>
  <si>
    <t>WH-UX12HE8</t>
  </si>
  <si>
    <t>WH-UX16HE8</t>
  </si>
  <si>
    <t>WH-SXC09H3E5</t>
  </si>
  <si>
    <t>Panasonic 9kW  T-CAP 3F</t>
  </si>
  <si>
    <t>WH-SXC09H3E8</t>
  </si>
  <si>
    <t>WH-UX09HE8</t>
  </si>
  <si>
    <t>Panasonic 12kW  T-CAP 3F</t>
  </si>
  <si>
    <t>WH-SXC12H9E8</t>
  </si>
  <si>
    <t>WH-SXC16H9E8</t>
  </si>
  <si>
    <t>WH-SDC0305J3E5</t>
  </si>
  <si>
    <t>WH-UD03JE5</t>
  </si>
  <si>
    <t>WH-SDC0709J3E5</t>
  </si>
  <si>
    <t>Panasonic HP 9kW 3F</t>
  </si>
  <si>
    <t>WH-SDC09H3E8</t>
  </si>
  <si>
    <t>WH-SDC12H9E8</t>
  </si>
  <si>
    <t>WH-UD12HE8</t>
  </si>
  <si>
    <t>WH-SDC16H9E8</t>
  </si>
  <si>
    <t>WH-UD16HE8</t>
  </si>
  <si>
    <t>Panasonic Mono 7kW HP</t>
  </si>
  <si>
    <t>Panasonic Mono 9kW TCAP 1F</t>
  </si>
  <si>
    <t>Panasonic Mono 16kW TCAP</t>
  </si>
  <si>
    <t>WH-MXC16H9E8</t>
  </si>
  <si>
    <t>LG 7kW</t>
  </si>
  <si>
    <t>LG 9kW</t>
  </si>
  <si>
    <t>PDF</t>
  </si>
  <si>
    <t>wykres</t>
  </si>
  <si>
    <t>C.O. jeden obieg</t>
  </si>
  <si>
    <t>C.O. dwa obiegi</t>
  </si>
  <si>
    <t>C.O. dwa obiegi bez bufora+ C.W.U.</t>
  </si>
  <si>
    <t>C.O. jeden obieg + C.W.U.</t>
  </si>
  <si>
    <t>biwalentny 2 układy + CWU</t>
  </si>
  <si>
    <t>biwalentny 1 układy + CWU</t>
  </si>
  <si>
    <t>biwalentny kombinowany + CWU</t>
  </si>
  <si>
    <t>Inny</t>
  </si>
  <si>
    <t>Nazwa</t>
  </si>
  <si>
    <t>wezownica</t>
  </si>
  <si>
    <t>ilosc_wezownic</t>
  </si>
  <si>
    <t>Kolumna10</t>
  </si>
  <si>
    <t>wsp</t>
  </si>
  <si>
    <t>fi_wez1</t>
  </si>
  <si>
    <t>fi_wez2</t>
  </si>
  <si>
    <t>c_w</t>
  </si>
  <si>
    <t>z_w</t>
  </si>
  <si>
    <t>cyrk</t>
  </si>
  <si>
    <t>kap</t>
  </si>
  <si>
    <t>grzałka</t>
  </si>
  <si>
    <t>korek</t>
  </si>
  <si>
    <t>Wbudowany w jednostce wewnetrznej</t>
  </si>
  <si>
    <t>Galmet SGW(S) MAXI 250</t>
  </si>
  <si>
    <t>Galmet SGW(S) MAXI 300</t>
  </si>
  <si>
    <t>Galmet SGW(S) MAXI 400</t>
  </si>
  <si>
    <t>Galmet SGW(S) MAXI 500</t>
  </si>
  <si>
    <t>Galmet SGW(S) MAXI PLUS 300</t>
  </si>
  <si>
    <t>1/2.2</t>
  </si>
  <si>
    <t>Galmet SGW(S) MAXI PLUS 400</t>
  </si>
  <si>
    <t>1.5/3.8</t>
  </si>
  <si>
    <t>Galmet SGW(S) MAXI PLUS 500</t>
  </si>
  <si>
    <t>1.8/4.8</t>
  </si>
  <si>
    <t>Sunex Fish S15 PC 300</t>
  </si>
  <si>
    <t>Sunex Fish S15 PC 400</t>
  </si>
  <si>
    <t>Sunex Fish S16 PC 300</t>
  </si>
  <si>
    <t>Sunex Fish S16 PC 400</t>
  </si>
  <si>
    <t>1.5/3.2</t>
  </si>
  <si>
    <t>Sunex Fish S15 PC 300lx2</t>
  </si>
  <si>
    <t>2x3.4</t>
  </si>
  <si>
    <t>Sunex Fish S15 PC 300lx3</t>
  </si>
  <si>
    <t>3x3,4</t>
  </si>
  <si>
    <t>Cordivari Bolly2 200</t>
  </si>
  <si>
    <t>Galmet SG(B) 400</t>
  </si>
  <si>
    <t>Galmet SGW(S) Tower 200</t>
  </si>
  <si>
    <t>Galmet SGW(S) Tower 250</t>
  </si>
  <si>
    <t>Galmet SGW(S) Tower 300</t>
  </si>
  <si>
    <t>Galmet SGW(S) Tower 400</t>
  </si>
  <si>
    <t>Galmet SGW(S) Tower 500</t>
  </si>
  <si>
    <t>Galmet SGW(S) Mini Tower 100</t>
  </si>
  <si>
    <t>Galmet SGW(S) Mini Tower 120</t>
  </si>
  <si>
    <t>Galmet SGW(S) Mini Tower 140</t>
  </si>
  <si>
    <t>Galmet SGW(S)B Tower Biwal 200</t>
  </si>
  <si>
    <t>0.7/1</t>
  </si>
  <si>
    <t>Galmet SGW(S)B Tower Biwal 250</t>
  </si>
  <si>
    <t>0.7/1.2</t>
  </si>
  <si>
    <t>Galmet SGW(S)B Tower Biwal 300</t>
  </si>
  <si>
    <t>1.1/1.4</t>
  </si>
  <si>
    <t>Galmet SGW(S)B Tower Biwal 400</t>
  </si>
  <si>
    <t>1.1/1.8</t>
  </si>
  <si>
    <t>nazwa</t>
  </si>
  <si>
    <t>pojemność</t>
  </si>
  <si>
    <t>wężownica</t>
  </si>
  <si>
    <t>ilość wężownic</t>
  </si>
  <si>
    <t>cena K</t>
  </si>
  <si>
    <t>przyłacze ciełej wody</t>
  </si>
  <si>
    <t>przyłącze zimnej wody</t>
  </si>
  <si>
    <t>cyrkulacja</t>
  </si>
  <si>
    <t>kapilara</t>
  </si>
  <si>
    <t>inne</t>
  </si>
  <si>
    <t>Zawór 3-drogowy</t>
  </si>
  <si>
    <t>pompa cyrk. Grunfos</t>
  </si>
  <si>
    <t>pompa cyrk. Omnigena</t>
  </si>
  <si>
    <t>Podstawa Pompy Ciepła</t>
  </si>
  <si>
    <t>Separator Zanieczyszczeń</t>
  </si>
  <si>
    <t>Adapter sieciowy Smart Cloud</t>
  </si>
  <si>
    <t>zas</t>
  </si>
  <si>
    <t>zas_szt</t>
  </si>
  <si>
    <t>powr</t>
  </si>
  <si>
    <t>powr_szt</t>
  </si>
  <si>
    <t>czuj</t>
  </si>
  <si>
    <t>czuj_szt</t>
  </si>
  <si>
    <t>w1</t>
  </si>
  <si>
    <t>Biawar 100</t>
  </si>
  <si>
    <t>Biawar 300</t>
  </si>
  <si>
    <t>Biawar z 1-węż. 300</t>
  </si>
  <si>
    <t>Biawar z 1-węż. 500</t>
  </si>
  <si>
    <t>Cordivari 200</t>
  </si>
  <si>
    <t>Cordivari 500</t>
  </si>
  <si>
    <t>Sunex 1W 300</t>
  </si>
  <si>
    <t>SchematyPC</t>
  </si>
  <si>
    <t>ZbiornikCWU</t>
  </si>
  <si>
    <t>ZbiornikCO</t>
  </si>
  <si>
    <t>nr</t>
  </si>
  <si>
    <t>Temp. Zał. pompy ciepła</t>
  </si>
  <si>
    <t>C</t>
  </si>
  <si>
    <t>m2</t>
  </si>
  <si>
    <t>Chłodzenie</t>
  </si>
  <si>
    <t>Dobór Pompy Ciepła</t>
  </si>
  <si>
    <t>Wycena Instalacji Pompy Ciepła</t>
  </si>
  <si>
    <t>szt.</t>
  </si>
  <si>
    <t>Cena netto</t>
  </si>
  <si>
    <t>Cena brutto</t>
  </si>
  <si>
    <t xml:space="preserve">Vat </t>
  </si>
  <si>
    <t>F</t>
  </si>
  <si>
    <t>Zbiornik buforowy</t>
  </si>
  <si>
    <t>Zbiornik C.W.U.</t>
  </si>
  <si>
    <t>Robocizna</t>
  </si>
  <si>
    <t>oferta ważna do</t>
  </si>
  <si>
    <t>Dane Inwestora</t>
  </si>
  <si>
    <t>Oblicz Zapotrzebowanie budynku</t>
  </si>
  <si>
    <t>Marża</t>
  </si>
  <si>
    <t>Legenda</t>
  </si>
  <si>
    <t>zużycie pompy ciepła [kW]</t>
  </si>
  <si>
    <t>moc pompy ciepła [kW]</t>
  </si>
  <si>
    <t>moc pompy ciepła oraz grzałki [kW]</t>
  </si>
  <si>
    <t>zapotrzebowanie budynku na ciepło</t>
  </si>
  <si>
    <t>zapotrzebowanie budynku na chłód</t>
  </si>
  <si>
    <t>C.O.</t>
  </si>
  <si>
    <t>C.W.U.</t>
  </si>
  <si>
    <t>Całkowity koszt eksploatacji Pompy Ciepła</t>
  </si>
  <si>
    <t>zł/rok</t>
  </si>
  <si>
    <t>cena 1kWh</t>
  </si>
  <si>
    <t>Zapotrzebowanie budynku na C.O.</t>
  </si>
  <si>
    <t>Zapotrzebowanie budynku na C.W.U.</t>
  </si>
  <si>
    <t>CO</t>
  </si>
  <si>
    <t>grzanie CO+CWU</t>
  </si>
  <si>
    <t>zapotrzebowanie na C.W.U.</t>
  </si>
  <si>
    <t>koszt ogrzewania CWU</t>
  </si>
  <si>
    <t>energia wyprodukowana CO</t>
  </si>
  <si>
    <t>-fazowe</t>
  </si>
  <si>
    <t>Gwarancja na urządzenie</t>
  </si>
  <si>
    <t>Schemat Instalacji</t>
  </si>
  <si>
    <t>Obiegi</t>
  </si>
  <si>
    <t>20/</t>
  </si>
  <si>
    <t>Panasonic 9kW ALLinONE TCAP 1F</t>
  </si>
  <si>
    <t>Panasonic Mono 9kW TCAP 3F</t>
  </si>
  <si>
    <t>ściany</t>
  </si>
  <si>
    <t>ocieplenie ścian</t>
  </si>
  <si>
    <t>Ocieplenie dachu</t>
  </si>
  <si>
    <t>ilość osób</t>
  </si>
  <si>
    <t>Rodzaj storalki okiennej</t>
  </si>
  <si>
    <t>Powierzchnia ogrzewana</t>
  </si>
  <si>
    <t>wysokość pomieszczeń</t>
  </si>
  <si>
    <t>m</t>
  </si>
  <si>
    <t>Czy dom jest podpiwniczony</t>
  </si>
  <si>
    <t>dwuszybowa</t>
  </si>
  <si>
    <t>Ilość dzwi wejsciowych</t>
  </si>
  <si>
    <t>Temperatura w pomieszczeniu</t>
  </si>
  <si>
    <t>st C</t>
  </si>
  <si>
    <t>Prysznic</t>
  </si>
  <si>
    <t>Zapotrzebowanie na Wodę</t>
  </si>
  <si>
    <t>temperatury</t>
  </si>
  <si>
    <t>os</t>
  </si>
  <si>
    <t>cegła ceramiczna</t>
  </si>
  <si>
    <t>pustak betonowy</t>
  </si>
  <si>
    <t>pustak ceramiczny</t>
  </si>
  <si>
    <t>drewniany</t>
  </si>
  <si>
    <t>szkieletowy</t>
  </si>
  <si>
    <t>lambda</t>
  </si>
  <si>
    <t>Izolacja</t>
  </si>
  <si>
    <t>Styropian</t>
  </si>
  <si>
    <t>XPS</t>
  </si>
  <si>
    <t>Wełna mineralna</t>
  </si>
  <si>
    <t>beton</t>
  </si>
  <si>
    <t>beton komórkowy</t>
  </si>
  <si>
    <t>Porotherm</t>
  </si>
  <si>
    <t>Ytong</t>
  </si>
  <si>
    <t>piana pur</t>
  </si>
  <si>
    <t>styropian grafitowy</t>
  </si>
  <si>
    <t>Grzanie</t>
  </si>
  <si>
    <t>grubość</t>
  </si>
  <si>
    <t>cm</t>
  </si>
  <si>
    <t>stolarka</t>
  </si>
  <si>
    <t>trójszybowa</t>
  </si>
  <si>
    <t>Wentylacja</t>
  </si>
  <si>
    <t>wentylacja</t>
  </si>
  <si>
    <t>grawitacyjna</t>
  </si>
  <si>
    <t>mechaniczna</t>
  </si>
  <si>
    <t>mechaniczna z odzyskiem ciepła</t>
  </si>
  <si>
    <t>Rodzaj obecnego opału</t>
  </si>
  <si>
    <t>Ilość zużywanego opału</t>
  </si>
  <si>
    <t>Prysznic+Wanna</t>
  </si>
  <si>
    <t>Wanna</t>
  </si>
  <si>
    <t>Silikat</t>
  </si>
  <si>
    <t>żużlobeton</t>
  </si>
  <si>
    <t>straty</t>
  </si>
  <si>
    <t>u ściany</t>
  </si>
  <si>
    <t>u dach</t>
  </si>
  <si>
    <t>U okna</t>
  </si>
  <si>
    <t>U</t>
  </si>
  <si>
    <t>U drzwi</t>
  </si>
  <si>
    <t>budynek</t>
  </si>
  <si>
    <t>parterowy</t>
  </si>
  <si>
    <t>parterowy z poddaszem użytkowym</t>
  </si>
  <si>
    <t>parterowy z poddaszem nieużytkowym</t>
  </si>
  <si>
    <t>piętrowy</t>
  </si>
  <si>
    <t>Rodzaj budynku</t>
  </si>
  <si>
    <t>piętrowy z poddaszem użytkowym</t>
  </si>
  <si>
    <t>U podłogi</t>
  </si>
  <si>
    <t>W</t>
  </si>
  <si>
    <t>Budynek</t>
  </si>
  <si>
    <t>Ocieplenie podłogi</t>
  </si>
  <si>
    <t>B'</t>
  </si>
  <si>
    <t>bez izolacji</t>
  </si>
  <si>
    <t>U podłogi podpiwniczonej</t>
  </si>
  <si>
    <t>u'</t>
  </si>
  <si>
    <t>X</t>
  </si>
  <si>
    <t>ilość                  (1,5 x1,5m)</t>
  </si>
  <si>
    <t>Zewnętrzne Wymiary budynku</t>
  </si>
  <si>
    <t>Dane dotyczące budynku:</t>
  </si>
  <si>
    <t>Zużycie wody/dzień</t>
  </si>
  <si>
    <t>ilość (1,5 x1,5m)</t>
  </si>
  <si>
    <t>Podpis klienta</t>
  </si>
  <si>
    <t>Podpis doradcy</t>
  </si>
  <si>
    <t>Zewnętrzne wymiary budynku</t>
  </si>
  <si>
    <t>Wysokość pomieszczeń</t>
  </si>
  <si>
    <t>Czy dom jest podpiwniczony?</t>
  </si>
  <si>
    <t>Ściany</t>
  </si>
  <si>
    <t>Grubość</t>
  </si>
  <si>
    <t>Opis</t>
  </si>
  <si>
    <t>07/2,5</t>
  </si>
  <si>
    <t>Joule Cyclone INOX 2W 200l</t>
  </si>
  <si>
    <t>Joule Cyclone INOX 2W 250l</t>
  </si>
  <si>
    <t>07/2,8</t>
  </si>
  <si>
    <t>Joule Cyclone INOX 2W 300l</t>
  </si>
  <si>
    <t>Joule Cyclone INOX 1W 200l</t>
  </si>
  <si>
    <t>Joule Cyclone INOX 1W 250l</t>
  </si>
  <si>
    <t>Joule Cyclone INOX 1W 300l</t>
  </si>
  <si>
    <t>07/3,2</t>
  </si>
  <si>
    <t>Sunex Fish S15 PC 200</t>
  </si>
  <si>
    <t>1.2/2.6</t>
  </si>
  <si>
    <t>Projekt wykonał/a</t>
  </si>
  <si>
    <t>Panasonic HP 16kW 3F</t>
  </si>
  <si>
    <t>Biawar 220</t>
  </si>
  <si>
    <t>Cordivari Bolly1 XL</t>
  </si>
  <si>
    <t>Elektromet WGJ_PC 300L</t>
  </si>
  <si>
    <t>Sunex S4 200</t>
  </si>
  <si>
    <t>Sunex S4 500</t>
  </si>
  <si>
    <t>Kospel SWVPC 200/100</t>
  </si>
  <si>
    <t>Biawar BUZ 500/300.93N</t>
  </si>
  <si>
    <t>Materiały na przeróbki</t>
  </si>
  <si>
    <t>EXPLORER AI COIL 270</t>
  </si>
  <si>
    <t>Obecne źródło ciepła</t>
  </si>
  <si>
    <t xml:space="preserve"> TRINNITY ZB 200</t>
  </si>
  <si>
    <t>Projekt wykonał/a:</t>
  </si>
  <si>
    <t xml:space="preserve">Galmet 300l </t>
  </si>
  <si>
    <t>Galmet 200l</t>
  </si>
  <si>
    <t xml:space="preserve"> TRINNITY BW 100</t>
  </si>
  <si>
    <t xml:space="preserve"> TRINNITY ZB 300</t>
  </si>
  <si>
    <t xml:space="preserve"> TRINNITY ZB 500</t>
  </si>
  <si>
    <t xml:space="preserve"> TRINNITY PC1 200</t>
  </si>
  <si>
    <t xml:space="preserve"> TRINNITY PC1 300</t>
  </si>
  <si>
    <t xml:space="preserve"> TRINNITY PC1 500</t>
  </si>
  <si>
    <t>Kospel SV-200</t>
  </si>
  <si>
    <t>OEM CERAMIC 300</t>
  </si>
  <si>
    <t>OEM CERAMIC 200</t>
  </si>
  <si>
    <t>OEM CERAMIC 500</t>
  </si>
  <si>
    <t>OEM CERAMIC 400</t>
  </si>
  <si>
    <t>Joule Cyclone INOX 1W 300l NFC</t>
  </si>
  <si>
    <t>LG 5,5kW</t>
  </si>
  <si>
    <t>WH-UD093JE5-1</t>
  </si>
  <si>
    <t>EHSD-VM6D</t>
  </si>
  <si>
    <t>EHSD-YM9D</t>
  </si>
  <si>
    <t>PUD-SHWM80VAA</t>
  </si>
  <si>
    <t>PUD-SHWM80YAA</t>
  </si>
  <si>
    <t>źródło ciepł,ciepłaciepła</t>
  </si>
  <si>
    <t>Mitsubishi PS-200</t>
  </si>
  <si>
    <t>Sunex S4 300</t>
  </si>
  <si>
    <t>300 (do solarów)</t>
  </si>
  <si>
    <t>400 (do solarów)</t>
  </si>
  <si>
    <t>Panasonic Mono HP 9kW 1F</t>
  </si>
  <si>
    <t>Panasonic Mono HP 12kW 3F</t>
  </si>
  <si>
    <t>WH-MDC12H6E5</t>
  </si>
  <si>
    <t>Volano Termico PDC</t>
  </si>
  <si>
    <t>Projekt instalacji pompy ciepła</t>
  </si>
  <si>
    <t>Parametry budynku</t>
  </si>
  <si>
    <t>x</t>
  </si>
  <si>
    <t>Temperatura w pomieszczeniach</t>
  </si>
  <si>
    <r>
      <rPr>
        <sz val="11"/>
        <color theme="1"/>
        <rFont val="Calibri"/>
        <family val="2"/>
        <charset val="238"/>
      </rPr>
      <t>⁰</t>
    </r>
    <r>
      <rPr>
        <sz val="10.8"/>
        <color theme="1"/>
        <rFont val="Avenir Next LT Pro Light"/>
        <family val="2"/>
        <charset val="238"/>
      </rPr>
      <t>C</t>
    </r>
  </si>
  <si>
    <t>Piwnice</t>
  </si>
  <si>
    <t>Ściany zewnętrzne</t>
  </si>
  <si>
    <t xml:space="preserve">Izolacja ścian </t>
  </si>
  <si>
    <t>Izolacja dachu</t>
  </si>
  <si>
    <t>Izolacja podłogi</t>
  </si>
  <si>
    <t>Stolarka okienna</t>
  </si>
  <si>
    <t>Drzwi zewnętrzne</t>
  </si>
  <si>
    <t>Rodzaj wentylacji</t>
  </si>
  <si>
    <t>Zapotrzebowanie CWU</t>
  </si>
  <si>
    <t xml:space="preserve">Zapotrzebowanie energetyczne </t>
  </si>
  <si>
    <t>C.W.U,</t>
  </si>
  <si>
    <t>Podpis Klienta</t>
  </si>
  <si>
    <t>Podpis Projektanta</t>
  </si>
  <si>
    <t>Obsługa dofinansowań</t>
  </si>
  <si>
    <t>Projektowane urządzenie</t>
  </si>
  <si>
    <t>Jednostka wewnętrzna</t>
  </si>
  <si>
    <t>Jednostka zewętrzna</t>
  </si>
  <si>
    <t>Zasilanie</t>
  </si>
  <si>
    <t>Moc wbudowanej grzałki</t>
  </si>
  <si>
    <t>Rodzaj spalanego opału</t>
  </si>
  <si>
    <t>moc z grzałkami</t>
  </si>
  <si>
    <t>zużycie PC1</t>
  </si>
  <si>
    <t>zużycie PC2</t>
  </si>
  <si>
    <t>zużycie PC</t>
  </si>
  <si>
    <t>zużycie grzałki1</t>
  </si>
  <si>
    <t>zużycie grzałki2</t>
  </si>
  <si>
    <t>zużycie grzałek</t>
  </si>
  <si>
    <t>Rafał Krakowczyk</t>
  </si>
  <si>
    <t>Patrycja Krakowczyk</t>
  </si>
  <si>
    <t>Grundfos Alpha 1 25-40</t>
  </si>
  <si>
    <t>Grundfos Alpha 1 25-60</t>
  </si>
  <si>
    <t>Sprzęgło hydrauliczne Afriso BLH 850</t>
  </si>
  <si>
    <t>Zawór mieszający termostatyczny Afriso ATM 561</t>
  </si>
  <si>
    <t>Zawór mieszający z siłownikiem Afriso ARV 384 + ARM 343</t>
  </si>
  <si>
    <t xml:space="preserve">Zawory do pompy monoblok Calefi </t>
  </si>
  <si>
    <t>Licznik ciepła SuperCal 739</t>
  </si>
  <si>
    <t>Zawór schładzający Regulus DBV</t>
  </si>
  <si>
    <t>Wymiennik płytowy 30kW z izolacją</t>
  </si>
  <si>
    <t xml:space="preserve">Zestaw podłączenia 2 strefy Panasonic </t>
  </si>
  <si>
    <t>Panasonic CZ-NS4P płyta rozszerzeń</t>
  </si>
  <si>
    <t>Panasonic PAW-A2W-TSOD czujnik temperatury zewnętrznej</t>
  </si>
  <si>
    <t>Materiały przyłączeniowe PP</t>
  </si>
  <si>
    <t>Panasonic 200l emaliowany</t>
  </si>
  <si>
    <t>Panasonic 300l emaliowany</t>
  </si>
  <si>
    <t>Panasonic 200l nierdzewny</t>
  </si>
  <si>
    <t>Panasonic 300l nierdzewny</t>
  </si>
  <si>
    <t>Panasonic 50l</t>
  </si>
  <si>
    <t>Panasonic 100l</t>
  </si>
  <si>
    <t>Panasonic 200l</t>
  </si>
  <si>
    <t>Panasonic 300l</t>
  </si>
  <si>
    <t>Transport</t>
  </si>
  <si>
    <t>Powyżej 30km dojazdu wpisujemy ilość km</t>
  </si>
  <si>
    <t>OBLICZENIE ZAPOTRZEBOWANIA BUDYNKU</t>
  </si>
  <si>
    <t>Projektant:</t>
  </si>
  <si>
    <t>tel</t>
  </si>
  <si>
    <t>email</t>
  </si>
  <si>
    <t>rafal.krakowczyk@ampere-solar.pl</t>
  </si>
  <si>
    <t>patrycja.krakowczyk@ampere-solar.pl</t>
  </si>
  <si>
    <t>Zapotrzebowanie energetyczne</t>
  </si>
  <si>
    <t>Wycena</t>
  </si>
  <si>
    <t>os.</t>
  </si>
  <si>
    <t>⁰C</t>
  </si>
  <si>
    <t>PC_poprawiony wzór oferty.xlsm</t>
  </si>
  <si>
    <t>Miesiąc</t>
  </si>
  <si>
    <t>C.O</t>
  </si>
  <si>
    <t>C.W.U</t>
  </si>
  <si>
    <t>Roczny koszt eksploatacji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</si>
  <si>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</si>
  <si>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</si>
  <si>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</si>
  <si>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</si>
  <si>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</si>
  <si>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</si>
  <si>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</si>
  <si>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</si>
  <si>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</si>
  <si>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</si>
  <si>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</si>
  <si>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</si>
  <si>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SUMA</t>
  </si>
  <si>
    <t>NAZWA</t>
  </si>
  <si>
    <t>ILOŚĆ</t>
  </si>
  <si>
    <t>Pompa ciepła</t>
  </si>
  <si>
    <t>Zasobnik C.W.U.</t>
  </si>
  <si>
    <t>Obiegi grzewcze</t>
  </si>
  <si>
    <t>Podstawa pompy ciepła</t>
  </si>
  <si>
    <t>Kod rabatowy</t>
  </si>
  <si>
    <t>Całkowity koszt instalacji brutto</t>
  </si>
  <si>
    <t>Program dofinansowania</t>
  </si>
  <si>
    <t>Ulga termomodernizacyjna</t>
  </si>
  <si>
    <t>kwota</t>
  </si>
  <si>
    <t>Moje Ciepło</t>
  </si>
  <si>
    <t>Czyste powietrze poziom podstawowy</t>
  </si>
  <si>
    <t>Czyste powietrze poziom podwyższony</t>
  </si>
  <si>
    <t>Czyste powietrze poziom najwyższy</t>
  </si>
  <si>
    <t>Cena po dofinansowaniu</t>
  </si>
  <si>
    <t>Termin ważności oferty</t>
  </si>
  <si>
    <t>WH-ADC030J3E5</t>
  </si>
  <si>
    <t>Panasonic 3kW ALLinONE HP</t>
  </si>
  <si>
    <t>Panasonic 12kW ALLinONE HP 3F</t>
  </si>
  <si>
    <t>Panasonic 16kW ALLinONE HP 3F</t>
  </si>
  <si>
    <t>Panasonic 16kW ALLinONE HP 1F</t>
  </si>
  <si>
    <t>Panasonic 12kW ALLinONE HP 1F</t>
  </si>
  <si>
    <t>WH-UD16HE5</t>
  </si>
  <si>
    <t>WH-UD12HE5</t>
  </si>
  <si>
    <t>WH-SDC12H6E5</t>
  </si>
  <si>
    <t>Panasonic HP 12kW 1F</t>
  </si>
  <si>
    <t>Panasonic HP 16kW 1F</t>
  </si>
  <si>
    <t>WH-SDC16H6E5</t>
  </si>
  <si>
    <t>Panasonic Mono 5kW HP</t>
  </si>
  <si>
    <t>WH-MDC05J3E5</t>
  </si>
  <si>
    <t>WH-MDC07J3E5</t>
  </si>
  <si>
    <t>WH-MDC09J3E5</t>
  </si>
  <si>
    <t>Panasonic Mono HP 16kW 3F</t>
  </si>
  <si>
    <t>WH-MDC16H6E5</t>
  </si>
  <si>
    <t>WH-MXC09J3E5</t>
  </si>
  <si>
    <t>WH-MXC09J3E8</t>
  </si>
  <si>
    <t>Panasonic Mono 12kW TCAP 3F</t>
  </si>
  <si>
    <t>WH-MXC12J9E8</t>
  </si>
  <si>
    <t>WH-MXC12J6E5</t>
  </si>
  <si>
    <t>Panasonic Mono 12kW TCAP 1F</t>
  </si>
  <si>
    <t>HN091MR.NK5</t>
  </si>
  <si>
    <t>HU051MR.U44</t>
  </si>
  <si>
    <t>HU071MR.U44</t>
  </si>
  <si>
    <t>HU091MR.U44</t>
  </si>
  <si>
    <t>HN1636M.NK5</t>
  </si>
  <si>
    <t>HU123MA.U33</t>
  </si>
  <si>
    <t>HU121MA.U33</t>
  </si>
  <si>
    <t>HN1616M.NK5</t>
  </si>
  <si>
    <t>LG 12kW 1F</t>
  </si>
  <si>
    <t>LG 12kW 3F</t>
  </si>
  <si>
    <t>LG 14kW 3F</t>
  </si>
  <si>
    <t>LG 14kW 1F</t>
  </si>
  <si>
    <t>HU141MA.U33</t>
  </si>
  <si>
    <t>HU143MA.U33</t>
  </si>
  <si>
    <t>HU161MA.U33</t>
  </si>
  <si>
    <t>HU163MA.U33</t>
  </si>
  <si>
    <t>LG 16kW 1F</t>
  </si>
  <si>
    <t>LG 16kW 3F</t>
  </si>
  <si>
    <t>LG All in One 7kW</t>
  </si>
  <si>
    <t>LG All in One 9kW</t>
  </si>
  <si>
    <t>LG All in One 5,5kW</t>
  </si>
  <si>
    <t>HN0913T.NK0</t>
  </si>
  <si>
    <t>LG Silence Supreme 5kW monoblok</t>
  </si>
  <si>
    <t>LG Silence Supreme 7kW monoblok</t>
  </si>
  <si>
    <t>LG Silence Supreme 9kW monoblok</t>
  </si>
  <si>
    <t>LG Silence Supreme 12kW monoblok 1F</t>
  </si>
  <si>
    <t>LG Silence Supreme 12kW monoblok 3F</t>
  </si>
  <si>
    <t>LG Silence Supreme 14kW monoblok 1F</t>
  </si>
  <si>
    <t>LG Silence Supreme 14kW monoblok 3F</t>
  </si>
  <si>
    <t>LG Silence Supreme 16kW monoblok 1F</t>
  </si>
  <si>
    <t>LG Silence Supreme 16kW monoblok 3F</t>
  </si>
  <si>
    <t>HM051MR</t>
  </si>
  <si>
    <t>HM163MR</t>
  </si>
  <si>
    <t>HM161MR</t>
  </si>
  <si>
    <t>HM143MR</t>
  </si>
  <si>
    <t>HM141MR</t>
  </si>
  <si>
    <t>HM123MR</t>
  </si>
  <si>
    <t>HM121MR</t>
  </si>
  <si>
    <t>HM091MR</t>
  </si>
  <si>
    <t>HM071MR</t>
  </si>
  <si>
    <t>Samsung EHS SPLIT 4,4kW</t>
  </si>
  <si>
    <t>AE090RNYDEG/EU</t>
  </si>
  <si>
    <t>AE040RXEDEG/EU</t>
  </si>
  <si>
    <t>Samsung EHS SPLIT 6kW</t>
  </si>
  <si>
    <t>Samsung EHS SPLIT 9kW 1F</t>
  </si>
  <si>
    <t>Samsung EHS SPLIT 9kW 3F</t>
  </si>
  <si>
    <t>Samsung EHS SPLIT 12kW 1F</t>
  </si>
  <si>
    <t>Samsung EHS SPLIT 12kW 3F</t>
  </si>
  <si>
    <t>Samsung EHS SPLIT 16kW 1F</t>
  </si>
  <si>
    <t>Samsung EHS SPLIT 16kW 3F</t>
  </si>
  <si>
    <t>Samsung EHS SPLIT 4,4kW ClimateHub 200</t>
  </si>
  <si>
    <t>Samsung EHS SPLIT 6kW ClimateHub 200</t>
  </si>
  <si>
    <t>Samsung EHS SPLIT 9kW ClimateHub 200</t>
  </si>
  <si>
    <t>Samsung EHS SPLIT 4,4kW ClimateHub 260</t>
  </si>
  <si>
    <t xml:space="preserve">Samsung EHS SPLIT 6kW ClimateHub 260 </t>
  </si>
  <si>
    <t>Samsung EHS SPLIT 9kW ClimateHub 260 3F</t>
  </si>
  <si>
    <t>Samsung EHS SPLIT 9kW ClimateHub 260 1F</t>
  </si>
  <si>
    <t>AE090RNYDGG/EU</t>
  </si>
  <si>
    <t>AE160ANYDEH/EU</t>
  </si>
  <si>
    <t>AE160ANYDGH/EU</t>
  </si>
  <si>
    <t>AE060RXEDEG/EU</t>
  </si>
  <si>
    <t>AE090RXEDEG/EU</t>
  </si>
  <si>
    <t>AE090RXEDGG/EU</t>
  </si>
  <si>
    <t>AE120AXEDEH/EU</t>
  </si>
  <si>
    <t>AE120AXEDGH/EU</t>
  </si>
  <si>
    <t>AE160AXEDEH/EU</t>
  </si>
  <si>
    <t>AE160AXEDGH/EU</t>
  </si>
  <si>
    <t>Samsung EHS Mono Standard 5kW</t>
  </si>
  <si>
    <t>Samsung EHS Mono Standard 8kW 3F</t>
  </si>
  <si>
    <t>Samsung EHS Mono Standard 12kW 3F</t>
  </si>
  <si>
    <t>Samsung EHS Mono Standard 16kW 1F</t>
  </si>
  <si>
    <t>Samsung EHS Mono Standard 12kW 1F</t>
  </si>
  <si>
    <t>Samsung EHS Mono Standard 8kW 1F</t>
  </si>
  <si>
    <t>Samsung EHS Mono Standard 16kW 3F</t>
  </si>
  <si>
    <t>AE050RXYDEG/EU</t>
  </si>
  <si>
    <t xml:space="preserve">AE080RXYDEG/EU </t>
  </si>
  <si>
    <t>AE120RXYDEG/EU</t>
  </si>
  <si>
    <t>AE160RXYDEG/EU</t>
  </si>
  <si>
    <t xml:space="preserve">AE080RXYDGG/EU </t>
  </si>
  <si>
    <t>AE120RXYDGG/EU</t>
  </si>
  <si>
    <t>AE160RXYDGG/EU</t>
  </si>
  <si>
    <t>Samsung EHS Mono ClimateHub 200 5kW</t>
  </si>
  <si>
    <t>Samsung EHS Mono ClimateHub 200 8kW</t>
  </si>
  <si>
    <t>Samsung EHS Mono ClimateHub 200 12kW</t>
  </si>
  <si>
    <t>Samsung EHS Mono ClimateHub 200 16kW</t>
  </si>
  <si>
    <t>Samsung EHS Mono ClimateHub 260 8kW 1F</t>
  </si>
  <si>
    <t>Samsung EHS Mono ClimateHub 260 12kW 1F</t>
  </si>
  <si>
    <t>Samsung EHS Mono ClimateHub 260 16kW 1F</t>
  </si>
  <si>
    <t>Samsung EHS Mono ClimateHub 260 16kW 3F</t>
  </si>
  <si>
    <t>Samsung EHS Mono ClimateHub 260 12kW 3F</t>
  </si>
  <si>
    <t>Samsung EHS Mono ClimateHub 260 8kW 3F</t>
  </si>
  <si>
    <t>AE200RNWMEG/EU</t>
  </si>
  <si>
    <t>AE260RNWMEG/EU</t>
  </si>
  <si>
    <t>AE260RNWMGG/EU</t>
  </si>
  <si>
    <t>AE080RXYDGG/EU</t>
  </si>
  <si>
    <t>AE080RXYDEG/EU</t>
  </si>
  <si>
    <t>Samsung HT QUIET ClimateHub 200 8kW 1F</t>
  </si>
  <si>
    <t>Samsung HT QUIET ClimateHub 200 12kW 1F</t>
  </si>
  <si>
    <t>Samsung HT QUIET ClimateHub 200 14kW 1F</t>
  </si>
  <si>
    <t>Samsung HT QUIET ClimateHub 260 14kW 1F</t>
  </si>
  <si>
    <t>Samsung HT QUIET ClimateHub 260 8kW 1F</t>
  </si>
  <si>
    <t>Samsung HT QUIET ClimateHub 260 12kW 1F</t>
  </si>
  <si>
    <t>Samsung HT QUIET ClimateHub 260 8kW 3F</t>
  </si>
  <si>
    <t>Samsung HT QUIET ClimateHub 260 12kW 3F</t>
  </si>
  <si>
    <t>Samsung HT QUIET ClimateHub 260 14kW 3F</t>
  </si>
  <si>
    <t xml:space="preserve">AE200RNWMEG/EU </t>
  </si>
  <si>
    <t>AE140BXYDGG/EU</t>
  </si>
  <si>
    <t>AE120BXYDGG/EU</t>
  </si>
  <si>
    <t>AE080BXYDGG/EU</t>
  </si>
  <si>
    <t>AE140BXYDEG/EU</t>
  </si>
  <si>
    <t>AE080BXYDEG/EU</t>
  </si>
  <si>
    <t>AE120BXYDEG/EU</t>
  </si>
  <si>
    <t>Samsung HT QUIET 8kW 1F</t>
  </si>
  <si>
    <t>Samsung HT QUIET 8kW 3F</t>
  </si>
  <si>
    <t>Samsung HT QUIET 12kW 1F</t>
  </si>
  <si>
    <t>Samsung HT QUIET 12kW 3F</t>
  </si>
  <si>
    <t>Samsung HT QUIET 14kW 1F</t>
  </si>
  <si>
    <t>Samsung HT QUIET 14kW 3F</t>
  </si>
  <si>
    <t xml:space="preserve">AE140BXYDEG/EU </t>
  </si>
  <si>
    <t>Toshiba ESTIA 6kW</t>
  </si>
  <si>
    <t>HWT-
P1105XWHT9-E</t>
  </si>
  <si>
    <t>HWT-
1401XWHT6W-E</t>
  </si>
  <si>
    <t>HWT-601HW-E</t>
  </si>
  <si>
    <t>HWT-801HRW-E</t>
  </si>
  <si>
    <t>Toshiba ESTIA 8kW</t>
  </si>
  <si>
    <t>Toshiba ESTIA 11kW</t>
  </si>
  <si>
    <t>Toshiba ESTIA 14kW 1F</t>
  </si>
  <si>
    <t>Toshiba ESTIA 14kW 3F</t>
  </si>
  <si>
    <t>Toshiba ESTIA 14kW POWERFULL 3F</t>
  </si>
  <si>
    <t>HWT-1101HRW-E</t>
  </si>
  <si>
    <t>HWT-1401HW-E</t>
  </si>
  <si>
    <t>HWT-1401H8W-E</t>
  </si>
  <si>
    <t>HWS-P1405H8R-E</t>
  </si>
  <si>
    <t>AE200RNWSEG/EU</t>
  </si>
  <si>
    <t>AE260RNWSEG/EU</t>
  </si>
  <si>
    <t>AE260RNWSGG/EU</t>
  </si>
  <si>
    <t>HWT-601XWHT6W-E</t>
  </si>
  <si>
    <t>HWT-1101XWHT6W-E</t>
  </si>
  <si>
    <t>HWT-1401XWHT6W-E</t>
  </si>
  <si>
    <t>Zużywana energia</t>
  </si>
  <si>
    <t>SUZ-SWM40VA2</t>
  </si>
  <si>
    <t>Mitsubishi Eco Inverter 4kW</t>
  </si>
  <si>
    <t>Mitsubishi Eco Inverter 6kW</t>
  </si>
  <si>
    <t>Mitsubishi Eco Inverter 10kW</t>
  </si>
  <si>
    <t>Mitsubishi Eco Inverter 8kW</t>
  </si>
  <si>
    <t>SUZ-SWM60VA2</t>
  </si>
  <si>
    <t>SUZ-SWM80VA2</t>
  </si>
  <si>
    <t>SUZ-SWM100VA2</t>
  </si>
  <si>
    <t>PUD-SHWM60VAA</t>
  </si>
  <si>
    <t>PUD-SHWM100VAA</t>
  </si>
  <si>
    <t>PUD-SHWM100YAA</t>
  </si>
  <si>
    <t>PUD-SHWM120YAA</t>
  </si>
  <si>
    <t>PUD-SHWM140YAA</t>
  </si>
  <si>
    <t>PUHZ-SHW230YKA</t>
  </si>
  <si>
    <t>ERSE-YM9ED</t>
  </si>
  <si>
    <t>Mitsubishi Zubadan Inverter 6kW</t>
  </si>
  <si>
    <t>Mitsubishi Zubadan Inverter 8kW 1F</t>
  </si>
  <si>
    <t>Mitsubishi Zubadan Inverter 8kW 3F</t>
  </si>
  <si>
    <t>Mitsubishi Zubadan Inverter 10kW 1F</t>
  </si>
  <si>
    <t>Mitsubishi Zubadan Inverter 10kW 3F</t>
  </si>
  <si>
    <t>Mitsubishi Zubadan Inverter 12kW 3F</t>
  </si>
  <si>
    <t>Mitsubishi Zubadan Inverter 14kW 3F</t>
  </si>
  <si>
    <t>Mitsubishi Zubadan Inverter 23kW 3F</t>
  </si>
  <si>
    <t>Toshiba ESTIA 4kW</t>
  </si>
  <si>
    <t>HWT-401HW-E</t>
  </si>
  <si>
    <t>gaz ziemny</t>
  </si>
  <si>
    <t>LPG</t>
  </si>
  <si>
    <t>olej opałowy</t>
  </si>
  <si>
    <t>pellet</t>
  </si>
  <si>
    <t>ekogroszek</t>
  </si>
  <si>
    <t>węgiel kamienny</t>
  </si>
  <si>
    <t>m3</t>
  </si>
  <si>
    <t>kg</t>
  </si>
  <si>
    <t>kWh/m3</t>
  </si>
  <si>
    <t>kWh/l</t>
  </si>
  <si>
    <t>kWh/kg</t>
  </si>
  <si>
    <t>Kolumna2</t>
  </si>
  <si>
    <t>Kolumna3</t>
  </si>
  <si>
    <t>Kolumna4</t>
  </si>
  <si>
    <t>Kolumna5</t>
  </si>
  <si>
    <t>Sprawność źródła ciepła</t>
  </si>
  <si>
    <t>Wartość energetyczna opału</t>
  </si>
  <si>
    <t>Galmet Tower Grand 200</t>
  </si>
  <si>
    <t>Galmet Tower Grand 250</t>
  </si>
  <si>
    <t>Galmet Tower Grand 300</t>
  </si>
  <si>
    <t>Galmet MAXI 250</t>
  </si>
  <si>
    <t>Galmet MAXI 300</t>
  </si>
  <si>
    <t>Galmet MAXI 400</t>
  </si>
  <si>
    <t>Galmet MAXI PLUS 300</t>
  </si>
  <si>
    <t>Galmet MAXI PLUS 400</t>
  </si>
  <si>
    <t>wysokość</t>
  </si>
  <si>
    <t>średnica</t>
  </si>
  <si>
    <t>Galmet Complete (z buforem 135l)</t>
  </si>
  <si>
    <t>Galmet (wiszący) 60</t>
  </si>
  <si>
    <t>Galmet (wiszący) 100</t>
  </si>
  <si>
    <t>Galmet 300l</t>
  </si>
  <si>
    <t>Galmet 400l</t>
  </si>
  <si>
    <t>Galmet 500l</t>
  </si>
  <si>
    <t>Onnline Mega 220</t>
  </si>
  <si>
    <t>Onnline Mega 300</t>
  </si>
  <si>
    <t>Kospel SWP-200</t>
  </si>
  <si>
    <t>Kospel SWP-300</t>
  </si>
  <si>
    <t>Kospel SWPC-300</t>
  </si>
  <si>
    <t>Kospel SWVPC-250/60 (z buforem)</t>
  </si>
  <si>
    <t>Cordivari Bolly 1 XL 200</t>
  </si>
  <si>
    <t>Cordivari Bolly 1 XL 300</t>
  </si>
  <si>
    <t>Sunex FISH S15 200l</t>
  </si>
  <si>
    <t>Sunex  FISH S15 300l</t>
  </si>
  <si>
    <t>Sunex FISH S16 300l</t>
  </si>
  <si>
    <t>Sunex FISH S16 400l</t>
  </si>
  <si>
    <t>Sunex S4 300l</t>
  </si>
  <si>
    <t>Cordivari Puffer VB 200</t>
  </si>
  <si>
    <t>Cordivari Puffer VB 300</t>
  </si>
  <si>
    <t>Cordivari Volano wiszący 100</t>
  </si>
  <si>
    <t>Cordivari Volano stojący 100</t>
  </si>
  <si>
    <t>Cordivari Volano stojący 200</t>
  </si>
  <si>
    <t>Cordivari Volano stojący 300</t>
  </si>
  <si>
    <t>Kospel SVK-100</t>
  </si>
  <si>
    <t>klasa ErP</t>
  </si>
  <si>
    <t>A</t>
  </si>
  <si>
    <t>Kospel SV-300</t>
  </si>
  <si>
    <t>B</t>
  </si>
  <si>
    <t>Termica Economy 250</t>
  </si>
  <si>
    <t>Termica Economy 300</t>
  </si>
  <si>
    <t>Termica Economy 200</t>
  </si>
  <si>
    <t>Weber WS15 200</t>
  </si>
  <si>
    <t>Weber WS15 300</t>
  </si>
  <si>
    <t>Weber WS15 400</t>
  </si>
  <si>
    <t>Weber W4 200</t>
  </si>
  <si>
    <t>Weber W4 300</t>
  </si>
  <si>
    <t>Weber W4 100 (wiszący)</t>
  </si>
  <si>
    <t>Podstawa pompy ciepła Big Foot</t>
  </si>
  <si>
    <t>Podstawa pompy ciepła betonowa</t>
  </si>
  <si>
    <t>Panasonic Kombinowany 230l + 60l</t>
  </si>
  <si>
    <t>LG do All In One</t>
  </si>
  <si>
    <t>Materiały przyłączeniowe Stal PRESS</t>
  </si>
  <si>
    <t>Materiały przyłączeniowe Miedź PRESS</t>
  </si>
  <si>
    <t>Grundfos Alpha 1 25-60 + zawór mieszający</t>
  </si>
  <si>
    <t>IBO 25-60</t>
  </si>
  <si>
    <t>IBO 25-60 + zawór mieszający</t>
  </si>
  <si>
    <t>Wybór zapotrzebowania energetycznego bodynku</t>
  </si>
  <si>
    <t>Według obliczeń</t>
  </si>
  <si>
    <t>Według zużycia opału</t>
  </si>
  <si>
    <t>Mój Prąd 5.0</t>
  </si>
  <si>
    <t>,</t>
  </si>
  <si>
    <t>Weber WS15 500</t>
  </si>
  <si>
    <t>Weber W16 500</t>
  </si>
  <si>
    <t>Panasonic HP 3kW "seria K"</t>
  </si>
  <si>
    <t>WH-UDZ03KE5</t>
  </si>
  <si>
    <t>Panasonic HP 5kW "seria K"</t>
  </si>
  <si>
    <t>Panasonic HP 7kW "seria K"</t>
  </si>
  <si>
    <t>Panasonic HP 9kW "seria K"</t>
  </si>
  <si>
    <t>Panasonic T-CAP 9kW "seria K" 1f</t>
  </si>
  <si>
    <t>Panasonic T-CAP 12kW "seria K" 1f</t>
  </si>
  <si>
    <t>WH-UDZ05KE5</t>
  </si>
  <si>
    <t>WH-UDZ07KE5</t>
  </si>
  <si>
    <t>WH-UDZ09KE5</t>
  </si>
  <si>
    <t>WH-SDC0309K3E5</t>
  </si>
  <si>
    <t>Panasonic HP 5kW "seria L"</t>
  </si>
  <si>
    <t>WH-SDC0509L3E5</t>
  </si>
  <si>
    <t>WH-WDG05LE5</t>
  </si>
  <si>
    <t>WH-WDG07LE5</t>
  </si>
  <si>
    <t>WH-WDG09LE5</t>
  </si>
  <si>
    <t>Panasonic HP 7kW "seria L"</t>
  </si>
  <si>
    <t>Panasonic HP 9kW "seria L"</t>
  </si>
  <si>
    <t>WH-SXC09K3E5</t>
  </si>
  <si>
    <t>WH-UX09KE5</t>
  </si>
  <si>
    <t>WH-SXC12K6E5</t>
  </si>
  <si>
    <t>WH-UX12KE5</t>
  </si>
  <si>
    <t>Panasonic T-CAP 9kW "seria K" 3f</t>
  </si>
  <si>
    <t>Panasonic T-CAP 16kW "seria K" 3f</t>
  </si>
  <si>
    <t>Panasonic T-CAP 12kW "seria K" 3f</t>
  </si>
  <si>
    <t>WH-SXC12K9E8</t>
  </si>
  <si>
    <t>WH-SXC09K3E8</t>
  </si>
  <si>
    <t>WH-UX09KE8</t>
  </si>
  <si>
    <t>WH-UX12KE8</t>
  </si>
  <si>
    <t>WH-SXC19K9E8</t>
  </si>
  <si>
    <t>WH-UX16KE8</t>
  </si>
  <si>
    <t>Panasonic HP 3kW "seria K" All in One</t>
  </si>
  <si>
    <t>Panasonic HP 5kW "seria K" All in One</t>
  </si>
  <si>
    <t>Panasonic HP 7kW "seria K"  All in One</t>
  </si>
  <si>
    <t>Panasonic HP 9kW "seria K"  All in One</t>
  </si>
  <si>
    <t>Weber W16 300</t>
  </si>
  <si>
    <t>VAT</t>
  </si>
  <si>
    <t>Data przygotowania projektu</t>
  </si>
  <si>
    <t>Inwestor:</t>
  </si>
  <si>
    <t>Ampere Sp. z o.o.</t>
  </si>
  <si>
    <t>Stolarka okienna    (1szt = 1,5m x 1,5m)</t>
  </si>
  <si>
    <t>/2023</t>
  </si>
  <si>
    <t>Numer oferty</t>
  </si>
  <si>
    <t>----------</t>
  </si>
  <si>
    <t>inwestor</t>
  </si>
  <si>
    <t>vat</t>
  </si>
  <si>
    <t>osoba prywatna</t>
  </si>
  <si>
    <t>firma</t>
  </si>
  <si>
    <t>Daikin Altherma 3 R 4kW All in One 180l</t>
  </si>
  <si>
    <t>Daikin Altherma 3 R 6kW All in One 180l</t>
  </si>
  <si>
    <t>ERGA04EAV3</t>
  </si>
  <si>
    <t>EHVH04S18E6V</t>
  </si>
  <si>
    <t>ERGA046EAV3H</t>
  </si>
  <si>
    <t>EHVH08S18E6V</t>
  </si>
  <si>
    <t>Rudziczka, Szkolna 23</t>
  </si>
  <si>
    <t>jacurbanek@poczta.onet.pl</t>
  </si>
  <si>
    <t>Daikin EKHWSP200D3V3</t>
  </si>
  <si>
    <t>Daikin Altherma 3 R 4kW Split</t>
  </si>
  <si>
    <t>Daikin Altherma 3 R 6kW Split</t>
  </si>
  <si>
    <t>EHBH04E6V</t>
  </si>
  <si>
    <t>EHBH08E6V</t>
  </si>
  <si>
    <t>pompa cyrkulacyjna Wilo</t>
  </si>
  <si>
    <t>Jan Kowalski</t>
  </si>
  <si>
    <t>POMPA CIEPŁA</t>
  </si>
  <si>
    <t>PRODUCENT</t>
  </si>
  <si>
    <t>MODEL</t>
  </si>
  <si>
    <t>Panasonic</t>
  </si>
  <si>
    <t>LG</t>
  </si>
  <si>
    <t>Daikin</t>
  </si>
  <si>
    <t>SPLIT</t>
  </si>
  <si>
    <t>MONOBLOK</t>
  </si>
  <si>
    <t>ALL IN ONE</t>
  </si>
  <si>
    <t>Jednostka zewnętrzna</t>
  </si>
  <si>
    <t>Moc znamionowa</t>
  </si>
  <si>
    <t>Moc grzałki</t>
  </si>
  <si>
    <t>ELEMENTY DODATKOWE</t>
  </si>
  <si>
    <t>ZASOBNIK CWU</t>
  </si>
  <si>
    <t>ZBIORNIK BUFOROWY</t>
  </si>
  <si>
    <t>LICZBA OBIEGÓW GRZEWCZYCH</t>
  </si>
  <si>
    <t>CYRKULACJA CWU</t>
  </si>
  <si>
    <t>High Performance 3kW Split 1f</t>
  </si>
  <si>
    <t>High Performance 5kW Split 1f</t>
  </si>
  <si>
    <t>High Performance 7kW Split 1f</t>
  </si>
  <si>
    <t>High Performance 9kW Split 1f</t>
  </si>
  <si>
    <t>High Performance 12kW Split 1f</t>
  </si>
  <si>
    <t>High Performance 12kW Split 3f</t>
  </si>
  <si>
    <t>High Performance 16kW Split 1f</t>
  </si>
  <si>
    <t>High Performance 16kW Split 3f</t>
  </si>
  <si>
    <t>T-CAP 9kW Split 1f</t>
  </si>
  <si>
    <t>T-CAP 9kW Split 3f</t>
  </si>
  <si>
    <t>T-CAP 12kW Split 1f</t>
  </si>
  <si>
    <t>T-CAP 12kW Split 3f</t>
  </si>
  <si>
    <t>T-CAP 16kW Split 1f</t>
  </si>
  <si>
    <t>T-CAP 16kW Split 3f</t>
  </si>
  <si>
    <t>Arkusz1</t>
  </si>
  <si>
    <t>High Performance 3kW AiO 1f</t>
  </si>
  <si>
    <t>High Performance 5kW AiO 1f</t>
  </si>
  <si>
    <t>High Performance 7kW AiO 1f</t>
  </si>
  <si>
    <t>High Performance 9kW AiO 1f</t>
  </si>
  <si>
    <t>High Performance 12kW AiO 1f</t>
  </si>
  <si>
    <t>High Performance 12kW AiO 3f</t>
  </si>
  <si>
    <t>High Performance 16kW AiO 1f</t>
  </si>
  <si>
    <t>High Performance 16kW AiO 3f</t>
  </si>
  <si>
    <t>T-CAP 9kW AiO 1f</t>
  </si>
  <si>
    <t>T-CAP 9kW AiO 3f</t>
  </si>
  <si>
    <t>T-CAP 12kW AiO 1f</t>
  </si>
  <si>
    <t>T-CAP 12kW AiO 3f</t>
  </si>
  <si>
    <t>T-CAP 16kW AiO 1f</t>
  </si>
  <si>
    <t>T-CAP 16kW AiO 3f</t>
  </si>
  <si>
    <t>High Performance 3kW Mono 1f</t>
  </si>
  <si>
    <t>High Performance 5kW Mono 1f</t>
  </si>
  <si>
    <t>High Performance 7kW Mono 1f</t>
  </si>
  <si>
    <t>High Performance 9kW Mono 1f</t>
  </si>
  <si>
    <t>High Performance 12kW Mono 1f</t>
  </si>
  <si>
    <t>High Performance 12kW Mono 3f</t>
  </si>
  <si>
    <t>High Performance 16kW Mono 1f</t>
  </si>
  <si>
    <t>High Performance 16kW Mono 3f</t>
  </si>
  <si>
    <t>T-CAP 9kW Mono 1f</t>
  </si>
  <si>
    <t>T-CAP 9kW Mono 3f</t>
  </si>
  <si>
    <t>T-CAP 12kW Mono 1f</t>
  </si>
  <si>
    <t>T-CAP 12kW Mono 3f</t>
  </si>
  <si>
    <t>T-CAP 16kW Mono 1f</t>
  </si>
  <si>
    <t>T-CAP 16kW Mono 3f</t>
  </si>
  <si>
    <t xml:space="preserve"> </t>
  </si>
  <si>
    <t>ThermaV 4kW Split 1f</t>
  </si>
  <si>
    <t>ThermaV 5kW Split 1f</t>
  </si>
  <si>
    <t>ThermaV 6kW Split 1f</t>
  </si>
  <si>
    <t>ThermaV 7kW Split 1f</t>
  </si>
  <si>
    <t>ThermaV 9kW Split 1f</t>
  </si>
  <si>
    <t>ThermaV 12kW Split 1f</t>
  </si>
  <si>
    <t>ThermaV 12kW Split 3f</t>
  </si>
  <si>
    <t>ThermaV 14kW Split 1f</t>
  </si>
  <si>
    <t>ThermaV 14kW Split 3f</t>
  </si>
  <si>
    <t>ThermaV 16kW Split 1f</t>
  </si>
  <si>
    <t>ThermaV 16kW Split 3f</t>
  </si>
  <si>
    <t>ThermaV 4kW IWT 1f</t>
  </si>
  <si>
    <t>ThermaV 5kW IWT 1f</t>
  </si>
  <si>
    <t>ThermaV 6kW IWT 1f</t>
  </si>
  <si>
    <t>ThermaV 7kW IWT 1f</t>
  </si>
  <si>
    <t>ThermaV 9kW IWT 1f</t>
  </si>
  <si>
    <t>ThermaV 12kW IWT 1f</t>
  </si>
  <si>
    <t>ThermaV 12kW IWT 3f</t>
  </si>
  <si>
    <t>ThermaV 14kW IWT 1f</t>
  </si>
  <si>
    <t>ThermaV 14kW IWT 3f</t>
  </si>
  <si>
    <t>ThermaV 16kW IWT 1f</t>
  </si>
  <si>
    <t>ThermaV 16kW IWT 3f</t>
  </si>
  <si>
    <t>Silence Supreme 5kW 1f</t>
  </si>
  <si>
    <t>Silence Supreme 7kW 1f</t>
  </si>
  <si>
    <t>Silence Supreme 9kW 1f</t>
  </si>
  <si>
    <t>Silence Supreme 9kW 3f</t>
  </si>
  <si>
    <t>Silence Supreme 12kW 1f</t>
  </si>
  <si>
    <t>Silence Supreme 12kW 3f</t>
  </si>
  <si>
    <t>Silence Supreme 14kW 1f</t>
  </si>
  <si>
    <t>Silence Supreme 14kW 3f</t>
  </si>
  <si>
    <t>Silence Supreme 16kW 1f</t>
  </si>
  <si>
    <t>Silence Supreme 16kW 3f</t>
  </si>
  <si>
    <t>Altherma 3 R 4kW split 1f</t>
  </si>
  <si>
    <t>Altherma 3 R 6kW split 1f</t>
  </si>
  <si>
    <t>Altherma 3 R 8kW split 1f</t>
  </si>
  <si>
    <t>Altherma 3 R 14kW split 1f</t>
  </si>
  <si>
    <t>Altherma 3 R 11kW split 1f</t>
  </si>
  <si>
    <t>Altherma 3 R 11kW split 3f</t>
  </si>
  <si>
    <t>Altherma 3 R 14kW split 3f</t>
  </si>
  <si>
    <t>Altherma 3 R 16kW split 1f</t>
  </si>
  <si>
    <t>Altherma 3 R 16kW split 3f</t>
  </si>
  <si>
    <t>Altherma 3 R 4kW AiO 1f</t>
  </si>
  <si>
    <t>Altherma 3 R 6kW AiO 1f</t>
  </si>
  <si>
    <t>Altherma 3 R 8kW AiO 1f</t>
  </si>
  <si>
    <t>Altherma 3 R 11kW AiO 1f</t>
  </si>
  <si>
    <t>Altherma 3 R 11kW AiO 3f</t>
  </si>
  <si>
    <t>Altherma 3 R 14kW AiO 1f</t>
  </si>
  <si>
    <t>Altherma 3 R 14kW AiO 3f</t>
  </si>
  <si>
    <t>Altherma 3 R 16kW AiO 1f</t>
  </si>
  <si>
    <t>Altherma 3 R 16kW AiO 3f</t>
  </si>
  <si>
    <t>Altherma 3 R 4kW Mono 1f</t>
  </si>
  <si>
    <t>Altherma 3 R 6kW Mono 1f</t>
  </si>
  <si>
    <t>Altherma 3 R 8kW Mono 1f</t>
  </si>
  <si>
    <t>Altherma 3 R 11kW Mono 1f</t>
  </si>
  <si>
    <t>Altherma 3 R 11kW Mono 3f</t>
  </si>
  <si>
    <t>Altherma 3 R 14kW Mono 1f</t>
  </si>
  <si>
    <t>Altherma 3 R 14kW Mono 3f</t>
  </si>
  <si>
    <t>Altherma 3 R 16kW Mono 1f</t>
  </si>
  <si>
    <t>Altherma 3 R 16kW Mono 3f</t>
  </si>
  <si>
    <t>TYP</t>
  </si>
  <si>
    <t xml:space="preserve">TYP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</si>
</sst>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\ &quot;zł&quot;_-;\-* #,##0\ &quot;zł&quot;_-;_-* &quot;-&quot;??\ &quot;zł&quot;_-;_-@_-"/>
  </numFmts>
  <fonts count="64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Arial"/>
      <family val="2"/>
      <charset val="238"/>
    </font>
    <font>
      <b/>
      <sz val="8"/>
      <name val="Arial"/>
      <family val="2"/>
      <charset val="238"/>
    </font>
    <font>
      <sz val="1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b/>
      <sz val="24"/>
      <color rgb="FFFFC000"/>
      <name val="Avenir Next LT Pro Light"/>
      <family val="2"/>
      <charset val="238"/>
    </font>
    <font>
      <sz val="11"/>
      <color theme="1"/>
      <name val="Avenir Next LT Pro Light"/>
      <family val="2"/>
      <charset val="238"/>
    </font>
    <font>
      <sz val="26"/>
      <color theme="1"/>
      <name val="Avenir Next LT Pro Light"/>
      <family val="2"/>
      <charset val="238"/>
    </font>
    <font>
      <sz val="16"/>
      <color theme="1"/>
      <name val="Avenir Next LT Pro Light"/>
      <family val="2"/>
      <charset val="238"/>
    </font>
    <font>
      <sz val="14"/>
      <color theme="1"/>
      <name val="Avenir Next LT Pro Light"/>
      <family val="2"/>
      <charset val="238"/>
    </font>
    <font>
      <sz val="16"/>
      <color theme="9"/>
      <name val="Avenir Next LT Pro Light"/>
      <family val="2"/>
      <charset val="238"/>
    </font>
    <font>
      <sz val="16"/>
      <color theme="4"/>
      <name val="Avenir Next LT Pro Light"/>
      <family val="2"/>
      <charset val="238"/>
    </font>
    <font>
      <sz val="16"/>
      <color rgb="FFFF0000"/>
      <name val="Avenir Next LT Pro Light"/>
      <family val="2"/>
      <charset val="238"/>
    </font>
    <font>
      <sz val="12"/>
      <color theme="1"/>
      <name val="Avenir Next LT Pro Light"/>
      <family val="2"/>
      <charset val="238"/>
    </font>
    <font>
      <sz val="11"/>
      <color theme="1"/>
      <name val="Avenir Next LT Pro Light"/>
      <family val="2"/>
      <charset val="238"/>
    </font>
    <font>
      <b/>
      <sz val="11"/>
      <color theme="1"/>
      <name val="Avenir Next LT Pro Light"/>
      <family val="2"/>
      <charset val="238"/>
    </font>
    <font>
      <b/>
      <sz val="16"/>
      <color rgb="FFFFC000"/>
      <name val="Avenir Next LT Pro Light"/>
      <family val="2"/>
      <charset val="238"/>
    </font>
    <font>
      <sz val="11"/>
      <color theme="1"/>
      <name val="Calibri"/>
      <family val="2"/>
      <charset val="238"/>
    </font>
    <font>
      <sz val="10.8"/>
      <color theme="1"/>
      <name val="Avenir Next LT Pro Light"/>
      <family val="2"/>
      <charset val="238"/>
    </font>
    <font>
      <b/>
      <sz val="11"/>
      <color theme="1"/>
      <name val="Avenir Next LT Pro Light"/>
      <family val="2"/>
      <charset val="238"/>
    </font>
    <font>
      <b/>
      <sz val="16"/>
      <color rgb="FFFFC000"/>
      <name val="Avenir Next LT Pro Light"/>
      <family val="2"/>
      <charset val="238"/>
    </font>
    <font>
      <b/>
      <sz val="16"/>
      <color theme="1"/>
      <name val="Avenir Next LT Pro Light"/>
      <family val="2"/>
      <charset val="238"/>
    </font>
    <font>
      <b/>
      <sz val="14"/>
      <color theme="1"/>
      <name val="Avenir Next LT Pro Light"/>
      <family val="2"/>
      <charset val="238"/>
    </font>
    <font>
      <sz val="11"/>
      <color theme="1"/>
      <name val="Avenir Next LT Pro"/>
      <family val="2"/>
      <charset val="238"/>
    </font>
    <font>
      <b/>
      <sz val="18"/>
      <color theme="1"/>
      <name val="Avenir Next LT Pro"/>
      <family val="2"/>
      <charset val="238"/>
    </font>
    <font>
      <b/>
      <sz val="20"/>
      <color theme="1"/>
      <name val="Avenir Next LT Pro"/>
      <family val="2"/>
      <charset val="238"/>
    </font>
    <font>
      <sz val="20"/>
      <color theme="1"/>
      <name val="Avenir Next LT Pro Demi"/>
      <family val="2"/>
      <charset val="238"/>
    </font>
    <font>
      <sz val="10"/>
      <color theme="1"/>
      <name val="Avenir Next LT Pro"/>
      <family val="2"/>
      <charset val="238"/>
    </font>
    <font>
      <sz val="12"/>
      <color theme="0" tint="-0.249977111117893"/>
      <name val="Avenir Next LT Pro Demi"/>
      <family val="2"/>
      <charset val="238"/>
    </font>
    <font>
      <sz val="10"/>
      <color theme="1"/>
      <name val="Arial"/>
      <family val="2"/>
      <charset val="238"/>
    </font>
    <font>
      <u/>
      <sz val="14"/>
      <color theme="1"/>
      <name val="Avenir Next LT Pro"/>
      <family val="2"/>
      <charset val="238"/>
    </font>
    <font>
      <sz val="14"/>
      <color theme="1"/>
      <name val="Avenir Next LT Pro"/>
      <family val="2"/>
      <charset val="238"/>
    </font>
    <font>
      <sz val="16"/>
      <color theme="1"/>
      <name val="Avenir Next LT Pro"/>
      <family val="2"/>
      <charset val="238"/>
    </font>
    <font>
      <sz val="12"/>
      <color theme="1"/>
      <name val="Avenir Next LT Pro"/>
      <family val="2"/>
      <charset val="238"/>
    </font>
    <font>
      <sz val="11"/>
      <color theme="0"/>
      <name val="Avenir Next LT Pro"/>
      <family val="2"/>
      <charset val="238"/>
    </font>
    <font>
      <b/>
      <sz val="11"/>
      <color rgb="FFFF0000"/>
      <name val="Avenir Next LT Pro"/>
      <family val="2"/>
      <charset val="238"/>
    </font>
    <font>
      <sz val="11"/>
      <color rgb="FFFF0000"/>
      <name val="Avenir Next LT Pro"/>
      <family val="2"/>
      <charset val="238"/>
    </font>
    <font>
      <b/>
      <sz val="14"/>
      <color theme="2"/>
      <name val="Codec Pro"/>
      <charset val="238"/>
    </font>
    <font>
      <sz val="14"/>
      <color theme="1"/>
      <name val="Codec Pro"/>
      <charset val="238"/>
    </font>
    <font>
      <sz val="14"/>
      <color theme="2"/>
      <name val="Codec Pro"/>
      <charset val="238"/>
    </font>
    <font>
      <sz val="14"/>
      <color rgb="FF002060"/>
      <name val="Codec Pro"/>
      <charset val="238"/>
    </font>
    <font>
      <b/>
      <sz val="14"/>
      <color rgb="FF002060"/>
      <name val="Codec Pro"/>
      <charset val="238"/>
    </font>
    <font>
      <b/>
      <sz val="14"/>
      <color theme="1"/>
      <name val="Codec Pro"/>
      <charset val="238"/>
    </font>
    <font>
      <sz val="14"/>
      <color theme="0"/>
      <name val="Codec Pro"/>
      <charset val="238"/>
    </font>
    <font>
      <b/>
      <sz val="14"/>
      <color theme="0"/>
      <name val="Codec Pro"/>
      <charset val="238"/>
    </font>
    <font>
      <sz val="11"/>
      <color theme="1"/>
      <name val="Codec Pro"/>
      <charset val="238"/>
    </font>
    <font>
      <b/>
      <sz val="11"/>
      <name val="Codec Pro"/>
      <charset val="238"/>
    </font>
    <font>
      <b/>
      <sz val="11"/>
      <color theme="3" tint="-0.249977111117893"/>
      <name val="Codec Pro"/>
      <charset val="238"/>
    </font>
    <font>
      <b/>
      <sz val="14"/>
      <color theme="0" tint="-4.9989318521683403E-2"/>
      <name val="Codec Pro"/>
      <charset val="238"/>
    </font>
    <font>
      <sz val="11"/>
      <name val="Codec Pro"/>
      <charset val="238"/>
    </font>
    <font>
      <sz val="14"/>
      <name val="Codec Pro"/>
      <charset val="238"/>
    </font>
    <font>
      <sz val="12"/>
      <color theme="1"/>
      <name val="Codec Pro News"/>
      <charset val="238"/>
    </font>
    <font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F2F2F2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69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18192D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ck">
        <color indexed="64"/>
      </left>
      <right/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/>
      <diagonal/>
    </border>
    <border>
      <left/>
      <right/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 tint="0.39997558519241921"/>
      </right>
      <top/>
      <bottom style="thin">
        <color theme="6" tint="0.39997558519241921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492">
    <xf numFmtId="0" fontId="0" fillId="0" borderId="0" xfId="0"/>
    <xf numFmtId="0" fontId="0" fillId="0" borderId="1" xfId="0" applyBorder="1"/>
    <xf numFmtId="0" fontId="0" fillId="0" borderId="0" xfId="0" quotePrefix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2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quotePrefix="1" applyFill="1" applyBorder="1"/>
    <xf numFmtId="0" fontId="0" fillId="0" borderId="12" xfId="0" quotePrefix="1" applyBorder="1"/>
    <xf numFmtId="0" fontId="0" fillId="3" borderId="0" xfId="0" applyFill="1"/>
    <xf numFmtId="0" fontId="0" fillId="0" borderId="13" xfId="0" applyBorder="1"/>
    <xf numFmtId="12" fontId="0" fillId="0" borderId="0" xfId="0" applyNumberFormat="1"/>
    <xf numFmtId="0" fontId="0" fillId="4" borderId="13" xfId="0" applyFill="1" applyBorder="1"/>
    <xf numFmtId="0" fontId="0" fillId="4" borderId="13" xfId="0" quotePrefix="1" applyFill="1" applyBorder="1"/>
    <xf numFmtId="0" fontId="0" fillId="0" borderId="13" xfId="0" quotePrefix="1" applyBorder="1"/>
    <xf numFmtId="0" fontId="0" fillId="0" borderId="8" xfId="0" applyBorder="1" applyAlignment="1">
      <alignment horizontal="center"/>
    </xf>
    <xf numFmtId="0" fontId="0" fillId="0" borderId="18" xfId="0" applyBorder="1"/>
    <xf numFmtId="1" fontId="0" fillId="0" borderId="0" xfId="0" applyNumberFormat="1"/>
    <xf numFmtId="2" fontId="0" fillId="0" borderId="19" xfId="0" applyNumberFormat="1" applyBorder="1"/>
    <xf numFmtId="2" fontId="5" fillId="0" borderId="0" xfId="0" applyNumberFormat="1" applyFont="1"/>
    <xf numFmtId="0" fontId="0" fillId="5" borderId="21" xfId="0" applyFill="1" applyBorder="1" applyAlignment="1">
      <alignment vertical="center"/>
    </xf>
    <xf numFmtId="0" fontId="0" fillId="5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0" xfId="0" applyBorder="1" applyAlignment="1">
      <alignment vertical="center"/>
    </xf>
    <xf numFmtId="0" fontId="6" fillId="0" borderId="0" xfId="0" applyFont="1"/>
    <xf numFmtId="0" fontId="7" fillId="0" borderId="24" xfId="0" applyFont="1" applyBorder="1"/>
    <xf numFmtId="2" fontId="8" fillId="0" borderId="0" xfId="0" applyNumberFormat="1" applyFont="1"/>
    <xf numFmtId="0" fontId="0" fillId="0" borderId="19" xfId="0" applyBorder="1"/>
    <xf numFmtId="0" fontId="0" fillId="0" borderId="0" xfId="0" applyAlignment="1">
      <alignment vertical="center"/>
    </xf>
    <xf numFmtId="4" fontId="11" fillId="0" borderId="13" xfId="2" applyNumberFormat="1" applyFont="1" applyBorder="1" applyAlignment="1">
      <alignment horizontal="center" vertical="center"/>
    </xf>
    <xf numFmtId="9" fontId="0" fillId="0" borderId="0" xfId="0" applyNumberFormat="1"/>
    <xf numFmtId="0" fontId="12" fillId="0" borderId="13" xfId="0" applyFont="1" applyBorder="1" applyAlignment="1">
      <alignment vertical="center"/>
    </xf>
    <xf numFmtId="0" fontId="0" fillId="5" borderId="20" xfId="0" applyFill="1" applyBorder="1"/>
    <xf numFmtId="4" fontId="11" fillId="0" borderId="10" xfId="2" applyNumberFormat="1" applyFont="1" applyBorder="1" applyAlignment="1">
      <alignment horizontal="center" vertical="center"/>
    </xf>
    <xf numFmtId="12" fontId="0" fillId="0" borderId="0" xfId="0" quotePrefix="1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5" borderId="28" xfId="0" applyFill="1" applyBorder="1"/>
    <xf numFmtId="0" fontId="0" fillId="0" borderId="32" xfId="0" applyBorder="1"/>
    <xf numFmtId="2" fontId="0" fillId="0" borderId="14" xfId="0" applyNumberFormat="1" applyBorder="1"/>
    <xf numFmtId="0" fontId="0" fillId="0" borderId="14" xfId="0" applyBorder="1"/>
    <xf numFmtId="0" fontId="0" fillId="0" borderId="31" xfId="0" applyBorder="1"/>
    <xf numFmtId="1" fontId="0" fillId="0" borderId="14" xfId="0" applyNumberFormat="1" applyBorder="1"/>
    <xf numFmtId="0" fontId="0" fillId="0" borderId="5" xfId="0" quotePrefix="1" applyBorder="1"/>
    <xf numFmtId="2" fontId="5" fillId="0" borderId="19" xfId="0" applyNumberFormat="1" applyFont="1" applyBorder="1"/>
    <xf numFmtId="0" fontId="0" fillId="10" borderId="33" xfId="0" applyFill="1" applyBorder="1"/>
    <xf numFmtId="0" fontId="0" fillId="0" borderId="33" xfId="0" applyBorder="1"/>
    <xf numFmtId="0" fontId="0" fillId="10" borderId="0" xfId="0" applyFill="1"/>
    <xf numFmtId="2" fontId="6" fillId="0" borderId="0" xfId="0" applyNumberFormat="1" applyFont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13" xfId="0" applyFont="1" applyBorder="1"/>
    <xf numFmtId="0" fontId="16" fillId="0" borderId="25" xfId="0" applyFont="1" applyBorder="1"/>
    <xf numFmtId="0" fontId="16" fillId="0" borderId="26" xfId="0" applyFont="1" applyBorder="1"/>
    <xf numFmtId="0" fontId="16" fillId="0" borderId="27" xfId="0" applyFont="1" applyBorder="1"/>
    <xf numFmtId="0" fontId="16" fillId="0" borderId="2" xfId="0" applyFont="1" applyBorder="1"/>
    <xf numFmtId="0" fontId="16" fillId="0" borderId="3" xfId="0" applyFont="1" applyBorder="1"/>
    <xf numFmtId="0" fontId="16" fillId="0" borderId="4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0" xfId="0" applyFont="1" applyAlignment="1">
      <alignment horizontal="center" vertical="center"/>
    </xf>
    <xf numFmtId="3" fontId="16" fillId="0" borderId="0" xfId="0" applyNumberFormat="1" applyFont="1" applyAlignment="1">
      <alignment vertical="center"/>
    </xf>
    <xf numFmtId="3" fontId="16" fillId="0" borderId="0" xfId="0" applyNumberFormat="1" applyFont="1" applyAlignment="1">
      <alignment horizontal="right"/>
    </xf>
    <xf numFmtId="3" fontId="16" fillId="0" borderId="0" xfId="0" applyNumberFormat="1" applyFont="1"/>
    <xf numFmtId="0" fontId="16" fillId="0" borderId="0" xfId="0" applyFont="1" applyAlignment="1">
      <alignment vertical="center"/>
    </xf>
    <xf numFmtId="14" fontId="16" fillId="0" borderId="0" xfId="0" applyNumberFormat="1" applyFont="1" applyAlignment="1">
      <alignment horizontal="center" vertical="center"/>
    </xf>
    <xf numFmtId="0" fontId="16" fillId="0" borderId="26" xfId="0" applyFont="1" applyBorder="1" applyAlignment="1">
      <alignment horizontal="center"/>
    </xf>
    <xf numFmtId="0" fontId="16" fillId="0" borderId="0" xfId="0" applyFont="1" applyAlignment="1">
      <alignment textRotation="90"/>
    </xf>
    <xf numFmtId="0" fontId="16" fillId="0" borderId="5" xfId="0" applyFont="1" applyBorder="1"/>
    <xf numFmtId="0" fontId="16" fillId="2" borderId="15" xfId="0" applyFont="1" applyFill="1" applyBorder="1"/>
    <xf numFmtId="0" fontId="16" fillId="2" borderId="16" xfId="0" applyFont="1" applyFill="1" applyBorder="1"/>
    <xf numFmtId="0" fontId="16" fillId="2" borderId="17" xfId="0" applyFont="1" applyFill="1" applyBorder="1"/>
    <xf numFmtId="0" fontId="16" fillId="0" borderId="6" xfId="0" applyFont="1" applyBorder="1"/>
    <xf numFmtId="0" fontId="16" fillId="6" borderId="25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8" borderId="5" xfId="0" applyFont="1" applyFill="1" applyBorder="1"/>
    <xf numFmtId="0" fontId="16" fillId="8" borderId="0" xfId="0" applyFont="1" applyFill="1"/>
    <xf numFmtId="0" fontId="16" fillId="8" borderId="6" xfId="0" applyFont="1" applyFill="1" applyBorder="1"/>
    <xf numFmtId="0" fontId="16" fillId="8" borderId="2" xfId="0" applyFont="1" applyFill="1" applyBorder="1"/>
    <xf numFmtId="0" fontId="16" fillId="8" borderId="3" xfId="0" applyFont="1" applyFill="1" applyBorder="1"/>
    <xf numFmtId="0" fontId="16" fillId="8" borderId="4" xfId="0" applyFont="1" applyFill="1" applyBorder="1"/>
    <xf numFmtId="0" fontId="16" fillId="8" borderId="7" xfId="0" applyFont="1" applyFill="1" applyBorder="1"/>
    <xf numFmtId="0" fontId="16" fillId="8" borderId="8" xfId="0" applyFont="1" applyFill="1" applyBorder="1"/>
    <xf numFmtId="0" fontId="16" fillId="8" borderId="9" xfId="0" applyFont="1" applyFill="1" applyBorder="1"/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left"/>
    </xf>
    <xf numFmtId="0" fontId="24" fillId="0" borderId="26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17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29" fillId="0" borderId="0" xfId="0" applyFont="1"/>
    <xf numFmtId="1" fontId="19" fillId="0" borderId="0" xfId="0" applyNumberFormat="1" applyFont="1" applyAlignment="1">
      <alignment horizontal="center" vertical="center"/>
    </xf>
    <xf numFmtId="4" fontId="16" fillId="0" borderId="0" xfId="0" applyNumberFormat="1" applyFont="1" applyAlignment="1">
      <alignment vertical="center"/>
    </xf>
    <xf numFmtId="0" fontId="16" fillId="0" borderId="34" xfId="0" applyFont="1" applyBorder="1"/>
    <xf numFmtId="0" fontId="18" fillId="0" borderId="0" xfId="0" applyFont="1" applyAlignment="1">
      <alignment vertical="center"/>
    </xf>
    <xf numFmtId="3" fontId="29" fillId="0" borderId="0" xfId="0" applyNumberFormat="1" applyFont="1"/>
    <xf numFmtId="0" fontId="4" fillId="0" borderId="0" xfId="1"/>
    <xf numFmtId="9" fontId="0" fillId="0" borderId="0" xfId="3" applyFont="1"/>
    <xf numFmtId="3" fontId="0" fillId="0" borderId="0" xfId="0" applyNumberFormat="1"/>
    <xf numFmtId="0" fontId="0" fillId="5" borderId="22" xfId="0" applyFill="1" applyBorder="1"/>
    <xf numFmtId="0" fontId="0" fillId="5" borderId="23" xfId="0" applyFill="1" applyBorder="1"/>
    <xf numFmtId="2" fontId="0" fillId="0" borderId="23" xfId="0" applyNumberFormat="1" applyBorder="1"/>
    <xf numFmtId="0" fontId="0" fillId="0" borderId="23" xfId="0" applyBorder="1"/>
    <xf numFmtId="2" fontId="0" fillId="0" borderId="38" xfId="0" applyNumberFormat="1" applyBorder="1"/>
    <xf numFmtId="2" fontId="8" fillId="0" borderId="0" xfId="0" applyNumberFormat="1" applyFont="1" applyAlignment="1">
      <alignment wrapText="1"/>
    </xf>
    <xf numFmtId="0" fontId="39" fillId="0" borderId="0" xfId="0" applyFont="1"/>
    <xf numFmtId="0" fontId="33" fillId="0" borderId="0" xfId="0" applyFont="1" applyProtection="1">
      <protection hidden="1"/>
    </xf>
    <xf numFmtId="0" fontId="33" fillId="0" borderId="36" xfId="0" applyFont="1" applyBorder="1" applyProtection="1">
      <protection hidden="1"/>
    </xf>
    <xf numFmtId="2" fontId="33" fillId="0" borderId="0" xfId="0" applyNumberFormat="1" applyFont="1" applyProtection="1">
      <protection hidden="1"/>
    </xf>
    <xf numFmtId="9" fontId="33" fillId="0" borderId="0" xfId="3" applyFont="1" applyProtection="1">
      <protection hidden="1"/>
    </xf>
    <xf numFmtId="0" fontId="33" fillId="0" borderId="5" xfId="0" applyFont="1" applyBorder="1" applyProtection="1">
      <protection hidden="1"/>
    </xf>
    <xf numFmtId="0" fontId="33" fillId="0" borderId="6" xfId="0" applyFont="1" applyBorder="1" applyProtection="1">
      <protection hidden="1"/>
    </xf>
    <xf numFmtId="0" fontId="33" fillId="0" borderId="37" xfId="0" applyFont="1" applyBorder="1" applyProtection="1">
      <protection hidden="1"/>
    </xf>
    <xf numFmtId="0" fontId="33" fillId="12" borderId="0" xfId="0" applyFont="1" applyFill="1" applyProtection="1">
      <protection locked="0" hidden="1"/>
    </xf>
    <xf numFmtId="0" fontId="33" fillId="0" borderId="8" xfId="0" applyFont="1" applyBorder="1" applyProtection="1">
      <protection hidden="1"/>
    </xf>
    <xf numFmtId="0" fontId="33" fillId="12" borderId="8" xfId="0" applyFont="1" applyFill="1" applyBorder="1" applyProtection="1">
      <protection locked="0" hidden="1"/>
    </xf>
    <xf numFmtId="0" fontId="33" fillId="0" borderId="9" xfId="0" applyFont="1" applyBorder="1" applyProtection="1">
      <protection hidden="1"/>
    </xf>
    <xf numFmtId="0" fontId="33" fillId="0" borderId="39" xfId="0" applyFont="1" applyBorder="1" applyProtection="1">
      <protection hidden="1"/>
    </xf>
    <xf numFmtId="0" fontId="33" fillId="12" borderId="0" xfId="0" applyFont="1" applyFill="1" applyProtection="1">
      <protection hidden="1"/>
    </xf>
    <xf numFmtId="1" fontId="33" fillId="0" borderId="0" xfId="0" applyNumberFormat="1" applyFont="1" applyProtection="1">
      <protection hidden="1"/>
    </xf>
    <xf numFmtId="0" fontId="41" fillId="0" borderId="0" xfId="0" applyFont="1" applyAlignment="1" applyProtection="1">
      <alignment vertical="center"/>
      <protection hidden="1"/>
    </xf>
    <xf numFmtId="0" fontId="33" fillId="0" borderId="3" xfId="0" applyFont="1" applyBorder="1" applyProtection="1">
      <protection hidden="1"/>
    </xf>
    <xf numFmtId="0" fontId="33" fillId="0" borderId="4" xfId="0" applyFont="1" applyBorder="1" applyProtection="1">
      <protection hidden="1"/>
    </xf>
    <xf numFmtId="0" fontId="41" fillId="0" borderId="5" xfId="0" applyFont="1" applyBorder="1" applyAlignment="1" applyProtection="1">
      <alignment vertical="center"/>
      <protection hidden="1"/>
    </xf>
    <xf numFmtId="0" fontId="33" fillId="0" borderId="27" xfId="0" applyFont="1" applyBorder="1" applyProtection="1">
      <protection hidden="1"/>
    </xf>
    <xf numFmtId="0" fontId="45" fillId="0" borderId="0" xfId="0" applyFont="1" applyProtection="1">
      <protection hidden="1"/>
    </xf>
    <xf numFmtId="0" fontId="33" fillId="0" borderId="13" xfId="0" applyFont="1" applyBorder="1" applyProtection="1">
      <protection hidden="1"/>
    </xf>
    <xf numFmtId="0" fontId="33" fillId="0" borderId="0" xfId="0" applyFont="1" applyAlignment="1" applyProtection="1">
      <alignment vertical="center"/>
      <protection hidden="1"/>
    </xf>
    <xf numFmtId="0" fontId="33" fillId="0" borderId="0" xfId="0" applyFont="1" applyProtection="1">
      <protection locked="0" hidden="1"/>
    </xf>
    <xf numFmtId="0" fontId="38" fillId="0" borderId="0" xfId="0" applyFont="1" applyAlignment="1" applyProtection="1">
      <alignment horizontal="left"/>
      <protection locked="0" hidden="1"/>
    </xf>
    <xf numFmtId="0" fontId="37" fillId="0" borderId="0" xfId="0" applyFont="1" applyProtection="1">
      <protection hidden="1"/>
    </xf>
    <xf numFmtId="0" fontId="37" fillId="0" borderId="0" xfId="0" applyFont="1" applyAlignment="1" applyProtection="1">
      <alignment vertical="center"/>
      <protection hidden="1"/>
    </xf>
    <xf numFmtId="9" fontId="33" fillId="0" borderId="0" xfId="0" applyNumberFormat="1" applyFont="1" applyProtection="1">
      <protection hidden="1"/>
    </xf>
    <xf numFmtId="0" fontId="10" fillId="0" borderId="0" xfId="0" applyFont="1" applyAlignment="1">
      <alignment horizontal="center" vertical="center" wrapText="1"/>
    </xf>
    <xf numFmtId="0" fontId="0" fillId="0" borderId="0" xfId="0" quotePrefix="1" applyAlignment="1">
      <alignment horizontal="right"/>
    </xf>
    <xf numFmtId="4" fontId="0" fillId="0" borderId="0" xfId="0" applyNumberFormat="1"/>
    <xf numFmtId="0" fontId="0" fillId="6" borderId="0" xfId="0" applyFill="1"/>
    <xf numFmtId="0" fontId="0" fillId="6" borderId="0" xfId="0" quotePrefix="1" applyFill="1" applyAlignment="1">
      <alignment horizontal="right"/>
    </xf>
    <xf numFmtId="0" fontId="10" fillId="6" borderId="0" xfId="0" applyFont="1" applyFill="1" applyAlignment="1">
      <alignment horizontal="center" vertical="center" wrapText="1"/>
    </xf>
    <xf numFmtId="4" fontId="0" fillId="6" borderId="0" xfId="0" applyNumberFormat="1" applyFill="1"/>
    <xf numFmtId="12" fontId="0" fillId="6" borderId="0" xfId="0" applyNumberFormat="1" applyFill="1"/>
    <xf numFmtId="0" fontId="5" fillId="6" borderId="0" xfId="0" applyFont="1" applyFill="1"/>
    <xf numFmtId="4" fontId="11" fillId="0" borderId="0" xfId="2" applyNumberFormat="1" applyFont="1" applyAlignment="1">
      <alignment horizontal="center" vertical="center"/>
    </xf>
    <xf numFmtId="0" fontId="0" fillId="0" borderId="0" xfId="0" applyAlignment="1">
      <alignment horizontal="right"/>
    </xf>
    <xf numFmtId="4" fontId="10" fillId="0" borderId="0" xfId="2" applyNumberFormat="1" applyFont="1" applyAlignment="1">
      <alignment horizontal="center" vertical="center" wrapText="1"/>
    </xf>
    <xf numFmtId="0" fontId="48" fillId="0" borderId="25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26" xfId="0" applyFont="1" applyBorder="1" applyAlignment="1">
      <alignment vertical="center"/>
    </xf>
    <xf numFmtId="0" fontId="48" fillId="0" borderId="27" xfId="0" applyFont="1" applyBorder="1" applyAlignment="1">
      <alignment vertical="center"/>
    </xf>
    <xf numFmtId="0" fontId="49" fillId="14" borderId="0" xfId="0" applyFont="1" applyFill="1" applyAlignment="1">
      <alignment horizontal="center" vertical="center"/>
    </xf>
    <xf numFmtId="1" fontId="50" fillId="0" borderId="13" xfId="0" applyNumberFormat="1" applyFont="1" applyBorder="1" applyAlignment="1">
      <alignment horizontal="center" vertical="center"/>
    </xf>
    <xf numFmtId="1" fontId="50" fillId="0" borderId="13" xfId="4" applyNumberFormat="1" applyFont="1" applyBorder="1" applyAlignment="1" applyProtection="1">
      <alignment horizontal="center" vertical="center"/>
    </xf>
    <xf numFmtId="1" fontId="51" fillId="0" borderId="13" xfId="0" applyNumberFormat="1" applyFont="1" applyBorder="1" applyAlignment="1">
      <alignment horizontal="center" vertical="center"/>
    </xf>
    <xf numFmtId="1" fontId="51" fillId="0" borderId="13" xfId="4" applyNumberFormat="1" applyFont="1" applyBorder="1" applyAlignment="1" applyProtection="1">
      <alignment horizontal="center" vertical="center"/>
    </xf>
    <xf numFmtId="0" fontId="47" fillId="14" borderId="6" xfId="0" applyFont="1" applyFill="1" applyBorder="1"/>
    <xf numFmtId="0" fontId="48" fillId="0" borderId="13" xfId="0" applyFont="1" applyBorder="1" applyAlignment="1">
      <alignment horizontal="center" vertical="center"/>
    </xf>
    <xf numFmtId="0" fontId="48" fillId="0" borderId="0" xfId="0" applyFont="1"/>
    <xf numFmtId="0" fontId="48" fillId="0" borderId="0" xfId="0" applyFont="1" applyAlignment="1">
      <alignment horizontal="center" vertical="center"/>
    </xf>
    <xf numFmtId="2" fontId="48" fillId="0" borderId="0" xfId="0" applyNumberFormat="1" applyFont="1" applyAlignment="1">
      <alignment horizontal="left" vertical="center"/>
    </xf>
    <xf numFmtId="0" fontId="48" fillId="0" borderId="0" xfId="0" applyFont="1" applyAlignment="1">
      <alignment vertical="center"/>
    </xf>
    <xf numFmtId="0" fontId="48" fillId="0" borderId="0" xfId="0" applyFont="1" applyAlignment="1">
      <alignment horizontal="left" vertical="center"/>
    </xf>
    <xf numFmtId="44" fontId="48" fillId="0" borderId="0" xfId="4" applyFont="1" applyAlignment="1" applyProtection="1">
      <alignment vertical="center"/>
    </xf>
    <xf numFmtId="9" fontId="48" fillId="0" borderId="0" xfId="0" applyNumberFormat="1" applyFont="1" applyAlignment="1">
      <alignment horizontal="left" vertical="center"/>
    </xf>
    <xf numFmtId="0" fontId="47" fillId="14" borderId="2" xfId="0" applyFont="1" applyFill="1" applyBorder="1" applyAlignment="1">
      <alignment vertical="center"/>
    </xf>
    <xf numFmtId="0" fontId="47" fillId="14" borderId="5" xfId="0" applyFont="1" applyFill="1" applyBorder="1" applyAlignment="1">
      <alignment vertical="center"/>
    </xf>
    <xf numFmtId="0" fontId="47" fillId="14" borderId="5" xfId="0" applyFont="1" applyFill="1" applyBorder="1" applyAlignment="1">
      <alignment vertical="center" wrapText="1"/>
    </xf>
    <xf numFmtId="0" fontId="47" fillId="14" borderId="7" xfId="0" applyFont="1" applyFill="1" applyBorder="1" applyAlignment="1">
      <alignment vertical="center"/>
    </xf>
    <xf numFmtId="0" fontId="54" fillId="14" borderId="26" xfId="0" applyFont="1" applyFill="1" applyBorder="1" applyAlignment="1">
      <alignment horizontal="left" vertical="center"/>
    </xf>
    <xf numFmtId="0" fontId="54" fillId="14" borderId="27" xfId="0" applyFont="1" applyFill="1" applyBorder="1" applyAlignment="1">
      <alignment horizontal="left" vertical="center"/>
    </xf>
    <xf numFmtId="0" fontId="55" fillId="0" borderId="0" xfId="0" applyFont="1" applyProtection="1">
      <protection hidden="1"/>
    </xf>
    <xf numFmtId="0" fontId="55" fillId="0" borderId="0" xfId="0" applyFont="1" applyProtection="1">
      <protection locked="0" hidden="1"/>
    </xf>
    <xf numFmtId="0" fontId="57" fillId="0" borderId="0" xfId="0" applyFont="1" applyProtection="1">
      <protection hidden="1"/>
    </xf>
    <xf numFmtId="0" fontId="57" fillId="0" borderId="0" xfId="0" applyFont="1" applyProtection="1">
      <protection locked="0" hidden="1"/>
    </xf>
    <xf numFmtId="0" fontId="58" fillId="0" borderId="0" xfId="0" applyFont="1" applyProtection="1">
      <protection hidden="1"/>
    </xf>
    <xf numFmtId="0" fontId="56" fillId="0" borderId="0" xfId="0" applyFont="1" applyProtection="1">
      <protection hidden="1"/>
    </xf>
    <xf numFmtId="3" fontId="58" fillId="0" borderId="0" xfId="0" applyNumberFormat="1" applyFont="1" applyProtection="1">
      <protection hidden="1"/>
    </xf>
    <xf numFmtId="0" fontId="59" fillId="0" borderId="0" xfId="0" applyFont="1" applyAlignment="1" applyProtection="1">
      <alignment vertical="center"/>
      <protection locked="0" hidden="1"/>
    </xf>
    <xf numFmtId="0" fontId="48" fillId="0" borderId="0" xfId="0" applyFont="1" applyAlignment="1">
      <alignment horizontal="left"/>
    </xf>
    <xf numFmtId="0" fontId="53" fillId="0" borderId="0" xfId="0" applyFont="1"/>
    <xf numFmtId="0" fontId="53" fillId="0" borderId="0" xfId="0" applyFont="1" applyAlignment="1">
      <alignment vertical="center"/>
    </xf>
    <xf numFmtId="0" fontId="53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left"/>
      <protection locked="0" hidden="1"/>
    </xf>
    <xf numFmtId="0" fontId="60" fillId="0" borderId="0" xfId="0" applyFont="1" applyAlignment="1" applyProtection="1">
      <alignment horizontal="left" vertical="center"/>
      <protection locked="0" hidden="1"/>
    </xf>
    <xf numFmtId="0" fontId="61" fillId="0" borderId="0" xfId="0" applyFont="1" applyAlignment="1">
      <alignment horizontal="right" vertical="center"/>
    </xf>
    <xf numFmtId="0" fontId="61" fillId="0" borderId="0" xfId="0" applyFont="1" applyAlignment="1">
      <alignment vertical="center"/>
    </xf>
    <xf numFmtId="0" fontId="33" fillId="0" borderId="39" xfId="0" quotePrefix="1" applyFont="1" applyBorder="1" applyProtection="1">
      <protection hidden="1"/>
    </xf>
    <xf numFmtId="9" fontId="33" fillId="0" borderId="0" xfId="3" quotePrefix="1" applyFont="1" applyProtection="1">
      <protection hidden="1"/>
    </xf>
    <xf numFmtId="44" fontId="48" fillId="0" borderId="0" xfId="4" applyFont="1" applyAlignment="1" applyProtection="1"/>
    <xf numFmtId="0" fontId="48" fillId="0" borderId="0" xfId="0" applyFont="1" applyAlignment="1">
      <alignment horizontal="left" wrapText="1"/>
    </xf>
    <xf numFmtId="14" fontId="48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0" borderId="26" xfId="0" applyFont="1" applyBorder="1" applyProtection="1">
      <protection hidden="1"/>
    </xf>
    <xf numFmtId="0" fontId="62" fillId="0" borderId="0" xfId="0" applyFont="1"/>
    <xf numFmtId="0" fontId="62" fillId="0" borderId="0" xfId="0" applyFont="1" applyAlignment="1">
      <alignment horizontal="center" vertical="center"/>
    </xf>
    <xf numFmtId="0" fontId="0" fillId="15" borderId="40" xfId="0" applyFill="1" applyBorder="1"/>
    <xf numFmtId="0" fontId="0" fillId="16" borderId="41" xfId="0" applyFill="1" applyBorder="1"/>
    <xf numFmtId="0" fontId="37" fillId="12" borderId="0" xfId="0" applyFont="1" applyFill="1" applyAlignment="1" applyProtection="1">
      <alignment horizontal="center" vertical="center"/>
      <protection locked="0" hidden="1"/>
    </xf>
    <xf numFmtId="0" fontId="37" fillId="0" borderId="0" xfId="0" applyFont="1" applyAlignment="1" applyProtection="1">
      <alignment horizontal="center" vertical="center"/>
      <protection hidden="1"/>
    </xf>
    <xf numFmtId="9" fontId="37" fillId="0" borderId="0" xfId="3" applyFont="1" applyAlignment="1" applyProtection="1">
      <alignment horizontal="center" vertical="center"/>
      <protection locked="0" hidden="1"/>
    </xf>
    <xf numFmtId="0" fontId="37" fillId="0" borderId="0" xfId="0" applyFont="1" applyAlignment="1" applyProtection="1">
      <alignment horizontal="right" vertical="center"/>
      <protection locked="0" hidden="1"/>
    </xf>
    <xf numFmtId="0" fontId="37" fillId="0" borderId="0" xfId="0" applyFont="1" applyAlignment="1" applyProtection="1">
      <alignment horizontal="left" vertical="center"/>
      <protection locked="0" hidden="1"/>
    </xf>
    <xf numFmtId="0" fontId="37" fillId="12" borderId="0" xfId="0" applyFont="1" applyFill="1" applyAlignment="1" applyProtection="1">
      <alignment horizontal="right" vertical="center"/>
      <protection locked="0" hidden="1"/>
    </xf>
    <xf numFmtId="0" fontId="37" fillId="12" borderId="0" xfId="0" applyFont="1" applyFill="1" applyAlignment="1" applyProtection="1">
      <alignment horizontal="left" vertical="center"/>
      <protection locked="0" hidden="1"/>
    </xf>
    <xf numFmtId="2" fontId="35" fillId="13" borderId="0" xfId="0" applyNumberFormat="1" applyFont="1" applyFill="1" applyAlignment="1" applyProtection="1">
      <alignment horizontal="center" vertical="center"/>
      <protection locked="0" hidden="1"/>
    </xf>
    <xf numFmtId="0" fontId="43" fillId="0" borderId="0" xfId="0" applyFont="1" applyAlignment="1" applyProtection="1">
      <alignment horizontal="center" vertical="center" wrapText="1"/>
      <protection hidden="1"/>
    </xf>
    <xf numFmtId="0" fontId="33" fillId="12" borderId="0" xfId="0" applyFont="1" applyFill="1" applyAlignment="1" applyProtection="1">
      <alignment horizontal="center" vertical="center"/>
      <protection hidden="1"/>
    </xf>
    <xf numFmtId="2" fontId="34" fillId="13" borderId="0" xfId="0" applyNumberFormat="1" applyFont="1" applyFill="1" applyAlignment="1" applyProtection="1">
      <alignment horizontal="center" vertical="center"/>
      <protection locked="0" hidden="1"/>
    </xf>
    <xf numFmtId="0" fontId="37" fillId="0" borderId="0" xfId="0" applyFont="1" applyAlignment="1" applyProtection="1">
      <alignment horizontal="center"/>
      <protection hidden="1"/>
    </xf>
    <xf numFmtId="0" fontId="37" fillId="12" borderId="0" xfId="0" applyFont="1" applyFill="1" applyAlignment="1" applyProtection="1">
      <alignment horizontal="center"/>
      <protection locked="0" hidden="1"/>
    </xf>
    <xf numFmtId="0" fontId="37" fillId="0" borderId="0" xfId="0" applyFont="1" applyAlignment="1" applyProtection="1">
      <alignment horizontal="center" vertical="center" wrapText="1"/>
      <protection hidden="1"/>
    </xf>
    <xf numFmtId="1" fontId="37" fillId="0" borderId="0" xfId="0" applyNumberFormat="1" applyFont="1" applyAlignment="1" applyProtection="1">
      <alignment horizontal="center" vertical="center"/>
      <protection locked="0" hidden="1"/>
    </xf>
    <xf numFmtId="0" fontId="59" fillId="0" borderId="0" xfId="0" applyFont="1" applyAlignment="1" applyProtection="1">
      <alignment vertical="center"/>
      <protection locked="0" hidden="1"/>
    </xf>
    <xf numFmtId="0" fontId="56" fillId="0" borderId="0" xfId="0" applyFont="1" applyAlignment="1" applyProtection="1">
      <alignment vertical="center"/>
      <protection locked="0" hidden="1"/>
    </xf>
    <xf numFmtId="0" fontId="59" fillId="0" borderId="0" xfId="0" applyFont="1" applyAlignment="1" applyProtection="1">
      <alignment horizontal="left" vertical="center"/>
      <protection locked="0" hidden="1"/>
    </xf>
    <xf numFmtId="0" fontId="36" fillId="0" borderId="0" xfId="0" applyFont="1" applyAlignment="1" applyProtection="1">
      <alignment horizontal="center"/>
      <protection hidden="1"/>
    </xf>
    <xf numFmtId="0" fontId="59" fillId="0" borderId="0" xfId="0" applyFont="1" applyAlignment="1" applyProtection="1">
      <alignment horizontal="left"/>
      <protection locked="0" hidden="1"/>
    </xf>
    <xf numFmtId="0" fontId="56" fillId="0" borderId="0" xfId="0" applyFont="1" applyAlignment="1" applyProtection="1">
      <alignment horizontal="left" vertical="center"/>
      <protection locked="0" hidden="1"/>
    </xf>
    <xf numFmtId="3" fontId="56" fillId="0" borderId="0" xfId="0" applyNumberFormat="1" applyFont="1" applyAlignment="1" applyProtection="1">
      <alignment horizontal="left" vertical="center"/>
      <protection locked="0" hidden="1"/>
    </xf>
    <xf numFmtId="0" fontId="4" fillId="0" borderId="0" xfId="1" applyAlignment="1">
      <alignment vertical="center"/>
    </xf>
    <xf numFmtId="0" fontId="56" fillId="0" borderId="0" xfId="0" applyFont="1" applyAlignment="1">
      <alignment vertical="center"/>
    </xf>
    <xf numFmtId="0" fontId="56" fillId="0" borderId="0" xfId="1" applyFont="1" applyAlignment="1" applyProtection="1">
      <alignment horizontal="left"/>
      <protection locked="0" hidden="1"/>
    </xf>
    <xf numFmtId="0" fontId="62" fillId="14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62" fillId="14" borderId="0" xfId="0" applyFont="1" applyFill="1" applyAlignment="1">
      <alignment horizontal="center" vertical="center"/>
    </xf>
    <xf numFmtId="0" fontId="62" fillId="14" borderId="6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hidden="1"/>
    </xf>
    <xf numFmtId="0" fontId="33" fillId="12" borderId="0" xfId="0" applyFont="1" applyFill="1" applyAlignment="1" applyProtection="1">
      <alignment horizontal="center" vertical="center"/>
      <protection locked="0" hidden="1"/>
    </xf>
    <xf numFmtId="44" fontId="0" fillId="0" borderId="0" xfId="4" applyFont="1" applyAlignment="1" applyProtection="1">
      <alignment horizontal="center" vertical="center"/>
      <protection hidden="1"/>
    </xf>
    <xf numFmtId="44" fontId="33" fillId="0" borderId="0" xfId="4" applyFont="1" applyAlignment="1" applyProtection="1">
      <alignment horizontal="center" vertical="center"/>
      <protection hidden="1"/>
    </xf>
    <xf numFmtId="0" fontId="33" fillId="0" borderId="13" xfId="0" applyFont="1" applyBorder="1" applyAlignment="1" applyProtection="1">
      <alignment horizontal="center"/>
      <protection hidden="1"/>
    </xf>
    <xf numFmtId="0" fontId="33" fillId="0" borderId="13" xfId="0" applyFont="1" applyBorder="1" applyAlignment="1" applyProtection="1">
      <alignment horizontal="center"/>
      <protection locked="0" hidden="1"/>
    </xf>
    <xf numFmtId="44" fontId="33" fillId="0" borderId="13" xfId="4" applyFont="1" applyBorder="1" applyAlignment="1" applyProtection="1">
      <alignment horizontal="center"/>
      <protection locked="0" hidden="1"/>
    </xf>
    <xf numFmtId="44" fontId="33" fillId="0" borderId="25" xfId="4" applyFont="1" applyBorder="1" applyAlignment="1" applyProtection="1">
      <alignment horizontal="center" vertical="center"/>
      <protection hidden="1"/>
    </xf>
    <xf numFmtId="44" fontId="33" fillId="0" borderId="26" xfId="4" applyFont="1" applyBorder="1" applyAlignment="1" applyProtection="1">
      <alignment horizontal="center" vertical="center"/>
      <protection hidden="1"/>
    </xf>
    <xf numFmtId="44" fontId="33" fillId="0" borderId="27" xfId="4" applyFont="1" applyBorder="1" applyAlignment="1" applyProtection="1">
      <alignment horizontal="center" vertical="center"/>
      <protection hidden="1"/>
    </xf>
    <xf numFmtId="0" fontId="33" fillId="12" borderId="25" xfId="0" applyFont="1" applyFill="1" applyBorder="1" applyAlignment="1" applyProtection="1">
      <alignment horizontal="center"/>
      <protection locked="0" hidden="1"/>
    </xf>
    <xf numFmtId="0" fontId="33" fillId="12" borderId="26" xfId="0" applyFont="1" applyFill="1" applyBorder="1" applyAlignment="1" applyProtection="1">
      <alignment horizontal="center"/>
      <protection locked="0" hidden="1"/>
    </xf>
    <xf numFmtId="0" fontId="33" fillId="12" borderId="27" xfId="0" applyFont="1" applyFill="1" applyBorder="1" applyAlignment="1" applyProtection="1">
      <alignment horizontal="center"/>
      <protection locked="0" hidden="1"/>
    </xf>
    <xf numFmtId="44" fontId="33" fillId="0" borderId="13" xfId="4" applyFont="1" applyBorder="1" applyAlignment="1" applyProtection="1">
      <alignment horizontal="center"/>
      <protection hidden="1"/>
    </xf>
    <xf numFmtId="44" fontId="33" fillId="0" borderId="25" xfId="4" applyFont="1" applyBorder="1" applyAlignment="1" applyProtection="1">
      <alignment horizontal="center"/>
      <protection hidden="1"/>
    </xf>
    <xf numFmtId="0" fontId="33" fillId="0" borderId="13" xfId="0" applyFont="1" applyBorder="1" applyAlignment="1" applyProtection="1">
      <alignment horizontal="center" vertical="center"/>
      <protection hidden="1"/>
    </xf>
    <xf numFmtId="0" fontId="33" fillId="0" borderId="13" xfId="0" quotePrefix="1" applyFont="1" applyBorder="1" applyAlignment="1" applyProtection="1">
      <alignment horizontal="center"/>
      <protection hidden="1"/>
    </xf>
    <xf numFmtId="44" fontId="33" fillId="0" borderId="12" xfId="4" applyFont="1" applyBorder="1" applyAlignment="1" applyProtection="1">
      <alignment horizontal="right" vertical="center"/>
      <protection hidden="1"/>
    </xf>
    <xf numFmtId="44" fontId="33" fillId="0" borderId="13" xfId="4" applyFont="1" applyBorder="1" applyAlignment="1" applyProtection="1">
      <alignment horizontal="right" vertical="center"/>
      <protection hidden="1"/>
    </xf>
    <xf numFmtId="44" fontId="43" fillId="0" borderId="12" xfId="4" applyFont="1" applyBorder="1" applyAlignment="1" applyProtection="1">
      <alignment horizontal="center" vertical="center"/>
      <protection hidden="1"/>
    </xf>
    <xf numFmtId="44" fontId="43" fillId="0" borderId="13" xfId="4" applyFont="1" applyBorder="1" applyAlignment="1" applyProtection="1">
      <alignment horizontal="center" vertical="center"/>
      <protection hidden="1"/>
    </xf>
    <xf numFmtId="44" fontId="33" fillId="0" borderId="25" xfId="4" applyFont="1" applyBorder="1" applyAlignment="1" applyProtection="1">
      <alignment horizontal="center"/>
      <protection locked="0" hidden="1"/>
    </xf>
    <xf numFmtId="44" fontId="33" fillId="0" borderId="26" xfId="4" applyFont="1" applyBorder="1" applyAlignment="1" applyProtection="1">
      <alignment horizontal="center"/>
      <protection locked="0" hidden="1"/>
    </xf>
    <xf numFmtId="44" fontId="33" fillId="0" borderId="27" xfId="4" applyFont="1" applyBorder="1" applyAlignment="1" applyProtection="1">
      <alignment horizontal="center"/>
      <protection locked="0" hidden="1"/>
    </xf>
    <xf numFmtId="0" fontId="33" fillId="0" borderId="25" xfId="0" applyFont="1" applyBorder="1" applyAlignment="1" applyProtection="1">
      <alignment horizontal="center"/>
      <protection hidden="1"/>
    </xf>
    <xf numFmtId="0" fontId="33" fillId="0" borderId="26" xfId="0" applyFont="1" applyBorder="1" applyAlignment="1" applyProtection="1">
      <alignment horizontal="center"/>
      <protection hidden="1"/>
    </xf>
    <xf numFmtId="0" fontId="33" fillId="0" borderId="27" xfId="0" applyFont="1" applyBorder="1" applyAlignment="1" applyProtection="1">
      <alignment horizontal="center"/>
      <protection hidden="1"/>
    </xf>
    <xf numFmtId="44" fontId="33" fillId="0" borderId="26" xfId="4" applyFont="1" applyBorder="1" applyAlignment="1" applyProtection="1">
      <alignment horizontal="center"/>
      <protection hidden="1"/>
    </xf>
    <xf numFmtId="44" fontId="33" fillId="0" borderId="27" xfId="4" applyFont="1" applyBorder="1" applyAlignment="1" applyProtection="1">
      <alignment horizontal="center"/>
      <protection hidden="1"/>
    </xf>
    <xf numFmtId="0" fontId="33" fillId="0" borderId="10" xfId="0" applyFont="1" applyBorder="1" applyAlignment="1" applyProtection="1">
      <alignment horizontal="center" vertical="center"/>
      <protection hidden="1"/>
    </xf>
    <xf numFmtId="9" fontId="33" fillId="0" borderId="10" xfId="3" applyFont="1" applyBorder="1" applyAlignment="1" applyProtection="1">
      <alignment horizontal="center" vertical="center"/>
      <protection hidden="1"/>
    </xf>
    <xf numFmtId="14" fontId="33" fillId="0" borderId="0" xfId="0" applyNumberFormat="1" applyFont="1" applyAlignment="1" applyProtection="1">
      <alignment horizontal="center" vertical="center"/>
      <protection hidden="1"/>
    </xf>
    <xf numFmtId="0" fontId="33" fillId="0" borderId="6" xfId="0" applyFont="1" applyBorder="1" applyAlignment="1" applyProtection="1">
      <alignment horizontal="center" vertical="center"/>
      <protection hidden="1"/>
    </xf>
    <xf numFmtId="0" fontId="44" fillId="0" borderId="0" xfId="0" applyFont="1" applyAlignment="1" applyProtection="1">
      <alignment horizontal="center"/>
      <protection hidden="1"/>
    </xf>
    <xf numFmtId="0" fontId="33" fillId="12" borderId="0" xfId="0" applyFont="1" applyFill="1" applyAlignment="1" applyProtection="1">
      <alignment horizontal="center"/>
      <protection locked="0" hidden="1"/>
    </xf>
    <xf numFmtId="0" fontId="33" fillId="12" borderId="8" xfId="0" applyFont="1" applyFill="1" applyBorder="1" applyAlignment="1" applyProtection="1">
      <alignment horizontal="center"/>
      <protection locked="0" hidden="1"/>
    </xf>
    <xf numFmtId="0" fontId="33" fillId="0" borderId="3" xfId="0" applyFont="1" applyBorder="1" applyAlignment="1" applyProtection="1">
      <alignment horizontal="center"/>
      <protection hidden="1"/>
    </xf>
    <xf numFmtId="0" fontId="33" fillId="0" borderId="25" xfId="0" applyFont="1" applyBorder="1" applyAlignment="1" applyProtection="1">
      <alignment horizontal="center" vertical="center"/>
      <protection hidden="1"/>
    </xf>
    <xf numFmtId="0" fontId="33" fillId="0" borderId="27" xfId="0" applyFont="1" applyBorder="1" applyAlignment="1" applyProtection="1">
      <alignment horizontal="center" vertical="center"/>
      <protection hidden="1"/>
    </xf>
    <xf numFmtId="0" fontId="33" fillId="12" borderId="25" xfId="0" applyFont="1" applyFill="1" applyBorder="1" applyAlignment="1" applyProtection="1">
      <alignment horizontal="center"/>
      <protection hidden="1"/>
    </xf>
    <xf numFmtId="0" fontId="33" fillId="12" borderId="26" xfId="0" applyFont="1" applyFill="1" applyBorder="1" applyAlignment="1" applyProtection="1">
      <alignment horizontal="center"/>
      <protection hidden="1"/>
    </xf>
    <xf numFmtId="0" fontId="33" fillId="12" borderId="27" xfId="0" applyFont="1" applyFill="1" applyBorder="1" applyAlignment="1" applyProtection="1">
      <alignment horizontal="center"/>
      <protection hidden="1"/>
    </xf>
    <xf numFmtId="44" fontId="0" fillId="0" borderId="13" xfId="4" applyFont="1" applyBorder="1" applyAlignment="1" applyProtection="1">
      <alignment horizontal="center"/>
      <protection hidden="1"/>
    </xf>
    <xf numFmtId="14" fontId="33" fillId="0" borderId="3" xfId="0" applyNumberFormat="1" applyFont="1" applyBorder="1" applyAlignment="1" applyProtection="1">
      <alignment horizontal="center"/>
      <protection hidden="1"/>
    </xf>
    <xf numFmtId="0" fontId="33" fillId="0" borderId="4" xfId="0" applyFont="1" applyBorder="1" applyAlignment="1" applyProtection="1">
      <alignment horizontal="center"/>
      <protection hidden="1"/>
    </xf>
    <xf numFmtId="0" fontId="33" fillId="0" borderId="2" xfId="0" applyFont="1" applyBorder="1" applyAlignment="1" applyProtection="1">
      <alignment horizontal="center"/>
      <protection hidden="1"/>
    </xf>
    <xf numFmtId="0" fontId="33" fillId="12" borderId="7" xfId="0" applyFont="1" applyFill="1" applyBorder="1" applyAlignment="1" applyProtection="1">
      <alignment horizontal="center"/>
      <protection locked="0" hidden="1"/>
    </xf>
    <xf numFmtId="0" fontId="33" fillId="0" borderId="0" xfId="0" applyFont="1" applyAlignment="1" applyProtection="1">
      <alignment horizontal="center"/>
      <protection hidden="1"/>
    </xf>
    <xf numFmtId="0" fontId="43" fillId="0" borderId="0" xfId="0" applyFont="1" applyAlignment="1" applyProtection="1">
      <alignment horizontal="center" vertical="center"/>
      <protection hidden="1"/>
    </xf>
    <xf numFmtId="0" fontId="41" fillId="12" borderId="0" xfId="0" applyFont="1" applyFill="1" applyAlignment="1" applyProtection="1">
      <alignment horizontal="center" vertical="center"/>
      <protection locked="0" hidden="1"/>
    </xf>
    <xf numFmtId="0" fontId="33" fillId="0" borderId="0" xfId="0" applyFont="1" applyProtection="1">
      <protection hidden="1"/>
    </xf>
    <xf numFmtId="0" fontId="33" fillId="0" borderId="0" xfId="0" applyFont="1" applyAlignment="1" applyProtection="1">
      <alignment horizontal="left"/>
      <protection hidden="1"/>
    </xf>
    <xf numFmtId="0" fontId="33" fillId="0" borderId="2" xfId="0" applyFont="1" applyBorder="1" applyAlignment="1" applyProtection="1">
      <alignment horizontal="center" vertical="center"/>
      <protection hidden="1"/>
    </xf>
    <xf numFmtId="0" fontId="33" fillId="0" borderId="3" xfId="0" applyFont="1" applyBorder="1" applyAlignment="1" applyProtection="1">
      <alignment horizontal="center" vertical="center"/>
      <protection hidden="1"/>
    </xf>
    <xf numFmtId="0" fontId="33" fillId="0" borderId="4" xfId="0" applyFont="1" applyBorder="1" applyAlignment="1" applyProtection="1">
      <alignment horizontal="center" vertical="center"/>
      <protection hidden="1"/>
    </xf>
    <xf numFmtId="0" fontId="33" fillId="0" borderId="7" xfId="0" applyFont="1" applyBorder="1" applyAlignment="1" applyProtection="1">
      <alignment horizontal="center" vertical="center"/>
      <protection hidden="1"/>
    </xf>
    <xf numFmtId="0" fontId="33" fillId="0" borderId="8" xfId="0" applyFont="1" applyBorder="1" applyAlignment="1" applyProtection="1">
      <alignment horizontal="center" vertical="center"/>
      <protection hidden="1"/>
    </xf>
    <xf numFmtId="0" fontId="33" fillId="0" borderId="9" xfId="0" applyFont="1" applyBorder="1" applyAlignment="1" applyProtection="1">
      <alignment horizontal="center" vertical="center"/>
      <protection hidden="1"/>
    </xf>
    <xf numFmtId="0" fontId="41" fillId="0" borderId="2" xfId="0" applyFont="1" applyBorder="1" applyAlignment="1" applyProtection="1">
      <alignment horizontal="center" vertical="center"/>
      <protection hidden="1"/>
    </xf>
    <xf numFmtId="0" fontId="41" fillId="0" borderId="3" xfId="0" applyFont="1" applyBorder="1" applyAlignment="1" applyProtection="1">
      <alignment horizontal="center" vertical="center"/>
      <protection hidden="1"/>
    </xf>
    <xf numFmtId="0" fontId="41" fillId="0" borderId="4" xfId="0" applyFont="1" applyBorder="1" applyAlignment="1" applyProtection="1">
      <alignment horizontal="center" vertical="center"/>
      <protection hidden="1"/>
    </xf>
    <xf numFmtId="0" fontId="41" fillId="0" borderId="7" xfId="0" applyFont="1" applyBorder="1" applyAlignment="1" applyProtection="1">
      <alignment horizontal="center" vertical="center"/>
      <protection hidden="1"/>
    </xf>
    <xf numFmtId="0" fontId="41" fillId="0" borderId="8" xfId="0" applyFont="1" applyBorder="1" applyAlignment="1" applyProtection="1">
      <alignment horizontal="center" vertical="center"/>
      <protection hidden="1"/>
    </xf>
    <xf numFmtId="0" fontId="41" fillId="0" borderId="9" xfId="0" applyFont="1" applyBorder="1" applyAlignment="1" applyProtection="1">
      <alignment horizontal="center" vertical="center"/>
      <protection hidden="1"/>
    </xf>
    <xf numFmtId="0" fontId="41" fillId="0" borderId="0" xfId="0" applyFont="1" applyAlignment="1" applyProtection="1">
      <alignment horizontal="center" vertical="center"/>
      <protection hidden="1"/>
    </xf>
    <xf numFmtId="0" fontId="42" fillId="0" borderId="0" xfId="0" applyFont="1" applyAlignment="1" applyProtection="1">
      <alignment horizontal="center" vertical="center"/>
      <protection hidden="1"/>
    </xf>
    <xf numFmtId="0" fontId="42" fillId="12" borderId="0" xfId="0" applyFont="1" applyFill="1" applyAlignment="1" applyProtection="1">
      <alignment horizontal="center" vertical="center"/>
      <protection locked="0" hidden="1"/>
    </xf>
    <xf numFmtId="0" fontId="46" fillId="12" borderId="0" xfId="0" applyFont="1" applyFill="1" applyAlignment="1" applyProtection="1">
      <alignment horizontal="center"/>
      <protection hidden="1"/>
    </xf>
    <xf numFmtId="9" fontId="33" fillId="12" borderId="0" xfId="3" applyFont="1" applyFill="1" applyAlignment="1" applyProtection="1">
      <alignment horizontal="center" vertical="center"/>
      <protection locked="0" hidden="1"/>
    </xf>
    <xf numFmtId="4" fontId="33" fillId="0" borderId="0" xfId="0" applyNumberFormat="1" applyFont="1" applyAlignment="1" applyProtection="1">
      <alignment horizontal="center"/>
      <protection hidden="1"/>
    </xf>
    <xf numFmtId="0" fontId="40" fillId="12" borderId="0" xfId="1" applyFont="1" applyFill="1" applyAlignment="1" applyProtection="1">
      <alignment horizontal="center" vertical="center" wrapText="1"/>
      <protection locked="0" hidden="1"/>
    </xf>
    <xf numFmtId="0" fontId="41" fillId="0" borderId="0" xfId="0" applyFont="1" applyAlignment="1" applyProtection="1">
      <alignment horizontal="center" vertical="center" wrapText="1"/>
      <protection hidden="1"/>
    </xf>
    <xf numFmtId="2" fontId="42" fillId="12" borderId="0" xfId="0" applyNumberFormat="1" applyFont="1" applyFill="1" applyAlignment="1" applyProtection="1">
      <alignment horizontal="center" vertical="center"/>
      <protection locked="0" hidden="1"/>
    </xf>
    <xf numFmtId="1" fontId="33" fillId="0" borderId="0" xfId="0" applyNumberFormat="1" applyFont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center"/>
      <protection hidden="1"/>
    </xf>
    <xf numFmtId="0" fontId="49" fillId="14" borderId="0" xfId="0" applyFont="1" applyFill="1" applyAlignment="1">
      <alignment horizontal="center" vertical="center"/>
    </xf>
    <xf numFmtId="0" fontId="48" fillId="0" borderId="0" xfId="0" applyFont="1" applyAlignment="1">
      <alignment horizontal="right" vertical="center"/>
    </xf>
    <xf numFmtId="0" fontId="47" fillId="14" borderId="0" xfId="0" applyFont="1" applyFill="1" applyAlignment="1">
      <alignment horizontal="center" vertical="center"/>
    </xf>
    <xf numFmtId="164" fontId="47" fillId="14" borderId="0" xfId="0" applyNumberFormat="1" applyFont="1" applyFill="1" applyAlignment="1">
      <alignment horizontal="center" vertical="center"/>
    </xf>
    <xf numFmtId="0" fontId="48" fillId="0" borderId="0" xfId="0" applyFont="1" applyAlignment="1">
      <alignment horizontal="left"/>
    </xf>
    <xf numFmtId="0" fontId="48" fillId="0" borderId="13" xfId="0" applyFont="1" applyBorder="1" applyAlignment="1">
      <alignment horizontal="center" vertical="center"/>
    </xf>
    <xf numFmtId="2" fontId="48" fillId="0" borderId="27" xfId="0" applyNumberFormat="1" applyFont="1" applyBorder="1" applyAlignment="1">
      <alignment horizontal="center" vertical="center"/>
    </xf>
    <xf numFmtId="2" fontId="48" fillId="0" borderId="13" xfId="0" applyNumberFormat="1" applyFont="1" applyBorder="1" applyAlignment="1">
      <alignment horizontal="center" vertical="center"/>
    </xf>
    <xf numFmtId="0" fontId="48" fillId="0" borderId="0" xfId="0" applyFont="1" applyAlignment="1">
      <alignment horizontal="right"/>
    </xf>
    <xf numFmtId="0" fontId="49" fillId="14" borderId="5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right" vertical="center"/>
    </xf>
    <xf numFmtId="0" fontId="48" fillId="0" borderId="25" xfId="0" applyFont="1" applyBorder="1" applyAlignment="1">
      <alignment horizontal="right" vertical="center"/>
    </xf>
    <xf numFmtId="0" fontId="48" fillId="0" borderId="13" xfId="0" applyFont="1" applyBorder="1" applyAlignment="1">
      <alignment horizontal="center"/>
    </xf>
    <xf numFmtId="0" fontId="52" fillId="0" borderId="26" xfId="0" applyFont="1" applyBorder="1" applyAlignment="1">
      <alignment horizontal="center" vertical="center"/>
    </xf>
    <xf numFmtId="0" fontId="52" fillId="0" borderId="27" xfId="0" applyFont="1" applyBorder="1" applyAlignment="1">
      <alignment horizontal="center" vertical="center"/>
    </xf>
    <xf numFmtId="0" fontId="48" fillId="0" borderId="27" xfId="0" applyFont="1" applyBorder="1" applyAlignment="1">
      <alignment horizontal="center" vertical="center"/>
    </xf>
    <xf numFmtId="0" fontId="48" fillId="0" borderId="13" xfId="0" applyFont="1" applyBorder="1" applyAlignment="1">
      <alignment vertical="center"/>
    </xf>
    <xf numFmtId="0" fontId="48" fillId="0" borderId="25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13" xfId="0" applyFont="1" applyBorder="1" applyAlignment="1">
      <alignment horizontal="left" vertical="center"/>
    </xf>
    <xf numFmtId="0" fontId="48" fillId="0" borderId="26" xfId="0" applyFont="1" applyBorder="1" applyAlignment="1">
      <alignment horizontal="left" vertical="center"/>
    </xf>
    <xf numFmtId="0" fontId="48" fillId="0" borderId="27" xfId="0" applyFont="1" applyBorder="1" applyAlignment="1">
      <alignment horizontal="left" vertical="center"/>
    </xf>
    <xf numFmtId="0" fontId="48" fillId="0" borderId="26" xfId="0" applyFont="1" applyBorder="1" applyAlignment="1">
      <alignment horizontal="right" vertical="center"/>
    </xf>
    <xf numFmtId="0" fontId="48" fillId="0" borderId="26" xfId="0" quotePrefix="1" applyFont="1" applyBorder="1" applyAlignment="1">
      <alignment horizontal="left" vertical="center"/>
    </xf>
    <xf numFmtId="0" fontId="48" fillId="0" borderId="27" xfId="0" quotePrefix="1" applyFont="1" applyBorder="1" applyAlignment="1">
      <alignment horizontal="left" vertical="center"/>
    </xf>
    <xf numFmtId="0" fontId="54" fillId="14" borderId="26" xfId="0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48" fillId="0" borderId="2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6" xfId="0" applyFont="1" applyBorder="1" applyAlignment="1">
      <alignment horizontal="center" vertical="center"/>
    </xf>
    <xf numFmtId="0" fontId="48" fillId="0" borderId="7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8" fillId="0" borderId="26" xfId="0" applyFont="1" applyBorder="1" applyAlignment="1">
      <alignment horizontal="right" vertical="center" wrapText="1"/>
    </xf>
    <xf numFmtId="0" fontId="48" fillId="0" borderId="26" xfId="0" applyFont="1" applyBorder="1" applyAlignment="1">
      <alignment horizontal="center" vertical="center" wrapText="1"/>
    </xf>
    <xf numFmtId="0" fontId="48" fillId="0" borderId="27" xfId="0" applyFont="1" applyBorder="1" applyAlignment="1">
      <alignment horizontal="center" vertical="center" wrapText="1"/>
    </xf>
    <xf numFmtId="2" fontId="54" fillId="14" borderId="26" xfId="0" applyNumberFormat="1" applyFont="1" applyFill="1" applyBorder="1" applyAlignment="1">
      <alignment horizontal="right" vertical="center"/>
    </xf>
    <xf numFmtId="0" fontId="54" fillId="14" borderId="26" xfId="0" applyFont="1" applyFill="1" applyBorder="1" applyAlignment="1">
      <alignment horizontal="right" vertical="center"/>
    </xf>
    <xf numFmtId="0" fontId="48" fillId="0" borderId="26" xfId="0" applyFont="1" applyBorder="1" applyAlignment="1">
      <alignment horizontal="left" vertical="center" wrapText="1"/>
    </xf>
    <xf numFmtId="0" fontId="48" fillId="0" borderId="27" xfId="0" applyFont="1" applyBorder="1" applyAlignment="1">
      <alignment horizontal="left" vertical="center" wrapText="1"/>
    </xf>
    <xf numFmtId="0" fontId="16" fillId="6" borderId="25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6" fillId="2" borderId="25" xfId="0" applyFont="1" applyFill="1" applyBorder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6" fillId="2" borderId="27" xfId="0" applyFont="1" applyFill="1" applyBorder="1" applyAlignment="1">
      <alignment horizontal="center"/>
    </xf>
    <xf numFmtId="2" fontId="16" fillId="6" borderId="26" xfId="0" applyNumberFormat="1" applyFont="1" applyFill="1" applyBorder="1" applyAlignment="1">
      <alignment horizontal="center"/>
    </xf>
    <xf numFmtId="0" fontId="16" fillId="9" borderId="25" xfId="0" applyFont="1" applyFill="1" applyBorder="1" applyAlignment="1">
      <alignment horizontal="center"/>
    </xf>
    <xf numFmtId="0" fontId="16" fillId="9" borderId="26" xfId="0" applyFont="1" applyFill="1" applyBorder="1" applyAlignment="1">
      <alignment horizontal="center"/>
    </xf>
    <xf numFmtId="0" fontId="16" fillId="9" borderId="27" xfId="0" applyFont="1" applyFill="1" applyBorder="1" applyAlignment="1">
      <alignment horizontal="center"/>
    </xf>
    <xf numFmtId="0" fontId="16" fillId="0" borderId="13" xfId="0" applyFont="1" applyBorder="1" applyAlignment="1">
      <alignment horizontal="center" vertical="center"/>
    </xf>
    <xf numFmtId="1" fontId="19" fillId="0" borderId="13" xfId="0" applyNumberFormat="1" applyFont="1" applyBorder="1" applyAlignment="1">
      <alignment horizontal="center" vertical="center"/>
    </xf>
    <xf numFmtId="1" fontId="32" fillId="11" borderId="13" xfId="0" applyNumberFormat="1" applyFont="1" applyFill="1" applyBorder="1" applyAlignment="1">
      <alignment horizontal="center" vertical="center"/>
    </xf>
    <xf numFmtId="1" fontId="32" fillId="11" borderId="25" xfId="0" applyNumberFormat="1" applyFont="1" applyFill="1" applyBorder="1" applyAlignment="1">
      <alignment horizontal="center" vertical="center"/>
    </xf>
    <xf numFmtId="0" fontId="32" fillId="11" borderId="27" xfId="0" applyFont="1" applyFill="1" applyBorder="1" applyAlignment="1">
      <alignment horizontal="center" vertical="center"/>
    </xf>
    <xf numFmtId="0" fontId="32" fillId="11" borderId="13" xfId="0" applyFont="1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1" fontId="16" fillId="0" borderId="13" xfId="0" applyNumberFormat="1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16" fillId="0" borderId="27" xfId="0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3" fontId="16" fillId="0" borderId="0" xfId="0" applyNumberFormat="1" applyFont="1" applyAlignment="1">
      <alignment horizontal="right" vertical="center"/>
    </xf>
    <xf numFmtId="14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20" fillId="0" borderId="13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3" fontId="16" fillId="0" borderId="0" xfId="0" applyNumberFormat="1" applyFont="1" applyAlignment="1">
      <alignment horizontal="right"/>
    </xf>
    <xf numFmtId="14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4" fontId="16" fillId="0" borderId="0" xfId="0" applyNumberFormat="1" applyFont="1" applyAlignment="1">
      <alignment horizontal="right" vertical="center"/>
    </xf>
    <xf numFmtId="4" fontId="23" fillId="0" borderId="0" xfId="0" applyNumberFormat="1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9" fontId="16" fillId="0" borderId="13" xfId="3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0" fontId="25" fillId="0" borderId="13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5" xfId="0" applyFont="1" applyBorder="1" applyAlignment="1">
      <alignment horizontal="right" vertical="center"/>
    </xf>
    <xf numFmtId="0" fontId="24" fillId="0" borderId="26" xfId="0" applyFont="1" applyBorder="1" applyAlignment="1">
      <alignment horizontal="right" vertical="center"/>
    </xf>
    <xf numFmtId="0" fontId="24" fillId="0" borderId="26" xfId="0" applyFont="1" applyBorder="1" applyAlignment="1">
      <alignment horizontal="left" vertical="center"/>
    </xf>
    <xf numFmtId="0" fontId="24" fillId="0" borderId="27" xfId="0" applyFont="1" applyBorder="1" applyAlignment="1">
      <alignment horizontal="left" vertical="center"/>
    </xf>
    <xf numFmtId="0" fontId="29" fillId="0" borderId="13" xfId="0" applyFont="1" applyBorder="1" applyAlignment="1">
      <alignment horizontal="left" vertical="center"/>
    </xf>
    <xf numFmtId="0" fontId="29" fillId="11" borderId="13" xfId="0" applyFont="1" applyFill="1" applyBorder="1" applyAlignment="1">
      <alignment horizontal="center" vertical="center"/>
    </xf>
    <xf numFmtId="0" fontId="25" fillId="0" borderId="13" xfId="0" applyFont="1" applyBorder="1" applyAlignment="1">
      <alignment horizontal="left"/>
    </xf>
    <xf numFmtId="0" fontId="24" fillId="0" borderId="13" xfId="0" applyFont="1" applyBorder="1" applyAlignment="1">
      <alignment horizontal="right" vertical="center"/>
    </xf>
    <xf numFmtId="0" fontId="25" fillId="0" borderId="13" xfId="0" applyFont="1" applyBorder="1" applyAlignment="1">
      <alignment horizontal="left" vertical="center" wrapText="1"/>
    </xf>
    <xf numFmtId="0" fontId="24" fillId="0" borderId="13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26" xfId="0" applyFont="1" applyBorder="1" applyAlignment="1">
      <alignment vertical="center" wrapText="1"/>
    </xf>
    <xf numFmtId="0" fontId="24" fillId="0" borderId="27" xfId="0" applyFont="1" applyBorder="1" applyAlignment="1">
      <alignment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/>
    </xf>
    <xf numFmtId="0" fontId="24" fillId="0" borderId="25" xfId="0" applyFont="1" applyBorder="1" applyAlignment="1">
      <alignment horizontal="center"/>
    </xf>
    <xf numFmtId="0" fontId="24" fillId="0" borderId="27" xfId="0" applyFont="1" applyBorder="1" applyAlignment="1">
      <alignment horizontal="center"/>
    </xf>
    <xf numFmtId="0" fontId="16" fillId="11" borderId="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11" borderId="7" xfId="0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0" fontId="16" fillId="11" borderId="3" xfId="0" applyFont="1" applyFill="1" applyBorder="1" applyAlignment="1">
      <alignment horizontal="center" vertical="center"/>
    </xf>
    <xf numFmtId="0" fontId="16" fillId="11" borderId="8" xfId="0" applyFont="1" applyFill="1" applyBorder="1" applyAlignment="1">
      <alignment horizontal="center" vertical="center"/>
    </xf>
    <xf numFmtId="1" fontId="29" fillId="0" borderId="2" xfId="0" applyNumberFormat="1" applyFont="1" applyBorder="1" applyAlignment="1">
      <alignment horizontal="center" vertical="center"/>
    </xf>
    <xf numFmtId="1" fontId="29" fillId="0" borderId="3" xfId="0" applyNumberFormat="1" applyFont="1" applyBorder="1" applyAlignment="1">
      <alignment horizontal="center" vertical="center"/>
    </xf>
    <xf numFmtId="1" fontId="29" fillId="0" borderId="4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1" fontId="32" fillId="0" borderId="3" xfId="0" applyNumberFormat="1" applyFont="1" applyBorder="1" applyAlignment="1">
      <alignment horizontal="center" vertical="center"/>
    </xf>
    <xf numFmtId="1" fontId="32" fillId="0" borderId="4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" fontId="16" fillId="0" borderId="2" xfId="0" applyNumberFormat="1" applyFont="1" applyBorder="1" applyAlignment="1">
      <alignment horizontal="center" vertical="center"/>
    </xf>
    <xf numFmtId="4" fontId="16" fillId="0" borderId="3" xfId="0" applyNumberFormat="1" applyFont="1" applyBorder="1" applyAlignment="1">
      <alignment horizontal="center" vertical="center"/>
    </xf>
    <xf numFmtId="4" fontId="16" fillId="0" borderId="4" xfId="0" applyNumberFormat="1" applyFont="1" applyBorder="1" applyAlignment="1">
      <alignment horizontal="center" vertical="center"/>
    </xf>
    <xf numFmtId="4" fontId="16" fillId="0" borderId="7" xfId="0" applyNumberFormat="1" applyFont="1" applyBorder="1" applyAlignment="1">
      <alignment horizontal="center" vertical="center"/>
    </xf>
    <xf numFmtId="4" fontId="16" fillId="0" borderId="8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3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24" fillId="0" borderId="26" xfId="0" applyFont="1" applyBorder="1" applyAlignment="1">
      <alignment horizontal="center"/>
    </xf>
    <xf numFmtId="0" fontId="16" fillId="0" borderId="35" xfId="0" applyFont="1" applyBorder="1" applyAlignment="1">
      <alignment horizontal="center"/>
    </xf>
    <xf numFmtId="0" fontId="29" fillId="11" borderId="25" xfId="0" applyFont="1" applyFill="1" applyBorder="1" applyAlignment="1">
      <alignment horizontal="left"/>
    </xf>
    <xf numFmtId="0" fontId="29" fillId="11" borderId="26" xfId="0" applyFont="1" applyFill="1" applyBorder="1" applyAlignment="1">
      <alignment horizontal="left"/>
    </xf>
    <xf numFmtId="0" fontId="29" fillId="11" borderId="27" xfId="0" applyFont="1" applyFill="1" applyBorder="1" applyAlignment="1">
      <alignment horizontal="left"/>
    </xf>
    <xf numFmtId="0" fontId="31" fillId="11" borderId="25" xfId="0" applyFont="1" applyFill="1" applyBorder="1" applyAlignment="1">
      <alignment horizontal="left" vertical="center"/>
    </xf>
    <xf numFmtId="0" fontId="31" fillId="11" borderId="26" xfId="0" applyFont="1" applyFill="1" applyBorder="1" applyAlignment="1">
      <alignment horizontal="left" vertical="center"/>
    </xf>
    <xf numFmtId="0" fontId="31" fillId="11" borderId="27" xfId="0" applyFont="1" applyFill="1" applyBorder="1" applyAlignment="1">
      <alignment horizontal="left" vertical="center"/>
    </xf>
    <xf numFmtId="0" fontId="16" fillId="0" borderId="27" xfId="0" quotePrefix="1" applyFont="1" applyBorder="1" applyAlignment="1">
      <alignment horizontal="left"/>
    </xf>
    <xf numFmtId="0" fontId="16" fillId="0" borderId="13" xfId="0" quotePrefix="1" applyFont="1" applyBorder="1" applyAlignment="1">
      <alignment horizontal="left"/>
    </xf>
    <xf numFmtId="0" fontId="16" fillId="0" borderId="27" xfId="0" applyFont="1" applyBorder="1" applyAlignment="1">
      <alignment horizontal="left"/>
    </xf>
    <xf numFmtId="0" fontId="16" fillId="0" borderId="13" xfId="0" applyFont="1" applyBorder="1" applyAlignment="1">
      <alignment horizontal="left"/>
    </xf>
    <xf numFmtId="0" fontId="29" fillId="0" borderId="13" xfId="0" applyFont="1" applyBorder="1" applyAlignment="1">
      <alignment horizontal="left"/>
    </xf>
    <xf numFmtId="14" fontId="16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0" fillId="7" borderId="32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63" fillId="15" borderId="40" xfId="0" applyFont="1" applyFill="1" applyBorder="1"/>
    <xf numFmtId="0" fontId="0" fillId="16" borderId="40" xfId="0" applyFont="1" applyFill="1" applyBorder="1"/>
    <xf numFmtId="0" fontId="0" fillId="15" borderId="40" xfId="0" applyFont="1" applyFill="1" applyBorder="1"/>
    <xf numFmtId="0" fontId="0" fillId="0" borderId="0" xfId="0" applyFill="1"/>
    <xf numFmtId="0" fontId="0" fillId="0" borderId="40" xfId="0" applyFont="1" applyFill="1" applyBorder="1"/>
    <xf numFmtId="0" fontId="0" fillId="16" borderId="43" xfId="0" applyFill="1" applyBorder="1"/>
    <xf numFmtId="0" fontId="0" fillId="15" borderId="43" xfId="0" applyFill="1" applyBorder="1"/>
    <xf numFmtId="0" fontId="0" fillId="16" borderId="42" xfId="0" applyFill="1" applyBorder="1"/>
    <xf numFmtId="0" fontId="0" fillId="16" borderId="44" xfId="0" applyFill="1" applyBorder="1"/>
    <xf numFmtId="0" fontId="0" fillId="0" borderId="45" xfId="0" applyFont="1" applyFill="1" applyBorder="1"/>
    <xf numFmtId="0" fontId="0" fillId="0" borderId="41" xfId="0" applyFont="1" applyFill="1" applyBorder="1"/>
    <xf numFmtId="0" fontId="0" fillId="0" borderId="0" xfId="0" applyFill="1" applyAlignment="1">
      <alignment horizontal="center"/>
    </xf>
    <xf numFmtId="0" fontId="5" fillId="0" borderId="0" xfId="0" applyFont="1" applyFill="1"/>
    <xf numFmtId="0" fontId="0" fillId="0" borderId="41" xfId="0" applyFill="1" applyBorder="1"/>
  </cellXfs>
  <cellStyles count="5">
    <cellStyle name="Hiperłącze" xfId="1" builtinId="8"/>
    <cellStyle name="Normalny" xfId="0" builtinId="0"/>
    <cellStyle name="Normalny 6 2" xfId="2" xr:uid="{00000000-0005-0000-0000-000002000000}"/>
    <cellStyle name="Procentowy" xfId="3" builtinId="5"/>
    <cellStyle name="Walutowy" xfId="4" builtinId="4"/>
  </cellStyles>
  <dxfs count="99">
    <dxf>
      <font>
        <color theme="0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border outline="0">
        <bottom style="thin">
          <color theme="6" tint="0.39997558519241921"/>
        </bottom>
      </border>
    </dxf>
    <dxf>
      <numFmt numFmtId="17" formatCode="#&quot; &quot;?/?"/>
    </dxf>
    <dxf>
      <numFmt numFmtId="17" formatCode="#&quot; &quot;?/?"/>
    </dxf>
    <dxf>
      <numFmt numFmtId="17" formatCode="#&quot; &quot;?/?"/>
    </dxf>
    <dxf>
      <numFmt numFmtId="17" formatCode="#&quot; &quot;?/?"/>
    </dxf>
    <dxf>
      <numFmt numFmtId="17" formatCode="#&quot; &quot;?/?"/>
    </dxf>
    <dxf>
      <numFmt numFmtId="17" formatCode="#&quot; &quot;?/?"/>
    </dxf>
    <dxf>
      <numFmt numFmtId="17" formatCode="#&quot; &quot;?/?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238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border outline="0">
        <left style="thin">
          <color indexed="64"/>
        </left>
        <right style="thin">
          <color indexed="64"/>
        </right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numFmt numFmtId="17" formatCode="#&quot; &quot;?/?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ck">
          <color auto="1"/>
        </right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numFmt numFmtId="13" formatCode="0%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  <dxf>
      <font>
        <strike val="0"/>
        <outline val="0"/>
        <shadow val="0"/>
        <vertAlign val="baseline"/>
        <name val="Avenir Next LT Pro"/>
        <family val="2"/>
        <charset val="238"/>
        <scheme val="none"/>
      </font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numFmt numFmtId="13" formatCode="0%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numFmt numFmtId="13" formatCode="0%"/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charset val="238"/>
        <scheme val="none"/>
      </font>
      <protection hidden="1"/>
    </dxf>
  </dxfs>
  <tableStyles count="0" defaultTableStyle="TableStyleMedium2" defaultPivotStyle="PivotStyleLight16"/>
  <colors>
    <mruColors>
      <color rgb="FF18192D"/>
      <color rgb="FF5AFF2D"/>
      <color rgb="FF00DFEA"/>
      <color rgb="FF54C5D1"/>
      <color rgb="FFFF6565"/>
      <color rgb="FF23234F"/>
      <color rgb="FF8037B7"/>
      <color rgb="FF2BC800"/>
      <color rgb="FF3576B1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538962153043004E-2"/>
          <c:y val="2.2578669828870773E-2"/>
          <c:w val="0.91431975082393391"/>
          <c:h val="0.91207055443261031"/>
        </c:manualLayout>
      </c:layout>
      <c:areaChart>
        <c:grouping val="standard"/>
        <c:varyColors val="0"/>
        <c:ser>
          <c:idx val="3"/>
          <c:order val="3"/>
          <c:tx>
            <c:strRef>
              <c:f>wykres!$A$11</c:f>
              <c:strCache>
                <c:ptCount val="1"/>
                <c:pt idx="0">
                  <c:v>Zapotrzebowanie energetyczne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rgbClr val="54C5D1"/>
                </a:gs>
                <a:gs pos="100000">
                  <a:srgbClr val="54C5D1"/>
                </a:gs>
              </a:gsLst>
              <a:lin ang="0" scaled="1"/>
              <a:tileRect/>
            </a:gradFill>
            <a:ln w="25400">
              <a:noFill/>
            </a:ln>
            <a:effectLst/>
          </c:spPr>
          <c:cat>
            <c:numLit>
              <c:formatCode>General</c:formatCode>
              <c:ptCount val="49"/>
              <c:pt idx="0">
                <c:v>-20</c:v>
              </c:pt>
              <c:pt idx="1">
                <c:v>-17</c:v>
              </c:pt>
              <c:pt idx="2">
                <c:v>-16</c:v>
              </c:pt>
              <c:pt idx="3">
                <c:v>-15</c:v>
              </c:pt>
              <c:pt idx="4">
                <c:v>-14</c:v>
              </c:pt>
              <c:pt idx="5">
                <c:v>-13</c:v>
              </c:pt>
              <c:pt idx="6">
                <c:v>-12</c:v>
              </c:pt>
              <c:pt idx="7">
                <c:v>-11</c:v>
              </c:pt>
              <c:pt idx="8">
                <c:v>-10</c:v>
              </c:pt>
              <c:pt idx="9">
                <c:v>-9</c:v>
              </c:pt>
              <c:pt idx="10">
                <c:v>-8</c:v>
              </c:pt>
              <c:pt idx="11">
                <c:v>-7</c:v>
              </c:pt>
              <c:pt idx="12">
                <c:v>-6</c:v>
              </c:pt>
              <c:pt idx="13">
                <c:v>-5</c:v>
              </c:pt>
              <c:pt idx="14">
                <c:v>-4</c:v>
              </c:pt>
              <c:pt idx="15">
                <c:v>-3</c:v>
              </c:pt>
              <c:pt idx="16">
                <c:v>-2</c:v>
              </c:pt>
              <c:pt idx="17">
                <c:v>-1</c:v>
              </c:pt>
              <c:pt idx="18">
                <c:v>0</c:v>
              </c:pt>
              <c:pt idx="19">
                <c:v>1</c:v>
              </c:pt>
              <c:pt idx="20">
                <c:v>2</c:v>
              </c:pt>
              <c:pt idx="21">
                <c:v>3</c:v>
              </c:pt>
              <c:pt idx="22">
                <c:v>4</c:v>
              </c:pt>
              <c:pt idx="23">
                <c:v>5</c:v>
              </c:pt>
              <c:pt idx="24">
                <c:v>6</c:v>
              </c:pt>
              <c:pt idx="25">
                <c:v>7</c:v>
              </c:pt>
              <c:pt idx="26">
                <c:v>8</c:v>
              </c:pt>
              <c:pt idx="27">
                <c:v>9</c:v>
              </c:pt>
              <c:pt idx="28">
                <c:v>10</c:v>
              </c:pt>
              <c:pt idx="29">
                <c:v>11</c:v>
              </c:pt>
              <c:pt idx="30">
                <c:v>12</c:v>
              </c:pt>
              <c:pt idx="31">
                <c:v>13</c:v>
              </c:pt>
              <c:pt idx="32">
                <c:v>14</c:v>
              </c:pt>
              <c:pt idx="33">
                <c:v>15</c:v>
              </c:pt>
              <c:pt idx="34">
                <c:v>16</c:v>
              </c:pt>
              <c:pt idx="35">
                <c:v>17</c:v>
              </c:pt>
              <c:pt idx="36">
                <c:v>18</c:v>
              </c:pt>
              <c:pt idx="37">
                <c:v>19</c:v>
              </c:pt>
              <c:pt idx="38">
                <c:v>20</c:v>
              </c:pt>
              <c:pt idx="39">
                <c:v>21</c:v>
              </c:pt>
              <c:pt idx="40">
                <c:v>22</c:v>
              </c:pt>
              <c:pt idx="41">
                <c:v>23</c:v>
              </c:pt>
              <c:pt idx="42">
                <c:v>24</c:v>
              </c:pt>
              <c:pt idx="43">
                <c:v>25</c:v>
              </c:pt>
              <c:pt idx="44">
                <c:v>26</c:v>
              </c:pt>
              <c:pt idx="45">
                <c:v>27</c:v>
              </c:pt>
              <c:pt idx="46">
                <c:v>28</c:v>
              </c:pt>
              <c:pt idx="47">
                <c:v>29</c:v>
              </c:pt>
              <c:pt idx="48">
                <c:v>30</c:v>
              </c:pt>
            </c:numLit>
          </c:cat>
          <c:val>
            <c:numRef>
              <c:f>wykres!$C$11:$AY$11</c:f>
              <c:numCache>
                <c:formatCode>0.00</c:formatCode>
                <c:ptCount val="49"/>
                <c:pt idx="0">
                  <c:v>4.5157314718667516</c:v>
                </c:pt>
                <c:pt idx="1">
                  <c:v>4.5157314718667516</c:v>
                </c:pt>
                <c:pt idx="2">
                  <c:v>4.4041833754260082</c:v>
                </c:pt>
                <c:pt idx="3">
                  <c:v>4.2926352789852658</c:v>
                </c:pt>
                <c:pt idx="4">
                  <c:v>4.1810871825445224</c:v>
                </c:pt>
                <c:pt idx="5">
                  <c:v>4.069539086103779</c:v>
                </c:pt>
                <c:pt idx="6">
                  <c:v>3.9579909896630361</c:v>
                </c:pt>
                <c:pt idx="7">
                  <c:v>3.8464428932222932</c:v>
                </c:pt>
                <c:pt idx="8">
                  <c:v>3.7348947967815498</c:v>
                </c:pt>
                <c:pt idx="9">
                  <c:v>3.6233467003408069</c:v>
                </c:pt>
                <c:pt idx="10">
                  <c:v>3.5117986039000639</c:v>
                </c:pt>
                <c:pt idx="11">
                  <c:v>3.4002505074593206</c:v>
                </c:pt>
                <c:pt idx="12">
                  <c:v>3.2887024110185776</c:v>
                </c:pt>
                <c:pt idx="13">
                  <c:v>3.1771543145778347</c:v>
                </c:pt>
                <c:pt idx="14">
                  <c:v>3.0656062181370913</c:v>
                </c:pt>
                <c:pt idx="15">
                  <c:v>2.9540581216963484</c:v>
                </c:pt>
                <c:pt idx="16">
                  <c:v>2.8425100252556055</c:v>
                </c:pt>
                <c:pt idx="17">
                  <c:v>2.7309619288148621</c:v>
                </c:pt>
                <c:pt idx="18">
                  <c:v>2.6194138323741187</c:v>
                </c:pt>
                <c:pt idx="19">
                  <c:v>2.5078657359333758</c:v>
                </c:pt>
                <c:pt idx="20">
                  <c:v>2.3963176394926329</c:v>
                </c:pt>
                <c:pt idx="21">
                  <c:v>2.2847695430518895</c:v>
                </c:pt>
                <c:pt idx="22">
                  <c:v>2.1732214466111466</c:v>
                </c:pt>
                <c:pt idx="23">
                  <c:v>2.0616733501704037</c:v>
                </c:pt>
                <c:pt idx="24">
                  <c:v>1.9501252537296603</c:v>
                </c:pt>
                <c:pt idx="25">
                  <c:v>1.8385771572889174</c:v>
                </c:pt>
                <c:pt idx="26">
                  <c:v>1.7270290608481744</c:v>
                </c:pt>
                <c:pt idx="27">
                  <c:v>1.6154809644074311</c:v>
                </c:pt>
                <c:pt idx="28">
                  <c:v>1.5039328679666881</c:v>
                </c:pt>
                <c:pt idx="29">
                  <c:v>1.3923847715259452</c:v>
                </c:pt>
                <c:pt idx="30">
                  <c:v>1.2808366750852018</c:v>
                </c:pt>
                <c:pt idx="31">
                  <c:v>1.1692885786444589</c:v>
                </c:pt>
                <c:pt idx="32">
                  <c:v>1.0577404822037155</c:v>
                </c:pt>
                <c:pt idx="33">
                  <c:v>0.9461923857629726</c:v>
                </c:pt>
                <c:pt idx="34">
                  <c:v>0.83464428932222967</c:v>
                </c:pt>
                <c:pt idx="35">
                  <c:v>0.7230961928814863</c:v>
                </c:pt>
                <c:pt idx="36">
                  <c:v>0.61154809644074337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51-424D-8166-BBDAAFF6E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261936"/>
        <c:axId val="470262480"/>
        <c:extLst>
          <c:ext xmlns:c15="http://schemas.microsoft.com/office/drawing/2012/chart" uri="{02D57815-91ED-43cb-92C2-25804820EDAC}">
            <c15:filteredArea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wykres!$A$12</c15:sqref>
                        </c15:formulaRef>
                      </c:ext>
                    </c:extLst>
                    <c:strCache>
                      <c:ptCount val="1"/>
                      <c:pt idx="0">
                        <c:v>chłodzenie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Lit>
                    <c:formatCode>General</c:formatCode>
                    <c:ptCount val="49"/>
                    <c:pt idx="0">
                      <c:v>-20</c:v>
                    </c:pt>
                    <c:pt idx="1">
                      <c:v>-17</c:v>
                    </c:pt>
                    <c:pt idx="2">
                      <c:v>-16</c:v>
                    </c:pt>
                    <c:pt idx="3">
                      <c:v>-15</c:v>
                    </c:pt>
                    <c:pt idx="4">
                      <c:v>-14</c:v>
                    </c:pt>
                    <c:pt idx="5">
                      <c:v>-13</c:v>
                    </c:pt>
                    <c:pt idx="6">
                      <c:v>-12</c:v>
                    </c:pt>
                    <c:pt idx="7">
                      <c:v>-11</c:v>
                    </c:pt>
                    <c:pt idx="8">
                      <c:v>-10</c:v>
                    </c:pt>
                    <c:pt idx="9">
                      <c:v>-9</c:v>
                    </c:pt>
                    <c:pt idx="10">
                      <c:v>-8</c:v>
                    </c:pt>
                    <c:pt idx="11">
                      <c:v>-7</c:v>
                    </c:pt>
                    <c:pt idx="12">
                      <c:v>-6</c:v>
                    </c:pt>
                    <c:pt idx="13">
                      <c:v>-5</c:v>
                    </c:pt>
                    <c:pt idx="14">
                      <c:v>-4</c:v>
                    </c:pt>
                    <c:pt idx="15">
                      <c:v>-3</c:v>
                    </c:pt>
                    <c:pt idx="16">
                      <c:v>-2</c:v>
                    </c:pt>
                    <c:pt idx="17">
                      <c:v>-1</c:v>
                    </c:pt>
                    <c:pt idx="18">
                      <c:v>0</c:v>
                    </c:pt>
                    <c:pt idx="19">
                      <c:v>1</c:v>
                    </c:pt>
                    <c:pt idx="20">
                      <c:v>2</c:v>
                    </c:pt>
                    <c:pt idx="21">
                      <c:v>3</c:v>
                    </c:pt>
                    <c:pt idx="22">
                      <c:v>4</c:v>
                    </c:pt>
                    <c:pt idx="23">
                      <c:v>5</c:v>
                    </c:pt>
                    <c:pt idx="24">
                      <c:v>6</c:v>
                    </c:pt>
                    <c:pt idx="25">
                      <c:v>7</c:v>
                    </c:pt>
                    <c:pt idx="26">
                      <c:v>8</c:v>
                    </c:pt>
                    <c:pt idx="27">
                      <c:v>9</c:v>
                    </c:pt>
                    <c:pt idx="28">
                      <c:v>10</c:v>
                    </c:pt>
                    <c:pt idx="29">
                      <c:v>11</c:v>
                    </c:pt>
                    <c:pt idx="30">
                      <c:v>12</c:v>
                    </c:pt>
                    <c:pt idx="31">
                      <c:v>13</c:v>
                    </c:pt>
                    <c:pt idx="32">
                      <c:v>14</c:v>
                    </c:pt>
                    <c:pt idx="33">
                      <c:v>15</c:v>
                    </c:pt>
                    <c:pt idx="34">
                      <c:v>16</c:v>
                    </c:pt>
                    <c:pt idx="35">
                      <c:v>17</c:v>
                    </c:pt>
                    <c:pt idx="36">
                      <c:v>18</c:v>
                    </c:pt>
                    <c:pt idx="37">
                      <c:v>19</c:v>
                    </c:pt>
                    <c:pt idx="38">
                      <c:v>20</c:v>
                    </c:pt>
                    <c:pt idx="39">
                      <c:v>21</c:v>
                    </c:pt>
                    <c:pt idx="40">
                      <c:v>22</c:v>
                    </c:pt>
                    <c:pt idx="41">
                      <c:v>23</c:v>
                    </c:pt>
                    <c:pt idx="42">
                      <c:v>24</c:v>
                    </c:pt>
                    <c:pt idx="43">
                      <c:v>25</c:v>
                    </c:pt>
                    <c:pt idx="44">
                      <c:v>26</c:v>
                    </c:pt>
                    <c:pt idx="45">
                      <c:v>27</c:v>
                    </c:pt>
                    <c:pt idx="46">
                      <c:v>28</c:v>
                    </c:pt>
                    <c:pt idx="47">
                      <c:v>29</c:v>
                    </c:pt>
                    <c:pt idx="48">
                      <c:v>30</c:v>
                    </c:pt>
                  </c:numLit>
                </c:cat>
                <c:val>
                  <c:numRef>
                    <c:extLst>
                      <c:ext uri="{02D57815-91ED-43cb-92C2-25804820EDAC}">
                        <c15:formulaRef>
                          <c15:sqref>wykres!$C$12:$AY$12</c15:sqref>
                        </c15:formulaRef>
                      </c:ext>
                    </c:extLst>
                    <c:numCache>
                      <c:formatCode>General</c:formatCode>
                      <c:ptCount val="4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8A51-424D-8166-BBDAAFF6E4E5}"/>
                  </c:ext>
                </c:extLst>
              </c15:ser>
            </c15:filteredAreaSeries>
          </c:ext>
        </c:extLst>
      </c:areaChart>
      <c:areaChart>
        <c:grouping val="standard"/>
        <c:varyColors val="0"/>
        <c:ser>
          <c:idx val="8"/>
          <c:order val="8"/>
          <c:tx>
            <c:strRef>
              <c:f>wykres!$A$9</c:f>
              <c:strCache>
                <c:ptCount val="1"/>
                <c:pt idx="0">
                  <c:v>CWU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rgbClr val="5AFF2D"/>
                </a:gs>
              </a:gsLst>
              <a:lin ang="5400000" scaled="0"/>
            </a:gradFill>
            <a:ln>
              <a:noFill/>
            </a:ln>
            <a:effectLst/>
          </c:spPr>
          <c:val>
            <c:numRef>
              <c:f>wykres!$C$9:$AY$9</c:f>
              <c:numCache>
                <c:formatCode>0.00</c:formatCode>
                <c:ptCount val="4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51-424D-8166-BBDAAFF6E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263568"/>
        <c:axId val="470271184"/>
      </c:areaChart>
      <c:lineChart>
        <c:grouping val="standard"/>
        <c:varyColors val="0"/>
        <c:ser>
          <c:idx val="1"/>
          <c:order val="1"/>
          <c:tx>
            <c:strRef>
              <c:f>wykres!$A$7</c:f>
              <c:strCache>
                <c:ptCount val="1"/>
                <c:pt idx="0">
                  <c:v>suma PC</c:v>
                </c:pt>
              </c:strCache>
            </c:strRef>
          </c:tx>
          <c:spPr>
            <a:ln w="28575" cap="rnd">
              <a:solidFill>
                <a:srgbClr val="8037B7"/>
              </a:solidFill>
              <a:round/>
            </a:ln>
            <a:effectLst>
              <a:glow rad="63500">
                <a:srgbClr val="8037B7">
                  <a:alpha val="40000"/>
                </a:srgbClr>
              </a:glow>
            </a:effectLst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51-424D-8166-BBDAAFF6E4E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49"/>
              <c:pt idx="0">
                <c:v>-20</c:v>
              </c:pt>
              <c:pt idx="1">
                <c:v>-17</c:v>
              </c:pt>
              <c:pt idx="2">
                <c:v>-16</c:v>
              </c:pt>
              <c:pt idx="3">
                <c:v>-15</c:v>
              </c:pt>
              <c:pt idx="4">
                <c:v>-14</c:v>
              </c:pt>
              <c:pt idx="5">
                <c:v>-13</c:v>
              </c:pt>
              <c:pt idx="6">
                <c:v>-12</c:v>
              </c:pt>
              <c:pt idx="7">
                <c:v>-11</c:v>
              </c:pt>
              <c:pt idx="8">
                <c:v>-10</c:v>
              </c:pt>
              <c:pt idx="9">
                <c:v>-9</c:v>
              </c:pt>
              <c:pt idx="10">
                <c:v>-8</c:v>
              </c:pt>
              <c:pt idx="11">
                <c:v>-7</c:v>
              </c:pt>
              <c:pt idx="12">
                <c:v>-6</c:v>
              </c:pt>
              <c:pt idx="13">
                <c:v>-5</c:v>
              </c:pt>
              <c:pt idx="14">
                <c:v>-4</c:v>
              </c:pt>
              <c:pt idx="15">
                <c:v>-3</c:v>
              </c:pt>
              <c:pt idx="16">
                <c:v>-2</c:v>
              </c:pt>
              <c:pt idx="17">
                <c:v>-1</c:v>
              </c:pt>
              <c:pt idx="18">
                <c:v>0</c:v>
              </c:pt>
              <c:pt idx="19">
                <c:v>1</c:v>
              </c:pt>
              <c:pt idx="20">
                <c:v>2</c:v>
              </c:pt>
              <c:pt idx="21">
                <c:v>3</c:v>
              </c:pt>
              <c:pt idx="22">
                <c:v>4</c:v>
              </c:pt>
              <c:pt idx="23">
                <c:v>5</c:v>
              </c:pt>
              <c:pt idx="24">
                <c:v>6</c:v>
              </c:pt>
              <c:pt idx="25">
                <c:v>7</c:v>
              </c:pt>
              <c:pt idx="26">
                <c:v>8</c:v>
              </c:pt>
              <c:pt idx="27">
                <c:v>9</c:v>
              </c:pt>
              <c:pt idx="28">
                <c:v>10</c:v>
              </c:pt>
              <c:pt idx="29">
                <c:v>11</c:v>
              </c:pt>
              <c:pt idx="30">
                <c:v>12</c:v>
              </c:pt>
              <c:pt idx="31">
                <c:v>13</c:v>
              </c:pt>
              <c:pt idx="32">
                <c:v>14</c:v>
              </c:pt>
              <c:pt idx="33">
                <c:v>15</c:v>
              </c:pt>
              <c:pt idx="34">
                <c:v>16</c:v>
              </c:pt>
              <c:pt idx="35">
                <c:v>17</c:v>
              </c:pt>
              <c:pt idx="36">
                <c:v>18</c:v>
              </c:pt>
              <c:pt idx="37">
                <c:v>19</c:v>
              </c:pt>
              <c:pt idx="38">
                <c:v>20</c:v>
              </c:pt>
              <c:pt idx="39">
                <c:v>21</c:v>
              </c:pt>
              <c:pt idx="40">
                <c:v>22</c:v>
              </c:pt>
              <c:pt idx="41">
                <c:v>23</c:v>
              </c:pt>
              <c:pt idx="42">
                <c:v>24</c:v>
              </c:pt>
              <c:pt idx="43">
                <c:v>25</c:v>
              </c:pt>
              <c:pt idx="44">
                <c:v>26</c:v>
              </c:pt>
              <c:pt idx="45">
                <c:v>27</c:v>
              </c:pt>
              <c:pt idx="46">
                <c:v>28</c:v>
              </c:pt>
              <c:pt idx="47">
                <c:v>29</c:v>
              </c:pt>
              <c:pt idx="48">
                <c:v>30</c:v>
              </c:pt>
            </c:numLit>
          </c:cat>
          <c:val>
            <c:numRef>
              <c:f>wykres!$C$7:$AY$7</c:f>
              <c:numCache>
                <c:formatCode>0.00</c:formatCode>
                <c:ptCount val="4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9.2555999999999994</c:v>
                </c:pt>
                <c:pt idx="27">
                  <c:v>9.5112000000000005</c:v>
                </c:pt>
                <c:pt idx="28">
                  <c:v>9.7667999999999999</c:v>
                </c:pt>
                <c:pt idx="29">
                  <c:v>10.022400000000001</c:v>
                </c:pt>
                <c:pt idx="30">
                  <c:v>10.278</c:v>
                </c:pt>
                <c:pt idx="31">
                  <c:v>10.533333333333333</c:v>
                </c:pt>
                <c:pt idx="32">
                  <c:v>10.788666666666668</c:v>
                </c:pt>
                <c:pt idx="33">
                  <c:v>11.044</c:v>
                </c:pt>
                <c:pt idx="34">
                  <c:v>11.299200000000001</c:v>
                </c:pt>
                <c:pt idx="35">
                  <c:v>11.554400000000001</c:v>
                </c:pt>
                <c:pt idx="36">
                  <c:v>11.8096</c:v>
                </c:pt>
                <c:pt idx="37">
                  <c:v>12.0648</c:v>
                </c:pt>
                <c:pt idx="38">
                  <c:v>12.32</c:v>
                </c:pt>
                <c:pt idx="39">
                  <c:v>12.32</c:v>
                </c:pt>
                <c:pt idx="40">
                  <c:v>12.32</c:v>
                </c:pt>
                <c:pt idx="41">
                  <c:v>12.32</c:v>
                </c:pt>
                <c:pt idx="42">
                  <c:v>12.32</c:v>
                </c:pt>
                <c:pt idx="43">
                  <c:v>12.32</c:v>
                </c:pt>
                <c:pt idx="44">
                  <c:v>12.32</c:v>
                </c:pt>
                <c:pt idx="45">
                  <c:v>12.32</c:v>
                </c:pt>
                <c:pt idx="46">
                  <c:v>12.32</c:v>
                </c:pt>
                <c:pt idx="47">
                  <c:v>12.32</c:v>
                </c:pt>
                <c:pt idx="48">
                  <c:v>12.32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51-424D-8166-BBDAAFF6E4E5}"/>
            </c:ext>
          </c:extLst>
        </c:ser>
        <c:ser>
          <c:idx val="2"/>
          <c:order val="2"/>
          <c:tx>
            <c:strRef>
              <c:f>wykres!$A$8</c:f>
              <c:strCache>
                <c:ptCount val="1"/>
                <c:pt idx="0">
                  <c:v>moc z grzałkami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>
              <a:glow rad="63500">
                <a:srgbClr val="FF0000">
                  <a:alpha val="40000"/>
                </a:srgbClr>
              </a:glow>
            </a:effectLst>
          </c:spPr>
          <c:marker>
            <c:symbol val="none"/>
          </c:marker>
          <c:cat>
            <c:numLit>
              <c:formatCode>General</c:formatCode>
              <c:ptCount val="49"/>
              <c:pt idx="0">
                <c:v>-20</c:v>
              </c:pt>
              <c:pt idx="1">
                <c:v>-17</c:v>
              </c:pt>
              <c:pt idx="2">
                <c:v>-16</c:v>
              </c:pt>
              <c:pt idx="3">
                <c:v>-15</c:v>
              </c:pt>
              <c:pt idx="4">
                <c:v>-14</c:v>
              </c:pt>
              <c:pt idx="5">
                <c:v>-13</c:v>
              </c:pt>
              <c:pt idx="6">
                <c:v>-12</c:v>
              </c:pt>
              <c:pt idx="7">
                <c:v>-11</c:v>
              </c:pt>
              <c:pt idx="8">
                <c:v>-10</c:v>
              </c:pt>
              <c:pt idx="9">
                <c:v>-9</c:v>
              </c:pt>
              <c:pt idx="10">
                <c:v>-8</c:v>
              </c:pt>
              <c:pt idx="11">
                <c:v>-7</c:v>
              </c:pt>
              <c:pt idx="12">
                <c:v>-6</c:v>
              </c:pt>
              <c:pt idx="13">
                <c:v>-5</c:v>
              </c:pt>
              <c:pt idx="14">
                <c:v>-4</c:v>
              </c:pt>
              <c:pt idx="15">
                <c:v>-3</c:v>
              </c:pt>
              <c:pt idx="16">
                <c:v>-2</c:v>
              </c:pt>
              <c:pt idx="17">
                <c:v>-1</c:v>
              </c:pt>
              <c:pt idx="18">
                <c:v>0</c:v>
              </c:pt>
              <c:pt idx="19">
                <c:v>1</c:v>
              </c:pt>
              <c:pt idx="20">
                <c:v>2</c:v>
              </c:pt>
              <c:pt idx="21">
                <c:v>3</c:v>
              </c:pt>
              <c:pt idx="22">
                <c:v>4</c:v>
              </c:pt>
              <c:pt idx="23">
                <c:v>5</c:v>
              </c:pt>
              <c:pt idx="24">
                <c:v>6</c:v>
              </c:pt>
              <c:pt idx="25">
                <c:v>7</c:v>
              </c:pt>
              <c:pt idx="26">
                <c:v>8</c:v>
              </c:pt>
              <c:pt idx="27">
                <c:v>9</c:v>
              </c:pt>
              <c:pt idx="28">
                <c:v>10</c:v>
              </c:pt>
              <c:pt idx="29">
                <c:v>11</c:v>
              </c:pt>
              <c:pt idx="30">
                <c:v>12</c:v>
              </c:pt>
              <c:pt idx="31">
                <c:v>13</c:v>
              </c:pt>
              <c:pt idx="32">
                <c:v>14</c:v>
              </c:pt>
              <c:pt idx="33">
                <c:v>15</c:v>
              </c:pt>
              <c:pt idx="34">
                <c:v>16</c:v>
              </c:pt>
              <c:pt idx="35">
                <c:v>17</c:v>
              </c:pt>
              <c:pt idx="36">
                <c:v>18</c:v>
              </c:pt>
              <c:pt idx="37">
                <c:v>19</c:v>
              </c:pt>
              <c:pt idx="38">
                <c:v>20</c:v>
              </c:pt>
              <c:pt idx="39">
                <c:v>21</c:v>
              </c:pt>
              <c:pt idx="40">
                <c:v>22</c:v>
              </c:pt>
              <c:pt idx="41">
                <c:v>23</c:v>
              </c:pt>
              <c:pt idx="42">
                <c:v>24</c:v>
              </c:pt>
              <c:pt idx="43">
                <c:v>25</c:v>
              </c:pt>
              <c:pt idx="44">
                <c:v>26</c:v>
              </c:pt>
              <c:pt idx="45">
                <c:v>27</c:v>
              </c:pt>
              <c:pt idx="46">
                <c:v>28</c:v>
              </c:pt>
              <c:pt idx="47">
                <c:v>29</c:v>
              </c:pt>
              <c:pt idx="48">
                <c:v>30</c:v>
              </c:pt>
            </c:numLit>
          </c:cat>
          <c:val>
            <c:numRef>
              <c:f>wykres!$C$8:$AY$8</c:f>
              <c:numCache>
                <c:formatCode>0.00</c:formatCode>
                <c:ptCount val="4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12.255599999999999</c:v>
                </c:pt>
                <c:pt idx="27">
                  <c:v>12.511200000000001</c:v>
                </c:pt>
                <c:pt idx="28">
                  <c:v>12.7668</c:v>
                </c:pt>
                <c:pt idx="29">
                  <c:v>13.022400000000001</c:v>
                </c:pt>
                <c:pt idx="30">
                  <c:v>13.278</c:v>
                </c:pt>
                <c:pt idx="31">
                  <c:v>13.533333333333333</c:v>
                </c:pt>
                <c:pt idx="32">
                  <c:v>13.788666666666668</c:v>
                </c:pt>
                <c:pt idx="33">
                  <c:v>14.044</c:v>
                </c:pt>
                <c:pt idx="34">
                  <c:v>14.299200000000001</c:v>
                </c:pt>
                <c:pt idx="35">
                  <c:v>14.554400000000001</c:v>
                </c:pt>
                <c:pt idx="36">
                  <c:v>14.8096</c:v>
                </c:pt>
                <c:pt idx="37">
                  <c:v>15.0648</c:v>
                </c:pt>
                <c:pt idx="38">
                  <c:v>15.32</c:v>
                </c:pt>
                <c:pt idx="39">
                  <c:v>15.32</c:v>
                </c:pt>
                <c:pt idx="40">
                  <c:v>15.32</c:v>
                </c:pt>
                <c:pt idx="41">
                  <c:v>15.32</c:v>
                </c:pt>
                <c:pt idx="42">
                  <c:v>15.32</c:v>
                </c:pt>
                <c:pt idx="43">
                  <c:v>15.32</c:v>
                </c:pt>
                <c:pt idx="44">
                  <c:v>15.32</c:v>
                </c:pt>
                <c:pt idx="45">
                  <c:v>15.32</c:v>
                </c:pt>
                <c:pt idx="46">
                  <c:v>15.32</c:v>
                </c:pt>
                <c:pt idx="47">
                  <c:v>15.32</c:v>
                </c:pt>
                <c:pt idx="48">
                  <c:v>15.32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51-424D-8166-BBDAAFF6E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1936"/>
        <c:axId val="470262480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wykres!$A$15</c15:sqref>
                        </c15:formulaRef>
                      </c:ext>
                    </c:extLst>
                    <c:strCache>
                      <c:ptCount val="1"/>
                      <c:pt idx="0">
                        <c:v>zużycie PC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49"/>
                    <c:pt idx="0">
                      <c:v>-20</c:v>
                    </c:pt>
                    <c:pt idx="1">
                      <c:v>-17</c:v>
                    </c:pt>
                    <c:pt idx="2">
                      <c:v>-16</c:v>
                    </c:pt>
                    <c:pt idx="3">
                      <c:v>-15</c:v>
                    </c:pt>
                    <c:pt idx="4">
                      <c:v>-14</c:v>
                    </c:pt>
                    <c:pt idx="5">
                      <c:v>-13</c:v>
                    </c:pt>
                    <c:pt idx="6">
                      <c:v>-12</c:v>
                    </c:pt>
                    <c:pt idx="7">
                      <c:v>-11</c:v>
                    </c:pt>
                    <c:pt idx="8">
                      <c:v>-10</c:v>
                    </c:pt>
                    <c:pt idx="9">
                      <c:v>-9</c:v>
                    </c:pt>
                    <c:pt idx="10">
                      <c:v>-8</c:v>
                    </c:pt>
                    <c:pt idx="11">
                      <c:v>-7</c:v>
                    </c:pt>
                    <c:pt idx="12">
                      <c:v>-6</c:v>
                    </c:pt>
                    <c:pt idx="13">
                      <c:v>-5</c:v>
                    </c:pt>
                    <c:pt idx="14">
                      <c:v>-4</c:v>
                    </c:pt>
                    <c:pt idx="15">
                      <c:v>-3</c:v>
                    </c:pt>
                    <c:pt idx="16">
                      <c:v>-2</c:v>
                    </c:pt>
                    <c:pt idx="17">
                      <c:v>-1</c:v>
                    </c:pt>
                    <c:pt idx="18">
                      <c:v>0</c:v>
                    </c:pt>
                    <c:pt idx="19">
                      <c:v>1</c:v>
                    </c:pt>
                    <c:pt idx="20">
                      <c:v>2</c:v>
                    </c:pt>
                    <c:pt idx="21">
                      <c:v>3</c:v>
                    </c:pt>
                    <c:pt idx="22">
                      <c:v>4</c:v>
                    </c:pt>
                    <c:pt idx="23">
                      <c:v>5</c:v>
                    </c:pt>
                    <c:pt idx="24">
                      <c:v>6</c:v>
                    </c:pt>
                    <c:pt idx="25">
                      <c:v>7</c:v>
                    </c:pt>
                    <c:pt idx="26">
                      <c:v>8</c:v>
                    </c:pt>
                    <c:pt idx="27">
                      <c:v>9</c:v>
                    </c:pt>
                    <c:pt idx="28">
                      <c:v>10</c:v>
                    </c:pt>
                    <c:pt idx="29">
                      <c:v>11</c:v>
                    </c:pt>
                    <c:pt idx="30">
                      <c:v>12</c:v>
                    </c:pt>
                    <c:pt idx="31">
                      <c:v>13</c:v>
                    </c:pt>
                    <c:pt idx="32">
                      <c:v>14</c:v>
                    </c:pt>
                    <c:pt idx="33">
                      <c:v>15</c:v>
                    </c:pt>
                    <c:pt idx="34">
                      <c:v>16</c:v>
                    </c:pt>
                    <c:pt idx="35">
                      <c:v>17</c:v>
                    </c:pt>
                    <c:pt idx="36">
                      <c:v>18</c:v>
                    </c:pt>
                    <c:pt idx="37">
                      <c:v>19</c:v>
                    </c:pt>
                    <c:pt idx="38">
                      <c:v>20</c:v>
                    </c:pt>
                    <c:pt idx="39">
                      <c:v>21</c:v>
                    </c:pt>
                    <c:pt idx="40">
                      <c:v>22</c:v>
                    </c:pt>
                    <c:pt idx="41">
                      <c:v>23</c:v>
                    </c:pt>
                    <c:pt idx="42">
                      <c:v>24</c:v>
                    </c:pt>
                    <c:pt idx="43">
                      <c:v>25</c:v>
                    </c:pt>
                    <c:pt idx="44">
                      <c:v>26</c:v>
                    </c:pt>
                    <c:pt idx="45">
                      <c:v>27</c:v>
                    </c:pt>
                    <c:pt idx="46">
                      <c:v>28</c:v>
                    </c:pt>
                    <c:pt idx="47">
                      <c:v>29</c:v>
                    </c:pt>
                    <c:pt idx="48">
                      <c:v>30</c:v>
                    </c:pt>
                  </c:numLit>
                </c:cat>
                <c:val>
                  <c:numRef>
                    <c:extLst>
                      <c:ext uri="{02D57815-91ED-43cb-92C2-25804820EDAC}">
                        <c15:formulaRef>
                          <c15:sqref>wykres!$C$15:$AY$15</c15:sqref>
                        </c15:formulaRef>
                      </c:ext>
                    </c:extLst>
                    <c:numCache>
                      <c:formatCode>0.00</c:formatCode>
                      <c:ptCount val="49"/>
                      <c:pt idx="0">
                        <c:v>4.5</c:v>
                      </c:pt>
                      <c:pt idx="1">
                        <c:v>3.9059999999999997</c:v>
                      </c:pt>
                      <c:pt idx="2">
                        <c:v>3.7079999999999997</c:v>
                      </c:pt>
                      <c:pt idx="3">
                        <c:v>3.51</c:v>
                      </c:pt>
                      <c:pt idx="4">
                        <c:v>3.4662499999999996</c:v>
                      </c:pt>
                      <c:pt idx="5">
                        <c:v>3.4224999999999999</c:v>
                      </c:pt>
                      <c:pt idx="6">
                        <c:v>3.3787500000000001</c:v>
                      </c:pt>
                      <c:pt idx="7">
                        <c:v>3.335</c:v>
                      </c:pt>
                      <c:pt idx="8">
                        <c:v>3.2912499999999998</c:v>
                      </c:pt>
                      <c:pt idx="9">
                        <c:v>3.2475000000000001</c:v>
                      </c:pt>
                      <c:pt idx="10">
                        <c:v>3.2037500000000003</c:v>
                      </c:pt>
                      <c:pt idx="11">
                        <c:v>3.16</c:v>
                      </c:pt>
                      <c:pt idx="12">
                        <c:v>3.0877777777777777</c:v>
                      </c:pt>
                      <c:pt idx="13">
                        <c:v>3.0155555555555558</c:v>
                      </c:pt>
                      <c:pt idx="14">
                        <c:v>2.9433333333333334</c:v>
                      </c:pt>
                      <c:pt idx="15">
                        <c:v>2.8711111111111114</c:v>
                      </c:pt>
                      <c:pt idx="16">
                        <c:v>2.798888888888889</c:v>
                      </c:pt>
                      <c:pt idx="17">
                        <c:v>2.7266666666666666</c:v>
                      </c:pt>
                      <c:pt idx="18">
                        <c:v>2.6544444444444446</c:v>
                      </c:pt>
                      <c:pt idx="19">
                        <c:v>2.5822222222222222</c:v>
                      </c:pt>
                      <c:pt idx="20">
                        <c:v>2.5099999999999998</c:v>
                      </c:pt>
                      <c:pt idx="21">
                        <c:v>2.38</c:v>
                      </c:pt>
                      <c:pt idx="22">
                        <c:v>2.25</c:v>
                      </c:pt>
                      <c:pt idx="23">
                        <c:v>2.12</c:v>
                      </c:pt>
                      <c:pt idx="24">
                        <c:v>1.99</c:v>
                      </c:pt>
                      <c:pt idx="25">
                        <c:v>1.86</c:v>
                      </c:pt>
                      <c:pt idx="26">
                        <c:v>1.85</c:v>
                      </c:pt>
                      <c:pt idx="27">
                        <c:v>1.84</c:v>
                      </c:pt>
                      <c:pt idx="28">
                        <c:v>1.83</c:v>
                      </c:pt>
                      <c:pt idx="29">
                        <c:v>1.82</c:v>
                      </c:pt>
                      <c:pt idx="30">
                        <c:v>1.81</c:v>
                      </c:pt>
                      <c:pt idx="31">
                        <c:v>1.7933333333333334</c:v>
                      </c:pt>
                      <c:pt idx="32">
                        <c:v>1.7766666666666666</c:v>
                      </c:pt>
                      <c:pt idx="33">
                        <c:v>1.76</c:v>
                      </c:pt>
                      <c:pt idx="34">
                        <c:v>1.75</c:v>
                      </c:pt>
                      <c:pt idx="35">
                        <c:v>1.74</c:v>
                      </c:pt>
                      <c:pt idx="36">
                        <c:v>1.73</c:v>
                      </c:pt>
                      <c:pt idx="37">
                        <c:v>1.72</c:v>
                      </c:pt>
                      <c:pt idx="38">
                        <c:v>1.71</c:v>
                      </c:pt>
                      <c:pt idx="39">
                        <c:v>1.71</c:v>
                      </c:pt>
                      <c:pt idx="40">
                        <c:v>1.71</c:v>
                      </c:pt>
                      <c:pt idx="41">
                        <c:v>1.71</c:v>
                      </c:pt>
                      <c:pt idx="42">
                        <c:v>1.71</c:v>
                      </c:pt>
                      <c:pt idx="43">
                        <c:v>1.71</c:v>
                      </c:pt>
                      <c:pt idx="44">
                        <c:v>1.71</c:v>
                      </c:pt>
                      <c:pt idx="45">
                        <c:v>1.71</c:v>
                      </c:pt>
                      <c:pt idx="46">
                        <c:v>1.71</c:v>
                      </c:pt>
                      <c:pt idx="47">
                        <c:v>1.71</c:v>
                      </c:pt>
                      <c:pt idx="48">
                        <c:v>1.71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8A51-424D-8166-BBDAAFF6E4E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6"/>
          <c:order val="6"/>
          <c:tx>
            <c:strRef>
              <c:f>wykres!$B$3</c:f>
              <c:strCache>
                <c:ptCount val="1"/>
                <c:pt idx="0">
                  <c:v>Panasonic 9kW  T-CAP 3F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>
              <a:glow rad="63500">
                <a:srgbClr val="FFFF00">
                  <a:alpha val="40000"/>
                </a:srgbClr>
              </a:glow>
            </a:effectLst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51-424D-8166-BBDAAFF6E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wykres!$C$3:$AY$3</c:f>
              <c:numCache>
                <c:formatCode>0.00</c:formatCode>
                <c:ptCount val="4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9.2555999999999994</c:v>
                </c:pt>
                <c:pt idx="27">
                  <c:v>9.5112000000000005</c:v>
                </c:pt>
                <c:pt idx="28">
                  <c:v>9.7667999999999999</c:v>
                </c:pt>
                <c:pt idx="29">
                  <c:v>10.022400000000001</c:v>
                </c:pt>
                <c:pt idx="30">
                  <c:v>10.278</c:v>
                </c:pt>
                <c:pt idx="31">
                  <c:v>10.533333333333333</c:v>
                </c:pt>
                <c:pt idx="32">
                  <c:v>10.788666666666668</c:v>
                </c:pt>
                <c:pt idx="33">
                  <c:v>11.044</c:v>
                </c:pt>
                <c:pt idx="34">
                  <c:v>11.299200000000001</c:v>
                </c:pt>
                <c:pt idx="35">
                  <c:v>11.554400000000001</c:v>
                </c:pt>
                <c:pt idx="36">
                  <c:v>11.8096</c:v>
                </c:pt>
                <c:pt idx="37">
                  <c:v>12.0648</c:v>
                </c:pt>
                <c:pt idx="38">
                  <c:v>12.32</c:v>
                </c:pt>
                <c:pt idx="39">
                  <c:v>12.32</c:v>
                </c:pt>
                <c:pt idx="40">
                  <c:v>12.32</c:v>
                </c:pt>
                <c:pt idx="41">
                  <c:v>12.32</c:v>
                </c:pt>
                <c:pt idx="42">
                  <c:v>12.32</c:v>
                </c:pt>
                <c:pt idx="43">
                  <c:v>12.32</c:v>
                </c:pt>
                <c:pt idx="44">
                  <c:v>12.32</c:v>
                </c:pt>
                <c:pt idx="45">
                  <c:v>12.32</c:v>
                </c:pt>
                <c:pt idx="46">
                  <c:v>12.32</c:v>
                </c:pt>
                <c:pt idx="47">
                  <c:v>12.32</c:v>
                </c:pt>
                <c:pt idx="48">
                  <c:v>12.32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A51-424D-8166-BBDAAFF6E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3568"/>
        <c:axId val="4702711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wykres!$B$2</c15:sqref>
                        </c15:formulaRef>
                      </c:ext>
                    </c:extLst>
                    <c:strCache>
                      <c:ptCount val="1"/>
                      <c:pt idx="0">
                        <c:v>Katowice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wykres!$C$1:$AY$1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-20</c:v>
                      </c:pt>
                      <c:pt idx="1">
                        <c:v>-17</c:v>
                      </c:pt>
                      <c:pt idx="2">
                        <c:v>-16</c:v>
                      </c:pt>
                      <c:pt idx="3">
                        <c:v>-15</c:v>
                      </c:pt>
                      <c:pt idx="4">
                        <c:v>-14</c:v>
                      </c:pt>
                      <c:pt idx="5">
                        <c:v>-13</c:v>
                      </c:pt>
                      <c:pt idx="6">
                        <c:v>-12</c:v>
                      </c:pt>
                      <c:pt idx="7">
                        <c:v>-11</c:v>
                      </c:pt>
                      <c:pt idx="8">
                        <c:v>-10</c:v>
                      </c:pt>
                      <c:pt idx="9">
                        <c:v>-9</c:v>
                      </c:pt>
                      <c:pt idx="10">
                        <c:v>-8</c:v>
                      </c:pt>
                      <c:pt idx="11">
                        <c:v>-7</c:v>
                      </c:pt>
                      <c:pt idx="12">
                        <c:v>-6</c:v>
                      </c:pt>
                      <c:pt idx="13">
                        <c:v>-5</c:v>
                      </c:pt>
                      <c:pt idx="14">
                        <c:v>-4</c:v>
                      </c:pt>
                      <c:pt idx="15">
                        <c:v>-3</c:v>
                      </c:pt>
                      <c:pt idx="16">
                        <c:v>-2</c:v>
                      </c:pt>
                      <c:pt idx="17">
                        <c:v>-1</c:v>
                      </c:pt>
                      <c:pt idx="18">
                        <c:v>0</c:v>
                      </c:pt>
                      <c:pt idx="19">
                        <c:v>1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5</c:v>
                      </c:pt>
                      <c:pt idx="24">
                        <c:v>6</c:v>
                      </c:pt>
                      <c:pt idx="25">
                        <c:v>7</c:v>
                      </c:pt>
                      <c:pt idx="26">
                        <c:v>8</c:v>
                      </c:pt>
                      <c:pt idx="27">
                        <c:v>9</c:v>
                      </c:pt>
                      <c:pt idx="28">
                        <c:v>10</c:v>
                      </c:pt>
                      <c:pt idx="29">
                        <c:v>11</c:v>
                      </c:pt>
                      <c:pt idx="30">
                        <c:v>12</c:v>
                      </c:pt>
                      <c:pt idx="31">
                        <c:v>13</c:v>
                      </c:pt>
                      <c:pt idx="32">
                        <c:v>14</c:v>
                      </c:pt>
                      <c:pt idx="33">
                        <c:v>15</c:v>
                      </c:pt>
                      <c:pt idx="34">
                        <c:v>16</c:v>
                      </c:pt>
                      <c:pt idx="35">
                        <c:v>17</c:v>
                      </c:pt>
                      <c:pt idx="36">
                        <c:v>18</c:v>
                      </c:pt>
                      <c:pt idx="37">
                        <c:v>19</c:v>
                      </c:pt>
                      <c:pt idx="38">
                        <c:v>20</c:v>
                      </c:pt>
                      <c:pt idx="39">
                        <c:v>21</c:v>
                      </c:pt>
                      <c:pt idx="40">
                        <c:v>22</c:v>
                      </c:pt>
                      <c:pt idx="41">
                        <c:v>23</c:v>
                      </c:pt>
                      <c:pt idx="42">
                        <c:v>24</c:v>
                      </c:pt>
                      <c:pt idx="43">
                        <c:v>25</c:v>
                      </c:pt>
                      <c:pt idx="44">
                        <c:v>26</c:v>
                      </c:pt>
                      <c:pt idx="45">
                        <c:v>27</c:v>
                      </c:pt>
                      <c:pt idx="46">
                        <c:v>28</c:v>
                      </c:pt>
                      <c:pt idx="47">
                        <c:v>29</c:v>
                      </c:pt>
                      <c:pt idx="48">
                        <c:v>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wykres!$C$2:$AY$2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37</c:v>
                      </c:pt>
                      <c:pt idx="9">
                        <c:v>51</c:v>
                      </c:pt>
                      <c:pt idx="10">
                        <c:v>51</c:v>
                      </c:pt>
                      <c:pt idx="11">
                        <c:v>59</c:v>
                      </c:pt>
                      <c:pt idx="12">
                        <c:v>61</c:v>
                      </c:pt>
                      <c:pt idx="13">
                        <c:v>111</c:v>
                      </c:pt>
                      <c:pt idx="14">
                        <c:v>144</c:v>
                      </c:pt>
                      <c:pt idx="15">
                        <c:v>223</c:v>
                      </c:pt>
                      <c:pt idx="16">
                        <c:v>210</c:v>
                      </c:pt>
                      <c:pt idx="17">
                        <c:v>162</c:v>
                      </c:pt>
                      <c:pt idx="18">
                        <c:v>254</c:v>
                      </c:pt>
                      <c:pt idx="19">
                        <c:v>159</c:v>
                      </c:pt>
                      <c:pt idx="20">
                        <c:v>250</c:v>
                      </c:pt>
                      <c:pt idx="21">
                        <c:v>242</c:v>
                      </c:pt>
                      <c:pt idx="22">
                        <c:v>191</c:v>
                      </c:pt>
                      <c:pt idx="23">
                        <c:v>183</c:v>
                      </c:pt>
                      <c:pt idx="24">
                        <c:v>161</c:v>
                      </c:pt>
                      <c:pt idx="25">
                        <c:v>176</c:v>
                      </c:pt>
                      <c:pt idx="26">
                        <c:v>166</c:v>
                      </c:pt>
                      <c:pt idx="27">
                        <c:v>176</c:v>
                      </c:pt>
                      <c:pt idx="28">
                        <c:v>164</c:v>
                      </c:pt>
                      <c:pt idx="29">
                        <c:v>193</c:v>
                      </c:pt>
                      <c:pt idx="30">
                        <c:v>187</c:v>
                      </c:pt>
                      <c:pt idx="31">
                        <c:v>200</c:v>
                      </c:pt>
                      <c:pt idx="32">
                        <c:v>217</c:v>
                      </c:pt>
                      <c:pt idx="33">
                        <c:v>250</c:v>
                      </c:pt>
                      <c:pt idx="34">
                        <c:v>248</c:v>
                      </c:pt>
                      <c:pt idx="35">
                        <c:v>246</c:v>
                      </c:pt>
                      <c:pt idx="36">
                        <c:v>190</c:v>
                      </c:pt>
                      <c:pt idx="37">
                        <c:v>184</c:v>
                      </c:pt>
                      <c:pt idx="38">
                        <c:v>165</c:v>
                      </c:pt>
                      <c:pt idx="39">
                        <c:v>123</c:v>
                      </c:pt>
                      <c:pt idx="40">
                        <c:v>109</c:v>
                      </c:pt>
                      <c:pt idx="41">
                        <c:v>81</c:v>
                      </c:pt>
                      <c:pt idx="42">
                        <c:v>71</c:v>
                      </c:pt>
                      <c:pt idx="43">
                        <c:v>40</c:v>
                      </c:pt>
                      <c:pt idx="44">
                        <c:v>18</c:v>
                      </c:pt>
                      <c:pt idx="45">
                        <c:v>10</c:v>
                      </c:pt>
                      <c:pt idx="46">
                        <c:v>20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8A51-424D-8166-BBDAAFF6E4E5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wykres!$B$4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wykres!$C$4:$AY$4</c15:sqref>
                        </c15:formulaRef>
                      </c:ext>
                    </c:extLst>
                    <c:numCache>
                      <c:formatCode>0.00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A51-424D-8166-BBDAAFF6E4E5}"/>
                  </c:ext>
                </c:extLst>
              </c15:ser>
            </c15:filteredLineSeries>
          </c:ext>
        </c:extLst>
      </c:lineChart>
      <c:catAx>
        <c:axId val="47026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0262480"/>
        <c:crosses val="autoZero"/>
        <c:auto val="1"/>
        <c:lblAlgn val="ctr"/>
        <c:lblOffset val="100"/>
        <c:noMultiLvlLbl val="0"/>
      </c:catAx>
      <c:valAx>
        <c:axId val="47026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0261936"/>
        <c:crosses val="autoZero"/>
        <c:crossBetween val="between"/>
      </c:valAx>
      <c:valAx>
        <c:axId val="47027118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0263568"/>
        <c:crosses val="max"/>
        <c:crossBetween val="between"/>
      </c:valAx>
      <c:catAx>
        <c:axId val="470263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0271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8.2868711341152285E-2"/>
          <c:y val="1.6101208562631166E-2"/>
          <c:w val="0.86541225703430424"/>
          <c:h val="5.50219711767236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 baseline="0"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502030893210284E-2"/>
          <c:y val="3.5996333151934491E-2"/>
          <c:w val="0.91431975082393391"/>
          <c:h val="0.91207055443261031"/>
        </c:manualLayout>
      </c:layout>
      <c:areaChart>
        <c:grouping val="standard"/>
        <c:varyColors val="0"/>
        <c:ser>
          <c:idx val="3"/>
          <c:order val="3"/>
          <c:tx>
            <c:strRef>
              <c:f>wykres!$A$11</c:f>
              <c:strCache>
                <c:ptCount val="1"/>
                <c:pt idx="0">
                  <c:v>Zapotrzebowanie energetyczne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rgbClr val="54C5D1"/>
                </a:gs>
                <a:gs pos="100000">
                  <a:srgbClr val="54C5D1"/>
                </a:gs>
              </a:gsLst>
              <a:lin ang="0" scaled="1"/>
              <a:tileRect/>
            </a:gradFill>
            <a:ln w="25400">
              <a:noFill/>
            </a:ln>
            <a:effectLst/>
          </c:spPr>
          <c:cat>
            <c:numLit>
              <c:formatCode>General</c:formatCode>
              <c:ptCount val="49"/>
              <c:pt idx="0">
                <c:v>-20</c:v>
              </c:pt>
              <c:pt idx="1">
                <c:v>-17</c:v>
              </c:pt>
              <c:pt idx="2">
                <c:v>-16</c:v>
              </c:pt>
              <c:pt idx="3">
                <c:v>-15</c:v>
              </c:pt>
              <c:pt idx="4">
                <c:v>-14</c:v>
              </c:pt>
              <c:pt idx="5">
                <c:v>-13</c:v>
              </c:pt>
              <c:pt idx="6">
                <c:v>-12</c:v>
              </c:pt>
              <c:pt idx="7">
                <c:v>-11</c:v>
              </c:pt>
              <c:pt idx="8">
                <c:v>-10</c:v>
              </c:pt>
              <c:pt idx="9">
                <c:v>-9</c:v>
              </c:pt>
              <c:pt idx="10">
                <c:v>-8</c:v>
              </c:pt>
              <c:pt idx="11">
                <c:v>-7</c:v>
              </c:pt>
              <c:pt idx="12">
                <c:v>-6</c:v>
              </c:pt>
              <c:pt idx="13">
                <c:v>-5</c:v>
              </c:pt>
              <c:pt idx="14">
                <c:v>-4</c:v>
              </c:pt>
              <c:pt idx="15">
                <c:v>-3</c:v>
              </c:pt>
              <c:pt idx="16">
                <c:v>-2</c:v>
              </c:pt>
              <c:pt idx="17">
                <c:v>-1</c:v>
              </c:pt>
              <c:pt idx="18">
                <c:v>0</c:v>
              </c:pt>
              <c:pt idx="19">
                <c:v>1</c:v>
              </c:pt>
              <c:pt idx="20">
                <c:v>2</c:v>
              </c:pt>
              <c:pt idx="21">
                <c:v>3</c:v>
              </c:pt>
              <c:pt idx="22">
                <c:v>4</c:v>
              </c:pt>
              <c:pt idx="23">
                <c:v>5</c:v>
              </c:pt>
              <c:pt idx="24">
                <c:v>6</c:v>
              </c:pt>
              <c:pt idx="25">
                <c:v>7</c:v>
              </c:pt>
              <c:pt idx="26">
                <c:v>8</c:v>
              </c:pt>
              <c:pt idx="27">
                <c:v>9</c:v>
              </c:pt>
              <c:pt idx="28">
                <c:v>10</c:v>
              </c:pt>
              <c:pt idx="29">
                <c:v>11</c:v>
              </c:pt>
              <c:pt idx="30">
                <c:v>12</c:v>
              </c:pt>
              <c:pt idx="31">
                <c:v>13</c:v>
              </c:pt>
              <c:pt idx="32">
                <c:v>14</c:v>
              </c:pt>
              <c:pt idx="33">
                <c:v>15</c:v>
              </c:pt>
              <c:pt idx="34">
                <c:v>16</c:v>
              </c:pt>
              <c:pt idx="35">
                <c:v>17</c:v>
              </c:pt>
              <c:pt idx="36">
                <c:v>18</c:v>
              </c:pt>
              <c:pt idx="37">
                <c:v>19</c:v>
              </c:pt>
              <c:pt idx="38">
                <c:v>20</c:v>
              </c:pt>
              <c:pt idx="39">
                <c:v>21</c:v>
              </c:pt>
              <c:pt idx="40">
                <c:v>22</c:v>
              </c:pt>
              <c:pt idx="41">
                <c:v>23</c:v>
              </c:pt>
              <c:pt idx="42">
                <c:v>24</c:v>
              </c:pt>
              <c:pt idx="43">
                <c:v>25</c:v>
              </c:pt>
              <c:pt idx="44">
                <c:v>26</c:v>
              </c:pt>
              <c:pt idx="45">
                <c:v>27</c:v>
              </c:pt>
              <c:pt idx="46">
                <c:v>28</c:v>
              </c:pt>
              <c:pt idx="47">
                <c:v>29</c:v>
              </c:pt>
              <c:pt idx="48">
                <c:v>30</c:v>
              </c:pt>
            </c:numLit>
          </c:cat>
          <c:val>
            <c:numRef>
              <c:f>wykres!$C$11:$AY$11</c:f>
              <c:numCache>
                <c:formatCode>0.00</c:formatCode>
                <c:ptCount val="49"/>
                <c:pt idx="0">
                  <c:v>4.5157314718667516</c:v>
                </c:pt>
                <c:pt idx="1">
                  <c:v>4.5157314718667516</c:v>
                </c:pt>
                <c:pt idx="2">
                  <c:v>4.4041833754260082</c:v>
                </c:pt>
                <c:pt idx="3">
                  <c:v>4.2926352789852658</c:v>
                </c:pt>
                <c:pt idx="4">
                  <c:v>4.1810871825445224</c:v>
                </c:pt>
                <c:pt idx="5">
                  <c:v>4.069539086103779</c:v>
                </c:pt>
                <c:pt idx="6">
                  <c:v>3.9579909896630361</c:v>
                </c:pt>
                <c:pt idx="7">
                  <c:v>3.8464428932222932</c:v>
                </c:pt>
                <c:pt idx="8">
                  <c:v>3.7348947967815498</c:v>
                </c:pt>
                <c:pt idx="9">
                  <c:v>3.6233467003408069</c:v>
                </c:pt>
                <c:pt idx="10">
                  <c:v>3.5117986039000639</c:v>
                </c:pt>
                <c:pt idx="11">
                  <c:v>3.4002505074593206</c:v>
                </c:pt>
                <c:pt idx="12">
                  <c:v>3.2887024110185776</c:v>
                </c:pt>
                <c:pt idx="13">
                  <c:v>3.1771543145778347</c:v>
                </c:pt>
                <c:pt idx="14">
                  <c:v>3.0656062181370913</c:v>
                </c:pt>
                <c:pt idx="15">
                  <c:v>2.9540581216963484</c:v>
                </c:pt>
                <c:pt idx="16">
                  <c:v>2.8425100252556055</c:v>
                </c:pt>
                <c:pt idx="17">
                  <c:v>2.7309619288148621</c:v>
                </c:pt>
                <c:pt idx="18">
                  <c:v>2.6194138323741187</c:v>
                </c:pt>
                <c:pt idx="19">
                  <c:v>2.5078657359333758</c:v>
                </c:pt>
                <c:pt idx="20">
                  <c:v>2.3963176394926329</c:v>
                </c:pt>
                <c:pt idx="21">
                  <c:v>2.2847695430518895</c:v>
                </c:pt>
                <c:pt idx="22">
                  <c:v>2.1732214466111466</c:v>
                </c:pt>
                <c:pt idx="23">
                  <c:v>2.0616733501704037</c:v>
                </c:pt>
                <c:pt idx="24">
                  <c:v>1.9501252537296603</c:v>
                </c:pt>
                <c:pt idx="25">
                  <c:v>1.8385771572889174</c:v>
                </c:pt>
                <c:pt idx="26">
                  <c:v>1.7270290608481744</c:v>
                </c:pt>
                <c:pt idx="27">
                  <c:v>1.6154809644074311</c:v>
                </c:pt>
                <c:pt idx="28">
                  <c:v>1.5039328679666881</c:v>
                </c:pt>
                <c:pt idx="29">
                  <c:v>1.3923847715259452</c:v>
                </c:pt>
                <c:pt idx="30">
                  <c:v>1.2808366750852018</c:v>
                </c:pt>
                <c:pt idx="31">
                  <c:v>1.1692885786444589</c:v>
                </c:pt>
                <c:pt idx="32">
                  <c:v>1.0577404822037155</c:v>
                </c:pt>
                <c:pt idx="33">
                  <c:v>0.9461923857629726</c:v>
                </c:pt>
                <c:pt idx="34">
                  <c:v>0.83464428932222967</c:v>
                </c:pt>
                <c:pt idx="35">
                  <c:v>0.7230961928814863</c:v>
                </c:pt>
                <c:pt idx="36">
                  <c:v>0.61154809644074337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2-4578-8F8F-2B71DEF5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261936"/>
        <c:axId val="470262480"/>
        <c:extLst>
          <c:ext xmlns:c15="http://schemas.microsoft.com/office/drawing/2012/chart" uri="{02D57815-91ED-43cb-92C2-25804820EDAC}">
            <c15:filteredArea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wykres!$A$12</c15:sqref>
                        </c15:formulaRef>
                      </c:ext>
                    </c:extLst>
                    <c:strCache>
                      <c:ptCount val="1"/>
                      <c:pt idx="0">
                        <c:v>chłodzenie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Lit>
                    <c:formatCode>General</c:formatCode>
                    <c:ptCount val="49"/>
                    <c:pt idx="0">
                      <c:v>-20</c:v>
                    </c:pt>
                    <c:pt idx="1">
                      <c:v>-17</c:v>
                    </c:pt>
                    <c:pt idx="2">
                      <c:v>-16</c:v>
                    </c:pt>
                    <c:pt idx="3">
                      <c:v>-15</c:v>
                    </c:pt>
                    <c:pt idx="4">
                      <c:v>-14</c:v>
                    </c:pt>
                    <c:pt idx="5">
                      <c:v>-13</c:v>
                    </c:pt>
                    <c:pt idx="6">
                      <c:v>-12</c:v>
                    </c:pt>
                    <c:pt idx="7">
                      <c:v>-11</c:v>
                    </c:pt>
                    <c:pt idx="8">
                      <c:v>-10</c:v>
                    </c:pt>
                    <c:pt idx="9">
                      <c:v>-9</c:v>
                    </c:pt>
                    <c:pt idx="10">
                      <c:v>-8</c:v>
                    </c:pt>
                    <c:pt idx="11">
                      <c:v>-7</c:v>
                    </c:pt>
                    <c:pt idx="12">
                      <c:v>-6</c:v>
                    </c:pt>
                    <c:pt idx="13">
                      <c:v>-5</c:v>
                    </c:pt>
                    <c:pt idx="14">
                      <c:v>-4</c:v>
                    </c:pt>
                    <c:pt idx="15">
                      <c:v>-3</c:v>
                    </c:pt>
                    <c:pt idx="16">
                      <c:v>-2</c:v>
                    </c:pt>
                    <c:pt idx="17">
                      <c:v>-1</c:v>
                    </c:pt>
                    <c:pt idx="18">
                      <c:v>0</c:v>
                    </c:pt>
                    <c:pt idx="19">
                      <c:v>1</c:v>
                    </c:pt>
                    <c:pt idx="20">
                      <c:v>2</c:v>
                    </c:pt>
                    <c:pt idx="21">
                      <c:v>3</c:v>
                    </c:pt>
                    <c:pt idx="22">
                      <c:v>4</c:v>
                    </c:pt>
                    <c:pt idx="23">
                      <c:v>5</c:v>
                    </c:pt>
                    <c:pt idx="24">
                      <c:v>6</c:v>
                    </c:pt>
                    <c:pt idx="25">
                      <c:v>7</c:v>
                    </c:pt>
                    <c:pt idx="26">
                      <c:v>8</c:v>
                    </c:pt>
                    <c:pt idx="27">
                      <c:v>9</c:v>
                    </c:pt>
                    <c:pt idx="28">
                      <c:v>10</c:v>
                    </c:pt>
                    <c:pt idx="29">
                      <c:v>11</c:v>
                    </c:pt>
                    <c:pt idx="30">
                      <c:v>12</c:v>
                    </c:pt>
                    <c:pt idx="31">
                      <c:v>13</c:v>
                    </c:pt>
                    <c:pt idx="32">
                      <c:v>14</c:v>
                    </c:pt>
                    <c:pt idx="33">
                      <c:v>15</c:v>
                    </c:pt>
                    <c:pt idx="34">
                      <c:v>16</c:v>
                    </c:pt>
                    <c:pt idx="35">
                      <c:v>17</c:v>
                    </c:pt>
                    <c:pt idx="36">
                      <c:v>18</c:v>
                    </c:pt>
                    <c:pt idx="37">
                      <c:v>19</c:v>
                    </c:pt>
                    <c:pt idx="38">
                      <c:v>20</c:v>
                    </c:pt>
                    <c:pt idx="39">
                      <c:v>21</c:v>
                    </c:pt>
                    <c:pt idx="40">
                      <c:v>22</c:v>
                    </c:pt>
                    <c:pt idx="41">
                      <c:v>23</c:v>
                    </c:pt>
                    <c:pt idx="42">
                      <c:v>24</c:v>
                    </c:pt>
                    <c:pt idx="43">
                      <c:v>25</c:v>
                    </c:pt>
                    <c:pt idx="44">
                      <c:v>26</c:v>
                    </c:pt>
                    <c:pt idx="45">
                      <c:v>27</c:v>
                    </c:pt>
                    <c:pt idx="46">
                      <c:v>28</c:v>
                    </c:pt>
                    <c:pt idx="47">
                      <c:v>29</c:v>
                    </c:pt>
                    <c:pt idx="48">
                      <c:v>30</c:v>
                    </c:pt>
                  </c:numLit>
                </c:cat>
                <c:val>
                  <c:numRef>
                    <c:extLst>
                      <c:ext uri="{02D57815-91ED-43cb-92C2-25804820EDAC}">
                        <c15:formulaRef>
                          <c15:sqref>wykres!$C$12:$AY$12</c15:sqref>
                        </c15:formulaRef>
                      </c:ext>
                    </c:extLst>
                    <c:numCache>
                      <c:formatCode>General</c:formatCode>
                      <c:ptCount val="4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AD2-4578-8F8F-2B71DEF5F4FF}"/>
                  </c:ext>
                </c:extLst>
              </c15:ser>
            </c15:filteredAreaSeries>
          </c:ext>
        </c:extLst>
      </c:areaChart>
      <c:areaChart>
        <c:grouping val="standard"/>
        <c:varyColors val="0"/>
        <c:ser>
          <c:idx val="8"/>
          <c:order val="8"/>
          <c:tx>
            <c:strRef>
              <c:f>wykres!$A$9</c:f>
              <c:strCache>
                <c:ptCount val="1"/>
                <c:pt idx="0">
                  <c:v>CWU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rgbClr val="5AFF2D"/>
                </a:gs>
              </a:gsLst>
              <a:lin ang="5400000" scaled="0"/>
            </a:gradFill>
            <a:ln>
              <a:noFill/>
            </a:ln>
            <a:effectLst/>
          </c:spPr>
          <c:val>
            <c:numRef>
              <c:f>wykres!$C$9:$AY$9</c:f>
              <c:numCache>
                <c:formatCode>0.00</c:formatCode>
                <c:ptCount val="4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AA-4656-A8BD-8A3F57667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263568"/>
        <c:axId val="470271184"/>
      </c:areaChart>
      <c:lineChart>
        <c:grouping val="standard"/>
        <c:varyColors val="0"/>
        <c:ser>
          <c:idx val="1"/>
          <c:order val="1"/>
          <c:tx>
            <c:strRef>
              <c:f>wykres!$A$7</c:f>
              <c:strCache>
                <c:ptCount val="1"/>
                <c:pt idx="0">
                  <c:v>suma PC</c:v>
                </c:pt>
              </c:strCache>
            </c:strRef>
          </c:tx>
          <c:spPr>
            <a:ln w="28575" cap="rnd">
              <a:solidFill>
                <a:srgbClr val="8037B7"/>
              </a:solidFill>
              <a:round/>
            </a:ln>
            <a:effectLst>
              <a:glow rad="63500">
                <a:srgbClr val="8037B7">
                  <a:alpha val="40000"/>
                </a:srgbClr>
              </a:glow>
            </a:effectLst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D2-4578-8F8F-2B71DEF5F4FF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49"/>
              <c:pt idx="0">
                <c:v>-20</c:v>
              </c:pt>
              <c:pt idx="1">
                <c:v>-17</c:v>
              </c:pt>
              <c:pt idx="2">
                <c:v>-16</c:v>
              </c:pt>
              <c:pt idx="3">
                <c:v>-15</c:v>
              </c:pt>
              <c:pt idx="4">
                <c:v>-14</c:v>
              </c:pt>
              <c:pt idx="5">
                <c:v>-13</c:v>
              </c:pt>
              <c:pt idx="6">
                <c:v>-12</c:v>
              </c:pt>
              <c:pt idx="7">
                <c:v>-11</c:v>
              </c:pt>
              <c:pt idx="8">
                <c:v>-10</c:v>
              </c:pt>
              <c:pt idx="9">
                <c:v>-9</c:v>
              </c:pt>
              <c:pt idx="10">
                <c:v>-8</c:v>
              </c:pt>
              <c:pt idx="11">
                <c:v>-7</c:v>
              </c:pt>
              <c:pt idx="12">
                <c:v>-6</c:v>
              </c:pt>
              <c:pt idx="13">
                <c:v>-5</c:v>
              </c:pt>
              <c:pt idx="14">
                <c:v>-4</c:v>
              </c:pt>
              <c:pt idx="15">
                <c:v>-3</c:v>
              </c:pt>
              <c:pt idx="16">
                <c:v>-2</c:v>
              </c:pt>
              <c:pt idx="17">
                <c:v>-1</c:v>
              </c:pt>
              <c:pt idx="18">
                <c:v>0</c:v>
              </c:pt>
              <c:pt idx="19">
                <c:v>1</c:v>
              </c:pt>
              <c:pt idx="20">
                <c:v>2</c:v>
              </c:pt>
              <c:pt idx="21">
                <c:v>3</c:v>
              </c:pt>
              <c:pt idx="22">
                <c:v>4</c:v>
              </c:pt>
              <c:pt idx="23">
                <c:v>5</c:v>
              </c:pt>
              <c:pt idx="24">
                <c:v>6</c:v>
              </c:pt>
              <c:pt idx="25">
                <c:v>7</c:v>
              </c:pt>
              <c:pt idx="26">
                <c:v>8</c:v>
              </c:pt>
              <c:pt idx="27">
                <c:v>9</c:v>
              </c:pt>
              <c:pt idx="28">
                <c:v>10</c:v>
              </c:pt>
              <c:pt idx="29">
                <c:v>11</c:v>
              </c:pt>
              <c:pt idx="30">
                <c:v>12</c:v>
              </c:pt>
              <c:pt idx="31">
                <c:v>13</c:v>
              </c:pt>
              <c:pt idx="32">
                <c:v>14</c:v>
              </c:pt>
              <c:pt idx="33">
                <c:v>15</c:v>
              </c:pt>
              <c:pt idx="34">
                <c:v>16</c:v>
              </c:pt>
              <c:pt idx="35">
                <c:v>17</c:v>
              </c:pt>
              <c:pt idx="36">
                <c:v>18</c:v>
              </c:pt>
              <c:pt idx="37">
                <c:v>19</c:v>
              </c:pt>
              <c:pt idx="38">
                <c:v>20</c:v>
              </c:pt>
              <c:pt idx="39">
                <c:v>21</c:v>
              </c:pt>
              <c:pt idx="40">
                <c:v>22</c:v>
              </c:pt>
              <c:pt idx="41">
                <c:v>23</c:v>
              </c:pt>
              <c:pt idx="42">
                <c:v>24</c:v>
              </c:pt>
              <c:pt idx="43">
                <c:v>25</c:v>
              </c:pt>
              <c:pt idx="44">
                <c:v>26</c:v>
              </c:pt>
              <c:pt idx="45">
                <c:v>27</c:v>
              </c:pt>
              <c:pt idx="46">
                <c:v>28</c:v>
              </c:pt>
              <c:pt idx="47">
                <c:v>29</c:v>
              </c:pt>
              <c:pt idx="48">
                <c:v>30</c:v>
              </c:pt>
            </c:numLit>
          </c:cat>
          <c:val>
            <c:numRef>
              <c:f>wykres!$C$7:$AY$7</c:f>
              <c:numCache>
                <c:formatCode>0.00</c:formatCode>
                <c:ptCount val="4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9.2555999999999994</c:v>
                </c:pt>
                <c:pt idx="27">
                  <c:v>9.5112000000000005</c:v>
                </c:pt>
                <c:pt idx="28">
                  <c:v>9.7667999999999999</c:v>
                </c:pt>
                <c:pt idx="29">
                  <c:v>10.022400000000001</c:v>
                </c:pt>
                <c:pt idx="30">
                  <c:v>10.278</c:v>
                </c:pt>
                <c:pt idx="31">
                  <c:v>10.533333333333333</c:v>
                </c:pt>
                <c:pt idx="32">
                  <c:v>10.788666666666668</c:v>
                </c:pt>
                <c:pt idx="33">
                  <c:v>11.044</c:v>
                </c:pt>
                <c:pt idx="34">
                  <c:v>11.299200000000001</c:v>
                </c:pt>
                <c:pt idx="35">
                  <c:v>11.554400000000001</c:v>
                </c:pt>
                <c:pt idx="36">
                  <c:v>11.8096</c:v>
                </c:pt>
                <c:pt idx="37">
                  <c:v>12.0648</c:v>
                </c:pt>
                <c:pt idx="38">
                  <c:v>12.32</c:v>
                </c:pt>
                <c:pt idx="39">
                  <c:v>12.32</c:v>
                </c:pt>
                <c:pt idx="40">
                  <c:v>12.32</c:v>
                </c:pt>
                <c:pt idx="41">
                  <c:v>12.32</c:v>
                </c:pt>
                <c:pt idx="42">
                  <c:v>12.32</c:v>
                </c:pt>
                <c:pt idx="43">
                  <c:v>12.32</c:v>
                </c:pt>
                <c:pt idx="44">
                  <c:v>12.32</c:v>
                </c:pt>
                <c:pt idx="45">
                  <c:v>12.32</c:v>
                </c:pt>
                <c:pt idx="46">
                  <c:v>12.32</c:v>
                </c:pt>
                <c:pt idx="47">
                  <c:v>12.32</c:v>
                </c:pt>
                <c:pt idx="48">
                  <c:v>12.32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D2-4578-8F8F-2B71DEF5F4FF}"/>
            </c:ext>
          </c:extLst>
        </c:ser>
        <c:ser>
          <c:idx val="2"/>
          <c:order val="2"/>
          <c:tx>
            <c:strRef>
              <c:f>wykres!$A$8</c:f>
              <c:strCache>
                <c:ptCount val="1"/>
                <c:pt idx="0">
                  <c:v>moc z grzałkami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>
              <a:glow rad="63500">
                <a:srgbClr val="FF0000">
                  <a:alpha val="40000"/>
                </a:srgbClr>
              </a:glow>
            </a:effectLst>
          </c:spPr>
          <c:marker>
            <c:symbol val="none"/>
          </c:marker>
          <c:cat>
            <c:numLit>
              <c:formatCode>General</c:formatCode>
              <c:ptCount val="49"/>
              <c:pt idx="0">
                <c:v>-20</c:v>
              </c:pt>
              <c:pt idx="1">
                <c:v>-17</c:v>
              </c:pt>
              <c:pt idx="2">
                <c:v>-16</c:v>
              </c:pt>
              <c:pt idx="3">
                <c:v>-15</c:v>
              </c:pt>
              <c:pt idx="4">
                <c:v>-14</c:v>
              </c:pt>
              <c:pt idx="5">
                <c:v>-13</c:v>
              </c:pt>
              <c:pt idx="6">
                <c:v>-12</c:v>
              </c:pt>
              <c:pt idx="7">
                <c:v>-11</c:v>
              </c:pt>
              <c:pt idx="8">
                <c:v>-10</c:v>
              </c:pt>
              <c:pt idx="9">
                <c:v>-9</c:v>
              </c:pt>
              <c:pt idx="10">
                <c:v>-8</c:v>
              </c:pt>
              <c:pt idx="11">
                <c:v>-7</c:v>
              </c:pt>
              <c:pt idx="12">
                <c:v>-6</c:v>
              </c:pt>
              <c:pt idx="13">
                <c:v>-5</c:v>
              </c:pt>
              <c:pt idx="14">
                <c:v>-4</c:v>
              </c:pt>
              <c:pt idx="15">
                <c:v>-3</c:v>
              </c:pt>
              <c:pt idx="16">
                <c:v>-2</c:v>
              </c:pt>
              <c:pt idx="17">
                <c:v>-1</c:v>
              </c:pt>
              <c:pt idx="18">
                <c:v>0</c:v>
              </c:pt>
              <c:pt idx="19">
                <c:v>1</c:v>
              </c:pt>
              <c:pt idx="20">
                <c:v>2</c:v>
              </c:pt>
              <c:pt idx="21">
                <c:v>3</c:v>
              </c:pt>
              <c:pt idx="22">
                <c:v>4</c:v>
              </c:pt>
              <c:pt idx="23">
                <c:v>5</c:v>
              </c:pt>
              <c:pt idx="24">
                <c:v>6</c:v>
              </c:pt>
              <c:pt idx="25">
                <c:v>7</c:v>
              </c:pt>
              <c:pt idx="26">
                <c:v>8</c:v>
              </c:pt>
              <c:pt idx="27">
                <c:v>9</c:v>
              </c:pt>
              <c:pt idx="28">
                <c:v>10</c:v>
              </c:pt>
              <c:pt idx="29">
                <c:v>11</c:v>
              </c:pt>
              <c:pt idx="30">
                <c:v>12</c:v>
              </c:pt>
              <c:pt idx="31">
                <c:v>13</c:v>
              </c:pt>
              <c:pt idx="32">
                <c:v>14</c:v>
              </c:pt>
              <c:pt idx="33">
                <c:v>15</c:v>
              </c:pt>
              <c:pt idx="34">
                <c:v>16</c:v>
              </c:pt>
              <c:pt idx="35">
                <c:v>17</c:v>
              </c:pt>
              <c:pt idx="36">
                <c:v>18</c:v>
              </c:pt>
              <c:pt idx="37">
                <c:v>19</c:v>
              </c:pt>
              <c:pt idx="38">
                <c:v>20</c:v>
              </c:pt>
              <c:pt idx="39">
                <c:v>21</c:v>
              </c:pt>
              <c:pt idx="40">
                <c:v>22</c:v>
              </c:pt>
              <c:pt idx="41">
                <c:v>23</c:v>
              </c:pt>
              <c:pt idx="42">
                <c:v>24</c:v>
              </c:pt>
              <c:pt idx="43">
                <c:v>25</c:v>
              </c:pt>
              <c:pt idx="44">
                <c:v>26</c:v>
              </c:pt>
              <c:pt idx="45">
                <c:v>27</c:v>
              </c:pt>
              <c:pt idx="46">
                <c:v>28</c:v>
              </c:pt>
              <c:pt idx="47">
                <c:v>29</c:v>
              </c:pt>
              <c:pt idx="48">
                <c:v>30</c:v>
              </c:pt>
            </c:numLit>
          </c:cat>
          <c:val>
            <c:numRef>
              <c:f>wykres!$C$8:$AY$8</c:f>
              <c:numCache>
                <c:formatCode>0.00</c:formatCode>
                <c:ptCount val="4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12.255599999999999</c:v>
                </c:pt>
                <c:pt idx="27">
                  <c:v>12.511200000000001</c:v>
                </c:pt>
                <c:pt idx="28">
                  <c:v>12.7668</c:v>
                </c:pt>
                <c:pt idx="29">
                  <c:v>13.022400000000001</c:v>
                </c:pt>
                <c:pt idx="30">
                  <c:v>13.278</c:v>
                </c:pt>
                <c:pt idx="31">
                  <c:v>13.533333333333333</c:v>
                </c:pt>
                <c:pt idx="32">
                  <c:v>13.788666666666668</c:v>
                </c:pt>
                <c:pt idx="33">
                  <c:v>14.044</c:v>
                </c:pt>
                <c:pt idx="34">
                  <c:v>14.299200000000001</c:v>
                </c:pt>
                <c:pt idx="35">
                  <c:v>14.554400000000001</c:v>
                </c:pt>
                <c:pt idx="36">
                  <c:v>14.8096</c:v>
                </c:pt>
                <c:pt idx="37">
                  <c:v>15.0648</c:v>
                </c:pt>
                <c:pt idx="38">
                  <c:v>15.32</c:v>
                </c:pt>
                <c:pt idx="39">
                  <c:v>15.32</c:v>
                </c:pt>
                <c:pt idx="40">
                  <c:v>15.32</c:v>
                </c:pt>
                <c:pt idx="41">
                  <c:v>15.32</c:v>
                </c:pt>
                <c:pt idx="42">
                  <c:v>15.32</c:v>
                </c:pt>
                <c:pt idx="43">
                  <c:v>15.32</c:v>
                </c:pt>
                <c:pt idx="44">
                  <c:v>15.32</c:v>
                </c:pt>
                <c:pt idx="45">
                  <c:v>15.32</c:v>
                </c:pt>
                <c:pt idx="46">
                  <c:v>15.32</c:v>
                </c:pt>
                <c:pt idx="47">
                  <c:v>15.32</c:v>
                </c:pt>
                <c:pt idx="48">
                  <c:v>15.32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D2-4578-8F8F-2B71DEF5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1936"/>
        <c:axId val="470262480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wykres!$A$15</c15:sqref>
                        </c15:formulaRef>
                      </c:ext>
                    </c:extLst>
                    <c:strCache>
                      <c:ptCount val="1"/>
                      <c:pt idx="0">
                        <c:v>zużycie PC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49"/>
                    <c:pt idx="0">
                      <c:v>-20</c:v>
                    </c:pt>
                    <c:pt idx="1">
                      <c:v>-17</c:v>
                    </c:pt>
                    <c:pt idx="2">
                      <c:v>-16</c:v>
                    </c:pt>
                    <c:pt idx="3">
                      <c:v>-15</c:v>
                    </c:pt>
                    <c:pt idx="4">
                      <c:v>-14</c:v>
                    </c:pt>
                    <c:pt idx="5">
                      <c:v>-13</c:v>
                    </c:pt>
                    <c:pt idx="6">
                      <c:v>-12</c:v>
                    </c:pt>
                    <c:pt idx="7">
                      <c:v>-11</c:v>
                    </c:pt>
                    <c:pt idx="8">
                      <c:v>-10</c:v>
                    </c:pt>
                    <c:pt idx="9">
                      <c:v>-9</c:v>
                    </c:pt>
                    <c:pt idx="10">
                      <c:v>-8</c:v>
                    </c:pt>
                    <c:pt idx="11">
                      <c:v>-7</c:v>
                    </c:pt>
                    <c:pt idx="12">
                      <c:v>-6</c:v>
                    </c:pt>
                    <c:pt idx="13">
                      <c:v>-5</c:v>
                    </c:pt>
                    <c:pt idx="14">
                      <c:v>-4</c:v>
                    </c:pt>
                    <c:pt idx="15">
                      <c:v>-3</c:v>
                    </c:pt>
                    <c:pt idx="16">
                      <c:v>-2</c:v>
                    </c:pt>
                    <c:pt idx="17">
                      <c:v>-1</c:v>
                    </c:pt>
                    <c:pt idx="18">
                      <c:v>0</c:v>
                    </c:pt>
                    <c:pt idx="19">
                      <c:v>1</c:v>
                    </c:pt>
                    <c:pt idx="20">
                      <c:v>2</c:v>
                    </c:pt>
                    <c:pt idx="21">
                      <c:v>3</c:v>
                    </c:pt>
                    <c:pt idx="22">
                      <c:v>4</c:v>
                    </c:pt>
                    <c:pt idx="23">
                      <c:v>5</c:v>
                    </c:pt>
                    <c:pt idx="24">
                      <c:v>6</c:v>
                    </c:pt>
                    <c:pt idx="25">
                      <c:v>7</c:v>
                    </c:pt>
                    <c:pt idx="26">
                      <c:v>8</c:v>
                    </c:pt>
                    <c:pt idx="27">
                      <c:v>9</c:v>
                    </c:pt>
                    <c:pt idx="28">
                      <c:v>10</c:v>
                    </c:pt>
                    <c:pt idx="29">
                      <c:v>11</c:v>
                    </c:pt>
                    <c:pt idx="30">
                      <c:v>12</c:v>
                    </c:pt>
                    <c:pt idx="31">
                      <c:v>13</c:v>
                    </c:pt>
                    <c:pt idx="32">
                      <c:v>14</c:v>
                    </c:pt>
                    <c:pt idx="33">
                      <c:v>15</c:v>
                    </c:pt>
                    <c:pt idx="34">
                      <c:v>16</c:v>
                    </c:pt>
                    <c:pt idx="35">
                      <c:v>17</c:v>
                    </c:pt>
                    <c:pt idx="36">
                      <c:v>18</c:v>
                    </c:pt>
                    <c:pt idx="37">
                      <c:v>19</c:v>
                    </c:pt>
                    <c:pt idx="38">
                      <c:v>20</c:v>
                    </c:pt>
                    <c:pt idx="39">
                      <c:v>21</c:v>
                    </c:pt>
                    <c:pt idx="40">
                      <c:v>22</c:v>
                    </c:pt>
                    <c:pt idx="41">
                      <c:v>23</c:v>
                    </c:pt>
                    <c:pt idx="42">
                      <c:v>24</c:v>
                    </c:pt>
                    <c:pt idx="43">
                      <c:v>25</c:v>
                    </c:pt>
                    <c:pt idx="44">
                      <c:v>26</c:v>
                    </c:pt>
                    <c:pt idx="45">
                      <c:v>27</c:v>
                    </c:pt>
                    <c:pt idx="46">
                      <c:v>28</c:v>
                    </c:pt>
                    <c:pt idx="47">
                      <c:v>29</c:v>
                    </c:pt>
                    <c:pt idx="48">
                      <c:v>30</c:v>
                    </c:pt>
                  </c:numLit>
                </c:cat>
                <c:val>
                  <c:numRef>
                    <c:extLst>
                      <c:ext uri="{02D57815-91ED-43cb-92C2-25804820EDAC}">
                        <c15:formulaRef>
                          <c15:sqref>wykres!$C$15:$AY$15</c15:sqref>
                        </c15:formulaRef>
                      </c:ext>
                    </c:extLst>
                    <c:numCache>
                      <c:formatCode>0.00</c:formatCode>
                      <c:ptCount val="49"/>
                      <c:pt idx="0">
                        <c:v>4.5</c:v>
                      </c:pt>
                      <c:pt idx="1">
                        <c:v>3.9059999999999997</c:v>
                      </c:pt>
                      <c:pt idx="2">
                        <c:v>3.7079999999999997</c:v>
                      </c:pt>
                      <c:pt idx="3">
                        <c:v>3.51</c:v>
                      </c:pt>
                      <c:pt idx="4">
                        <c:v>3.4662499999999996</c:v>
                      </c:pt>
                      <c:pt idx="5">
                        <c:v>3.4224999999999999</c:v>
                      </c:pt>
                      <c:pt idx="6">
                        <c:v>3.3787500000000001</c:v>
                      </c:pt>
                      <c:pt idx="7">
                        <c:v>3.335</c:v>
                      </c:pt>
                      <c:pt idx="8">
                        <c:v>3.2912499999999998</c:v>
                      </c:pt>
                      <c:pt idx="9">
                        <c:v>3.2475000000000001</c:v>
                      </c:pt>
                      <c:pt idx="10">
                        <c:v>3.2037500000000003</c:v>
                      </c:pt>
                      <c:pt idx="11">
                        <c:v>3.16</c:v>
                      </c:pt>
                      <c:pt idx="12">
                        <c:v>3.0877777777777777</c:v>
                      </c:pt>
                      <c:pt idx="13">
                        <c:v>3.0155555555555558</c:v>
                      </c:pt>
                      <c:pt idx="14">
                        <c:v>2.9433333333333334</c:v>
                      </c:pt>
                      <c:pt idx="15">
                        <c:v>2.8711111111111114</c:v>
                      </c:pt>
                      <c:pt idx="16">
                        <c:v>2.798888888888889</c:v>
                      </c:pt>
                      <c:pt idx="17">
                        <c:v>2.7266666666666666</c:v>
                      </c:pt>
                      <c:pt idx="18">
                        <c:v>2.6544444444444446</c:v>
                      </c:pt>
                      <c:pt idx="19">
                        <c:v>2.5822222222222222</c:v>
                      </c:pt>
                      <c:pt idx="20">
                        <c:v>2.5099999999999998</c:v>
                      </c:pt>
                      <c:pt idx="21">
                        <c:v>2.38</c:v>
                      </c:pt>
                      <c:pt idx="22">
                        <c:v>2.25</c:v>
                      </c:pt>
                      <c:pt idx="23">
                        <c:v>2.12</c:v>
                      </c:pt>
                      <c:pt idx="24">
                        <c:v>1.99</c:v>
                      </c:pt>
                      <c:pt idx="25">
                        <c:v>1.86</c:v>
                      </c:pt>
                      <c:pt idx="26">
                        <c:v>1.85</c:v>
                      </c:pt>
                      <c:pt idx="27">
                        <c:v>1.84</c:v>
                      </c:pt>
                      <c:pt idx="28">
                        <c:v>1.83</c:v>
                      </c:pt>
                      <c:pt idx="29">
                        <c:v>1.82</c:v>
                      </c:pt>
                      <c:pt idx="30">
                        <c:v>1.81</c:v>
                      </c:pt>
                      <c:pt idx="31">
                        <c:v>1.7933333333333334</c:v>
                      </c:pt>
                      <c:pt idx="32">
                        <c:v>1.7766666666666666</c:v>
                      </c:pt>
                      <c:pt idx="33">
                        <c:v>1.76</c:v>
                      </c:pt>
                      <c:pt idx="34">
                        <c:v>1.75</c:v>
                      </c:pt>
                      <c:pt idx="35">
                        <c:v>1.74</c:v>
                      </c:pt>
                      <c:pt idx="36">
                        <c:v>1.73</c:v>
                      </c:pt>
                      <c:pt idx="37">
                        <c:v>1.72</c:v>
                      </c:pt>
                      <c:pt idx="38">
                        <c:v>1.71</c:v>
                      </c:pt>
                      <c:pt idx="39">
                        <c:v>1.71</c:v>
                      </c:pt>
                      <c:pt idx="40">
                        <c:v>1.71</c:v>
                      </c:pt>
                      <c:pt idx="41">
                        <c:v>1.71</c:v>
                      </c:pt>
                      <c:pt idx="42">
                        <c:v>1.71</c:v>
                      </c:pt>
                      <c:pt idx="43">
                        <c:v>1.71</c:v>
                      </c:pt>
                      <c:pt idx="44">
                        <c:v>1.71</c:v>
                      </c:pt>
                      <c:pt idx="45">
                        <c:v>1.71</c:v>
                      </c:pt>
                      <c:pt idx="46">
                        <c:v>1.71</c:v>
                      </c:pt>
                      <c:pt idx="47">
                        <c:v>1.71</c:v>
                      </c:pt>
                      <c:pt idx="48">
                        <c:v>1.71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8AD2-4578-8F8F-2B71DEF5F4FF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6"/>
          <c:order val="6"/>
          <c:tx>
            <c:strRef>
              <c:f>wykres!$B$3</c:f>
              <c:strCache>
                <c:ptCount val="1"/>
                <c:pt idx="0">
                  <c:v>Panasonic 9kW  T-CAP 3F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>
              <a:glow rad="63500">
                <a:srgbClr val="FFFF00">
                  <a:alpha val="40000"/>
                </a:srgbClr>
              </a:glow>
            </a:effectLst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A9-4A52-B32A-4175C6066F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wykres!$C$3:$AY$3</c:f>
              <c:numCache>
                <c:formatCode>0.00</c:formatCode>
                <c:ptCount val="4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9.2555999999999994</c:v>
                </c:pt>
                <c:pt idx="27">
                  <c:v>9.5112000000000005</c:v>
                </c:pt>
                <c:pt idx="28">
                  <c:v>9.7667999999999999</c:v>
                </c:pt>
                <c:pt idx="29">
                  <c:v>10.022400000000001</c:v>
                </c:pt>
                <c:pt idx="30">
                  <c:v>10.278</c:v>
                </c:pt>
                <c:pt idx="31">
                  <c:v>10.533333333333333</c:v>
                </c:pt>
                <c:pt idx="32">
                  <c:v>10.788666666666668</c:v>
                </c:pt>
                <c:pt idx="33">
                  <c:v>11.044</c:v>
                </c:pt>
                <c:pt idx="34">
                  <c:v>11.299200000000001</c:v>
                </c:pt>
                <c:pt idx="35">
                  <c:v>11.554400000000001</c:v>
                </c:pt>
                <c:pt idx="36">
                  <c:v>11.8096</c:v>
                </c:pt>
                <c:pt idx="37">
                  <c:v>12.0648</c:v>
                </c:pt>
                <c:pt idx="38">
                  <c:v>12.32</c:v>
                </c:pt>
                <c:pt idx="39">
                  <c:v>12.32</c:v>
                </c:pt>
                <c:pt idx="40">
                  <c:v>12.32</c:v>
                </c:pt>
                <c:pt idx="41">
                  <c:v>12.32</c:v>
                </c:pt>
                <c:pt idx="42">
                  <c:v>12.32</c:v>
                </c:pt>
                <c:pt idx="43">
                  <c:v>12.32</c:v>
                </c:pt>
                <c:pt idx="44">
                  <c:v>12.32</c:v>
                </c:pt>
                <c:pt idx="45">
                  <c:v>12.32</c:v>
                </c:pt>
                <c:pt idx="46">
                  <c:v>12.32</c:v>
                </c:pt>
                <c:pt idx="47">
                  <c:v>12.32</c:v>
                </c:pt>
                <c:pt idx="48">
                  <c:v>12.32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AD2-4578-8F8F-2B71DEF5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63568"/>
        <c:axId val="4702711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wykres!$B$2</c15:sqref>
                        </c15:formulaRef>
                      </c:ext>
                    </c:extLst>
                    <c:strCache>
                      <c:ptCount val="1"/>
                      <c:pt idx="0">
                        <c:v>Katowice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wykres!$C$1:$AY$1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-20</c:v>
                      </c:pt>
                      <c:pt idx="1">
                        <c:v>-17</c:v>
                      </c:pt>
                      <c:pt idx="2">
                        <c:v>-16</c:v>
                      </c:pt>
                      <c:pt idx="3">
                        <c:v>-15</c:v>
                      </c:pt>
                      <c:pt idx="4">
                        <c:v>-14</c:v>
                      </c:pt>
                      <c:pt idx="5">
                        <c:v>-13</c:v>
                      </c:pt>
                      <c:pt idx="6">
                        <c:v>-12</c:v>
                      </c:pt>
                      <c:pt idx="7">
                        <c:v>-11</c:v>
                      </c:pt>
                      <c:pt idx="8">
                        <c:v>-10</c:v>
                      </c:pt>
                      <c:pt idx="9">
                        <c:v>-9</c:v>
                      </c:pt>
                      <c:pt idx="10">
                        <c:v>-8</c:v>
                      </c:pt>
                      <c:pt idx="11">
                        <c:v>-7</c:v>
                      </c:pt>
                      <c:pt idx="12">
                        <c:v>-6</c:v>
                      </c:pt>
                      <c:pt idx="13">
                        <c:v>-5</c:v>
                      </c:pt>
                      <c:pt idx="14">
                        <c:v>-4</c:v>
                      </c:pt>
                      <c:pt idx="15">
                        <c:v>-3</c:v>
                      </c:pt>
                      <c:pt idx="16">
                        <c:v>-2</c:v>
                      </c:pt>
                      <c:pt idx="17">
                        <c:v>-1</c:v>
                      </c:pt>
                      <c:pt idx="18">
                        <c:v>0</c:v>
                      </c:pt>
                      <c:pt idx="19">
                        <c:v>1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5</c:v>
                      </c:pt>
                      <c:pt idx="24">
                        <c:v>6</c:v>
                      </c:pt>
                      <c:pt idx="25">
                        <c:v>7</c:v>
                      </c:pt>
                      <c:pt idx="26">
                        <c:v>8</c:v>
                      </c:pt>
                      <c:pt idx="27">
                        <c:v>9</c:v>
                      </c:pt>
                      <c:pt idx="28">
                        <c:v>10</c:v>
                      </c:pt>
                      <c:pt idx="29">
                        <c:v>11</c:v>
                      </c:pt>
                      <c:pt idx="30">
                        <c:v>12</c:v>
                      </c:pt>
                      <c:pt idx="31">
                        <c:v>13</c:v>
                      </c:pt>
                      <c:pt idx="32">
                        <c:v>14</c:v>
                      </c:pt>
                      <c:pt idx="33">
                        <c:v>15</c:v>
                      </c:pt>
                      <c:pt idx="34">
                        <c:v>16</c:v>
                      </c:pt>
                      <c:pt idx="35">
                        <c:v>17</c:v>
                      </c:pt>
                      <c:pt idx="36">
                        <c:v>18</c:v>
                      </c:pt>
                      <c:pt idx="37">
                        <c:v>19</c:v>
                      </c:pt>
                      <c:pt idx="38">
                        <c:v>20</c:v>
                      </c:pt>
                      <c:pt idx="39">
                        <c:v>21</c:v>
                      </c:pt>
                      <c:pt idx="40">
                        <c:v>22</c:v>
                      </c:pt>
                      <c:pt idx="41">
                        <c:v>23</c:v>
                      </c:pt>
                      <c:pt idx="42">
                        <c:v>24</c:v>
                      </c:pt>
                      <c:pt idx="43">
                        <c:v>25</c:v>
                      </c:pt>
                      <c:pt idx="44">
                        <c:v>26</c:v>
                      </c:pt>
                      <c:pt idx="45">
                        <c:v>27</c:v>
                      </c:pt>
                      <c:pt idx="46">
                        <c:v>28</c:v>
                      </c:pt>
                      <c:pt idx="47">
                        <c:v>29</c:v>
                      </c:pt>
                      <c:pt idx="48">
                        <c:v>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wykres!$C$2:$AY$2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37</c:v>
                      </c:pt>
                      <c:pt idx="9">
                        <c:v>51</c:v>
                      </c:pt>
                      <c:pt idx="10">
                        <c:v>51</c:v>
                      </c:pt>
                      <c:pt idx="11">
                        <c:v>59</c:v>
                      </c:pt>
                      <c:pt idx="12">
                        <c:v>61</c:v>
                      </c:pt>
                      <c:pt idx="13">
                        <c:v>111</c:v>
                      </c:pt>
                      <c:pt idx="14">
                        <c:v>144</c:v>
                      </c:pt>
                      <c:pt idx="15">
                        <c:v>223</c:v>
                      </c:pt>
                      <c:pt idx="16">
                        <c:v>210</c:v>
                      </c:pt>
                      <c:pt idx="17">
                        <c:v>162</c:v>
                      </c:pt>
                      <c:pt idx="18">
                        <c:v>254</c:v>
                      </c:pt>
                      <c:pt idx="19">
                        <c:v>159</c:v>
                      </c:pt>
                      <c:pt idx="20">
                        <c:v>250</c:v>
                      </c:pt>
                      <c:pt idx="21">
                        <c:v>242</c:v>
                      </c:pt>
                      <c:pt idx="22">
                        <c:v>191</c:v>
                      </c:pt>
                      <c:pt idx="23">
                        <c:v>183</c:v>
                      </c:pt>
                      <c:pt idx="24">
                        <c:v>161</c:v>
                      </c:pt>
                      <c:pt idx="25">
                        <c:v>176</c:v>
                      </c:pt>
                      <c:pt idx="26">
                        <c:v>166</c:v>
                      </c:pt>
                      <c:pt idx="27">
                        <c:v>176</c:v>
                      </c:pt>
                      <c:pt idx="28">
                        <c:v>164</c:v>
                      </c:pt>
                      <c:pt idx="29">
                        <c:v>193</c:v>
                      </c:pt>
                      <c:pt idx="30">
                        <c:v>187</c:v>
                      </c:pt>
                      <c:pt idx="31">
                        <c:v>200</c:v>
                      </c:pt>
                      <c:pt idx="32">
                        <c:v>217</c:v>
                      </c:pt>
                      <c:pt idx="33">
                        <c:v>250</c:v>
                      </c:pt>
                      <c:pt idx="34">
                        <c:v>248</c:v>
                      </c:pt>
                      <c:pt idx="35">
                        <c:v>246</c:v>
                      </c:pt>
                      <c:pt idx="36">
                        <c:v>190</c:v>
                      </c:pt>
                      <c:pt idx="37">
                        <c:v>184</c:v>
                      </c:pt>
                      <c:pt idx="38">
                        <c:v>165</c:v>
                      </c:pt>
                      <c:pt idx="39">
                        <c:v>123</c:v>
                      </c:pt>
                      <c:pt idx="40">
                        <c:v>109</c:v>
                      </c:pt>
                      <c:pt idx="41">
                        <c:v>81</c:v>
                      </c:pt>
                      <c:pt idx="42">
                        <c:v>71</c:v>
                      </c:pt>
                      <c:pt idx="43">
                        <c:v>40</c:v>
                      </c:pt>
                      <c:pt idx="44">
                        <c:v>18</c:v>
                      </c:pt>
                      <c:pt idx="45">
                        <c:v>10</c:v>
                      </c:pt>
                      <c:pt idx="46">
                        <c:v>20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8AD2-4578-8F8F-2B71DEF5F4F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wykres!$B$4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wykres!$C$4:$AY$4</c15:sqref>
                        </c15:formulaRef>
                      </c:ext>
                    </c:extLst>
                    <c:numCache>
                      <c:formatCode>0.00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AD2-4578-8F8F-2B71DEF5F4FF}"/>
                  </c:ext>
                </c:extLst>
              </c15:ser>
            </c15:filteredLineSeries>
          </c:ext>
        </c:extLst>
      </c:lineChart>
      <c:catAx>
        <c:axId val="47026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0262480"/>
        <c:crosses val="autoZero"/>
        <c:auto val="1"/>
        <c:lblAlgn val="ctr"/>
        <c:lblOffset val="100"/>
        <c:noMultiLvlLbl val="0"/>
      </c:catAx>
      <c:valAx>
        <c:axId val="47026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0261936"/>
        <c:crosses val="autoZero"/>
        <c:crossBetween val="between"/>
      </c:valAx>
      <c:valAx>
        <c:axId val="47027118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0263568"/>
        <c:crosses val="max"/>
        <c:crossBetween val="between"/>
      </c:valAx>
      <c:catAx>
        <c:axId val="470263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0271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8.2868711341152285E-2"/>
          <c:y val="1.6101208562631166E-2"/>
          <c:w val="0.86541225703430424"/>
          <c:h val="5.50219711767236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 baseline="0"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</a:t>
            </a:r>
            <a:r>
              <a:rPr lang="pl-PL"/>
              <a:t>ykres temp./godz.</a:t>
            </a:r>
            <a:r>
              <a:rPr lang="pl-PL" baseline="0"/>
              <a:t>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5.2020969941621337E-2"/>
          <c:y val="0.1055859186115537"/>
          <c:w val="0.91250094442728713"/>
          <c:h val="0.76846094132966491"/>
        </c:manualLayout>
      </c:layout>
      <c:lineChart>
        <c:grouping val="standard"/>
        <c:varyColors val="0"/>
        <c:ser>
          <c:idx val="0"/>
          <c:order val="0"/>
          <c:tx>
            <c:strRef>
              <c:f>wykres!$B$2</c:f>
              <c:strCache>
                <c:ptCount val="1"/>
                <c:pt idx="0">
                  <c:v>Katowice</c:v>
                </c:pt>
              </c:strCache>
            </c:strRef>
          </c:tx>
          <c:spPr>
            <a:ln w="28575" cap="rnd">
              <a:solidFill>
                <a:srgbClr val="00DFEA"/>
              </a:solidFill>
              <a:round/>
            </a:ln>
            <a:effectLst>
              <a:glow rad="63500">
                <a:srgbClr val="00DFEA">
                  <a:alpha val="40000"/>
                </a:srgbClr>
              </a:glow>
            </a:effectLst>
          </c:spPr>
          <c:marker>
            <c:symbol val="none"/>
          </c:marker>
          <c:cat>
            <c:numRef>
              <c:f>wykres!$C$1:$AY$1</c:f>
              <c:numCache>
                <c:formatCode>General</c:formatCode>
                <c:ptCount val="49"/>
                <c:pt idx="0">
                  <c:v>-20</c:v>
                </c:pt>
                <c:pt idx="1">
                  <c:v>-17</c:v>
                </c:pt>
                <c:pt idx="2">
                  <c:v>-16</c:v>
                </c:pt>
                <c:pt idx="3">
                  <c:v>-15</c:v>
                </c:pt>
                <c:pt idx="4">
                  <c:v>-14</c:v>
                </c:pt>
                <c:pt idx="5">
                  <c:v>-13</c:v>
                </c:pt>
                <c:pt idx="6">
                  <c:v>-12</c:v>
                </c:pt>
                <c:pt idx="7">
                  <c:v>-11</c:v>
                </c:pt>
                <c:pt idx="8">
                  <c:v>-10</c:v>
                </c:pt>
                <c:pt idx="9">
                  <c:v>-9</c:v>
                </c:pt>
                <c:pt idx="10">
                  <c:v>-8</c:v>
                </c:pt>
                <c:pt idx="11">
                  <c:v>-7</c:v>
                </c:pt>
                <c:pt idx="12">
                  <c:v>-6</c:v>
                </c:pt>
                <c:pt idx="13">
                  <c:v>-5</c:v>
                </c:pt>
                <c:pt idx="14">
                  <c:v>-4</c:v>
                </c:pt>
                <c:pt idx="15">
                  <c:v>-3</c:v>
                </c:pt>
                <c:pt idx="16">
                  <c:v>-2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</c:numCache>
            </c:numRef>
          </c:cat>
          <c:val>
            <c:numRef>
              <c:f>wykres!$C$2:$AY$2</c:f>
              <c:numCache>
                <c:formatCode>General</c:formatCode>
                <c:ptCount val="49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37</c:v>
                </c:pt>
                <c:pt idx="9">
                  <c:v>51</c:v>
                </c:pt>
                <c:pt idx="10">
                  <c:v>51</c:v>
                </c:pt>
                <c:pt idx="11">
                  <c:v>59</c:v>
                </c:pt>
                <c:pt idx="12">
                  <c:v>61</c:v>
                </c:pt>
                <c:pt idx="13">
                  <c:v>111</c:v>
                </c:pt>
                <c:pt idx="14">
                  <c:v>144</c:v>
                </c:pt>
                <c:pt idx="15">
                  <c:v>223</c:v>
                </c:pt>
                <c:pt idx="16">
                  <c:v>210</c:v>
                </c:pt>
                <c:pt idx="17">
                  <c:v>162</c:v>
                </c:pt>
                <c:pt idx="18">
                  <c:v>254</c:v>
                </c:pt>
                <c:pt idx="19">
                  <c:v>159</c:v>
                </c:pt>
                <c:pt idx="20">
                  <c:v>250</c:v>
                </c:pt>
                <c:pt idx="21">
                  <c:v>242</c:v>
                </c:pt>
                <c:pt idx="22">
                  <c:v>191</c:v>
                </c:pt>
                <c:pt idx="23">
                  <c:v>183</c:v>
                </c:pt>
                <c:pt idx="24">
                  <c:v>161</c:v>
                </c:pt>
                <c:pt idx="25">
                  <c:v>176</c:v>
                </c:pt>
                <c:pt idx="26">
                  <c:v>166</c:v>
                </c:pt>
                <c:pt idx="27">
                  <c:v>176</c:v>
                </c:pt>
                <c:pt idx="28">
                  <c:v>164</c:v>
                </c:pt>
                <c:pt idx="29">
                  <c:v>193</c:v>
                </c:pt>
                <c:pt idx="30">
                  <c:v>187</c:v>
                </c:pt>
                <c:pt idx="31">
                  <c:v>200</c:v>
                </c:pt>
                <c:pt idx="32">
                  <c:v>217</c:v>
                </c:pt>
                <c:pt idx="33">
                  <c:v>250</c:v>
                </c:pt>
                <c:pt idx="34">
                  <c:v>248</c:v>
                </c:pt>
                <c:pt idx="35">
                  <c:v>246</c:v>
                </c:pt>
                <c:pt idx="36">
                  <c:v>190</c:v>
                </c:pt>
                <c:pt idx="37">
                  <c:v>184</c:v>
                </c:pt>
                <c:pt idx="38">
                  <c:v>165</c:v>
                </c:pt>
                <c:pt idx="39">
                  <c:v>123</c:v>
                </c:pt>
                <c:pt idx="40">
                  <c:v>109</c:v>
                </c:pt>
                <c:pt idx="41">
                  <c:v>81</c:v>
                </c:pt>
                <c:pt idx="42">
                  <c:v>71</c:v>
                </c:pt>
                <c:pt idx="43">
                  <c:v>40</c:v>
                </c:pt>
                <c:pt idx="44">
                  <c:v>18</c:v>
                </c:pt>
                <c:pt idx="45">
                  <c:v>10</c:v>
                </c:pt>
                <c:pt idx="46">
                  <c:v>20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5F-4698-9919-3E0CFFCA4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270640"/>
        <c:axId val="470258128"/>
      </c:lineChart>
      <c:catAx>
        <c:axId val="47027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0258128"/>
        <c:crosses val="autoZero"/>
        <c:auto val="1"/>
        <c:lblAlgn val="ctr"/>
        <c:lblOffset val="100"/>
        <c:noMultiLvlLbl val="0"/>
      </c:catAx>
      <c:valAx>
        <c:axId val="47025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027064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eg"/><Relationship Id="rId3" Type="http://schemas.openxmlformats.org/officeDocument/2006/relationships/image" Target="../media/image15.jpeg"/><Relationship Id="rId7" Type="http://schemas.openxmlformats.org/officeDocument/2006/relationships/image" Target="../media/image19.jpe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6" Type="http://schemas.openxmlformats.org/officeDocument/2006/relationships/image" Target="../media/image18.jpeg"/><Relationship Id="rId11" Type="http://schemas.openxmlformats.org/officeDocument/2006/relationships/image" Target="../media/image23.png"/><Relationship Id="rId5" Type="http://schemas.openxmlformats.org/officeDocument/2006/relationships/image" Target="../media/image17.jpeg"/><Relationship Id="rId10" Type="http://schemas.openxmlformats.org/officeDocument/2006/relationships/image" Target="../media/image22.png"/><Relationship Id="rId4" Type="http://schemas.openxmlformats.org/officeDocument/2006/relationships/image" Target="../media/image16.jpeg"/><Relationship Id="rId9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jpeg"/><Relationship Id="rId3" Type="http://schemas.openxmlformats.org/officeDocument/2006/relationships/image" Target="../media/image26.png"/><Relationship Id="rId7" Type="http://schemas.openxmlformats.org/officeDocument/2006/relationships/image" Target="../media/image30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64</xdr:col>
      <xdr:colOff>85725</xdr:colOff>
      <xdr:row>31</xdr:row>
      <xdr:rowOff>123825</xdr:rowOff>
    </xdr:from>
    <xdr:to>
      <xdr:col>66</xdr:col>
      <xdr:colOff>50122</xdr:colOff>
      <xdr:row>38</xdr:row>
      <xdr:rowOff>161925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83625" y="314325"/>
          <a:ext cx="1644555" cy="1371600"/>
        </a:xfrm>
        <a:prstGeom prst="rect">
          <a:avLst/>
        </a:prstGeom>
      </xdr:spPr>
    </xdr:pic>
    <xdr:clientData/>
  </xdr:twoCellAnchor>
  <xdr:twoCellAnchor editAs="oneCell">
    <xdr:from>
      <xdr:col>64</xdr:col>
      <xdr:colOff>209549</xdr:colOff>
      <xdr:row>48</xdr:row>
      <xdr:rowOff>95250</xdr:rowOff>
    </xdr:from>
    <xdr:to>
      <xdr:col>66</xdr:col>
      <xdr:colOff>167591</xdr:colOff>
      <xdr:row>54</xdr:row>
      <xdr:rowOff>66676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9641" b="74724"/>
        <a:stretch/>
      </xdr:blipFill>
      <xdr:spPr>
        <a:xfrm>
          <a:off x="21507449" y="3524250"/>
          <a:ext cx="1218271" cy="1114426"/>
        </a:xfrm>
        <a:prstGeom prst="rect">
          <a:avLst/>
        </a:prstGeom>
      </xdr:spPr>
    </xdr:pic>
    <xdr:clientData/>
  </xdr:twoCellAnchor>
  <xdr:twoCellAnchor editAs="oneCell">
    <xdr:from>
      <xdr:col>36</xdr:col>
      <xdr:colOff>238125</xdr:colOff>
      <xdr:row>47</xdr:row>
      <xdr:rowOff>152400</xdr:rowOff>
    </xdr:from>
    <xdr:to>
      <xdr:col>38</xdr:col>
      <xdr:colOff>205313</xdr:colOff>
      <xdr:row>50</xdr:row>
      <xdr:rowOff>171376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183842" y="9354378"/>
          <a:ext cx="1807680" cy="590476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51</xdr:row>
      <xdr:rowOff>0</xdr:rowOff>
    </xdr:from>
    <xdr:to>
      <xdr:col>38</xdr:col>
      <xdr:colOff>289333</xdr:colOff>
      <xdr:row>53</xdr:row>
      <xdr:rowOff>47571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10900" y="4000500"/>
          <a:ext cx="2676190" cy="428571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55</xdr:row>
      <xdr:rowOff>0</xdr:rowOff>
    </xdr:from>
    <xdr:to>
      <xdr:col>38</xdr:col>
      <xdr:colOff>284967</xdr:colOff>
      <xdr:row>56</xdr:row>
      <xdr:rowOff>180929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10900" y="4762500"/>
          <a:ext cx="4476190" cy="371429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58</xdr:row>
      <xdr:rowOff>0</xdr:rowOff>
    </xdr:from>
    <xdr:to>
      <xdr:col>38</xdr:col>
      <xdr:colOff>284890</xdr:colOff>
      <xdr:row>60</xdr:row>
      <xdr:rowOff>66619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10900" y="5334000"/>
          <a:ext cx="5095238" cy="4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5</xdr:row>
      <xdr:rowOff>85725</xdr:rowOff>
    </xdr:from>
    <xdr:to>
      <xdr:col>26</xdr:col>
      <xdr:colOff>229961</xdr:colOff>
      <xdr:row>30</xdr:row>
      <xdr:rowOff>55789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</xdr:row>
          <xdr:rowOff>19051</xdr:rowOff>
        </xdr:from>
        <xdr:to>
          <xdr:col>49</xdr:col>
          <xdr:colOff>193739</xdr:colOff>
          <xdr:row>32</xdr:row>
          <xdr:rowOff>152401</xdr:rowOff>
        </xdr:to>
        <xdr:pic>
          <xdr:nvPicPr>
            <xdr:cNvPr id="3" name="schinst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ch.inst." spid="_x0000_s4249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742950" y="781051"/>
              <a:ext cx="9374330" cy="508635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0</xdr:col>
      <xdr:colOff>27216</xdr:colOff>
      <xdr:row>9</xdr:row>
      <xdr:rowOff>152400</xdr:rowOff>
    </xdr:from>
    <xdr:to>
      <xdr:col>21</xdr:col>
      <xdr:colOff>27216</xdr:colOff>
      <xdr:row>34</xdr:row>
      <xdr:rowOff>122464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35</xdr:row>
          <xdr:rowOff>28575</xdr:rowOff>
        </xdr:from>
        <xdr:to>
          <xdr:col>22</xdr:col>
          <xdr:colOff>323850</xdr:colOff>
          <xdr:row>37</xdr:row>
          <xdr:rowOff>57150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2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ofertę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7</xdr:row>
          <xdr:rowOff>28575</xdr:rowOff>
        </xdr:from>
        <xdr:to>
          <xdr:col>19</xdr:col>
          <xdr:colOff>0</xdr:colOff>
          <xdr:row>9</xdr:row>
          <xdr:rowOff>57150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2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Oblicz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29159</xdr:colOff>
      <xdr:row>100</xdr:row>
      <xdr:rowOff>49346</xdr:rowOff>
    </xdr:from>
    <xdr:to>
      <xdr:col>23</xdr:col>
      <xdr:colOff>184733</xdr:colOff>
      <xdr:row>117</xdr:row>
      <xdr:rowOff>51588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193085</xdr:colOff>
          <xdr:row>61</xdr:row>
          <xdr:rowOff>170362</xdr:rowOff>
        </xdr:from>
        <xdr:to>
          <xdr:col>35</xdr:col>
          <xdr:colOff>226343</xdr:colOff>
          <xdr:row>71</xdr:row>
          <xdr:rowOff>174436</xdr:rowOff>
        </xdr:to>
        <xdr:pic>
          <xdr:nvPicPr>
            <xdr:cNvPr id="7" name="Obraz 6" descr="Znalezione obrazy dla zapytania Galmet SGW(S) Big Tower 1000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ukpc" spid="_x0000_s62574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28667" r="29333"/>
            <a:stretch>
              <a:fillRect/>
            </a:stretch>
          </xdr:blipFill>
          <xdr:spPr bwMode="auto">
            <a:xfrm>
              <a:off x="7098710" y="11538242"/>
              <a:ext cx="1648366" cy="186766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161925</xdr:colOff>
          <xdr:row>191</xdr:row>
          <xdr:rowOff>171450</xdr:rowOff>
        </xdr:from>
        <xdr:to>
          <xdr:col>35</xdr:col>
          <xdr:colOff>95250</xdr:colOff>
          <xdr:row>194</xdr:row>
          <xdr:rowOff>133350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4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Zapisz do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32764</xdr:colOff>
      <xdr:row>140</xdr:row>
      <xdr:rowOff>101897</xdr:rowOff>
    </xdr:from>
    <xdr:to>
      <xdr:col>2</xdr:col>
      <xdr:colOff>201756</xdr:colOff>
      <xdr:row>140</xdr:row>
      <xdr:rowOff>101897</xdr:rowOff>
    </xdr:to>
    <xdr:cxnSp macro="">
      <xdr:nvCxnSpPr>
        <xdr:cNvPr id="8" name="Łącznik prosty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275749" y="27316183"/>
          <a:ext cx="411976" cy="0"/>
        </a:xfrm>
        <a:prstGeom prst="line">
          <a:avLst/>
        </a:prstGeom>
        <a:ln w="38100"/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23045</xdr:colOff>
      <xdr:row>141</xdr:row>
      <xdr:rowOff>92176</xdr:rowOff>
    </xdr:from>
    <xdr:to>
      <xdr:col>2</xdr:col>
      <xdr:colOff>192037</xdr:colOff>
      <xdr:row>141</xdr:row>
      <xdr:rowOff>92176</xdr:rowOff>
    </xdr:to>
    <xdr:cxnSp macro="">
      <xdr:nvCxnSpPr>
        <xdr:cNvPr id="10" name="Łącznik prosty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261170" y="27937438"/>
          <a:ext cx="407117" cy="0"/>
        </a:xfrm>
        <a:prstGeom prst="line">
          <a:avLst/>
        </a:prstGeom>
        <a:ln w="38100">
          <a:solidFill>
            <a:schemeClr val="accent1">
              <a:lumMod val="75000"/>
            </a:schemeClr>
          </a:solidFill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15364</xdr:colOff>
      <xdr:row>142</xdr:row>
      <xdr:rowOff>84495</xdr:rowOff>
    </xdr:from>
    <xdr:to>
      <xdr:col>2</xdr:col>
      <xdr:colOff>184356</xdr:colOff>
      <xdr:row>142</xdr:row>
      <xdr:rowOff>84495</xdr:rowOff>
    </xdr:to>
    <xdr:cxnSp macro="">
      <xdr:nvCxnSpPr>
        <xdr:cNvPr id="11" name="Łącznik prosty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253489" y="28121793"/>
          <a:ext cx="407117" cy="0"/>
        </a:xfrm>
        <a:prstGeom prst="line">
          <a:avLst/>
        </a:prstGeom>
        <a:ln w="38100">
          <a:solidFill>
            <a:schemeClr val="bg1">
              <a:lumMod val="65000"/>
            </a:schemeClr>
          </a:solidFill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38407</xdr:colOff>
      <xdr:row>143</xdr:row>
      <xdr:rowOff>53770</xdr:rowOff>
    </xdr:from>
    <xdr:to>
      <xdr:col>2</xdr:col>
      <xdr:colOff>184355</xdr:colOff>
      <xdr:row>144</xdr:row>
      <xdr:rowOff>153629</xdr:rowOff>
    </xdr:to>
    <xdr:sp macro="" textlink="">
      <xdr:nvSpPr>
        <xdr:cNvPr id="12" name="Trójkąt prostokątny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76532" y="28091068"/>
          <a:ext cx="384073" cy="291896"/>
        </a:xfrm>
        <a:prstGeom prst="rtTriangle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46089</xdr:colOff>
      <xdr:row>145</xdr:row>
      <xdr:rowOff>30725</xdr:rowOff>
    </xdr:from>
    <xdr:to>
      <xdr:col>2</xdr:col>
      <xdr:colOff>161311</xdr:colOff>
      <xdr:row>146</xdr:row>
      <xdr:rowOff>145947</xdr:rowOff>
    </xdr:to>
    <xdr:sp macro="" textlink="">
      <xdr:nvSpPr>
        <xdr:cNvPr id="14" name="Trójkąt prostokątny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 rot="16200000">
          <a:off x="307259" y="28429051"/>
          <a:ext cx="307258" cy="353347"/>
        </a:xfrm>
        <a:prstGeom prst="rtTriangle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82988</xdr:colOff>
      <xdr:row>147</xdr:row>
      <xdr:rowOff>87973</xdr:rowOff>
    </xdr:from>
    <xdr:to>
      <xdr:col>2</xdr:col>
      <xdr:colOff>156257</xdr:colOff>
      <xdr:row>148</xdr:row>
      <xdr:rowOff>124607</xdr:rowOff>
    </xdr:to>
    <xdr:sp macro="" textlink="">
      <xdr:nvSpPr>
        <xdr:cNvPr id="15" name="Prostoką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325973" y="28662973"/>
          <a:ext cx="316253" cy="23102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6</xdr:col>
      <xdr:colOff>142875</xdr:colOff>
      <xdr:row>81</xdr:row>
      <xdr:rowOff>171450</xdr:rowOff>
    </xdr:from>
    <xdr:to>
      <xdr:col>17</xdr:col>
      <xdr:colOff>132378</xdr:colOff>
      <xdr:row>91</xdr:row>
      <xdr:rowOff>171450</xdr:rowOff>
    </xdr:to>
    <xdr:sp macro="" textlink="">
      <xdr:nvSpPr>
        <xdr:cNvPr id="7277" name="AutoShape 109">
          <a:extLst>
            <a:ext uri="{FF2B5EF4-FFF2-40B4-BE49-F238E27FC236}">
              <a16:creationId xmlns:a16="http://schemas.microsoft.com/office/drawing/2014/main" id="{00000000-0008-0000-0400-00006D1C0000}"/>
            </a:ext>
          </a:extLst>
        </xdr:cNvPr>
        <xdr:cNvSpPr>
          <a:spLocks noChangeAspect="1" noChangeArrowheads="1"/>
        </xdr:cNvSpPr>
      </xdr:nvSpPr>
      <xdr:spPr bwMode="auto">
        <a:xfrm>
          <a:off x="1571625" y="15601950"/>
          <a:ext cx="28956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59</xdr:row>
          <xdr:rowOff>123825</xdr:rowOff>
        </xdr:from>
        <xdr:to>
          <xdr:col>41</xdr:col>
          <xdr:colOff>152400</xdr:colOff>
          <xdr:row>62</xdr:row>
          <xdr:rowOff>9525</xdr:rowOff>
        </xdr:to>
        <xdr:sp macro="" textlink="">
          <xdr:nvSpPr>
            <xdr:cNvPr id="7516" name="Button 348" hidden="1">
              <a:extLst>
                <a:ext uri="{63B3BB69-23CF-44E3-9099-C40C66FF867C}">
                  <a14:compatExt spid="_x0000_s7516"/>
                </a:ext>
                <a:ext uri="{FF2B5EF4-FFF2-40B4-BE49-F238E27FC236}">
                  <a16:creationId xmlns:a16="http://schemas.microsoft.com/office/drawing/2014/main" id="{00000000-0008-0000-0400-00005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116633</xdr:colOff>
          <xdr:row>80</xdr:row>
          <xdr:rowOff>116633</xdr:rowOff>
        </xdr:from>
        <xdr:to>
          <xdr:col>21</xdr:col>
          <xdr:colOff>198215</xdr:colOff>
          <xdr:row>99</xdr:row>
          <xdr:rowOff>146668</xdr:rowOff>
        </xdr:to>
        <xdr:pic>
          <xdr:nvPicPr>
            <xdr:cNvPr id="19" name="Obraz 18"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zdj_pc" spid="_x0000_s62575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6633" y="15667653"/>
              <a:ext cx="5524439" cy="3723403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85726</xdr:colOff>
      <xdr:row>20</xdr:row>
      <xdr:rowOff>47626</xdr:rowOff>
    </xdr:from>
    <xdr:to>
      <xdr:col>23</xdr:col>
      <xdr:colOff>1463876</xdr:colOff>
      <xdr:row>20</xdr:row>
      <xdr:rowOff>1876426</xdr:rowOff>
    </xdr:to>
    <xdr:pic>
      <xdr:nvPicPr>
        <xdr:cNvPr id="3" name="Obraz 2" descr="Znalezione obrazy dla zapytania panasonic 12kW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5763876" y="25403176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23</xdr:col>
      <xdr:colOff>85726</xdr:colOff>
      <xdr:row>21</xdr:row>
      <xdr:rowOff>47626</xdr:rowOff>
    </xdr:from>
    <xdr:ext cx="1378150" cy="1828800"/>
    <xdr:pic>
      <xdr:nvPicPr>
        <xdr:cNvPr id="5" name="Obraz 4" descr="Znalezione obrazy dla zapytania panasonic 12kW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5763876" y="27308176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392205</xdr:colOff>
      <xdr:row>5</xdr:row>
      <xdr:rowOff>56030</xdr:rowOff>
    </xdr:from>
    <xdr:to>
      <xdr:col>23</xdr:col>
      <xdr:colOff>2095499</xdr:colOff>
      <xdr:row>6</xdr:row>
      <xdr:rowOff>85839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85440" y="840442"/>
          <a:ext cx="1703294" cy="1934809"/>
        </a:xfrm>
        <a:prstGeom prst="rect">
          <a:avLst/>
        </a:prstGeom>
      </xdr:spPr>
    </xdr:pic>
    <xdr:clientData/>
  </xdr:twoCellAnchor>
  <xdr:oneCellAnchor>
    <xdr:from>
      <xdr:col>23</xdr:col>
      <xdr:colOff>526676</xdr:colOff>
      <xdr:row>7</xdr:row>
      <xdr:rowOff>0</xdr:rowOff>
    </xdr:from>
    <xdr:ext cx="1703294" cy="1934809"/>
    <xdr:pic>
      <xdr:nvPicPr>
        <xdr:cNvPr id="13" name="Obraz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4826" y="10115550"/>
          <a:ext cx="1703294" cy="1934809"/>
        </a:xfrm>
        <a:prstGeom prst="rect">
          <a:avLst/>
        </a:prstGeom>
      </xdr:spPr>
    </xdr:pic>
    <xdr:clientData/>
  </xdr:oneCellAnchor>
  <xdr:oneCellAnchor>
    <xdr:from>
      <xdr:col>23</xdr:col>
      <xdr:colOff>526676</xdr:colOff>
      <xdr:row>8</xdr:row>
      <xdr:rowOff>0</xdr:rowOff>
    </xdr:from>
    <xdr:ext cx="1703294" cy="1934809"/>
    <xdr:pic>
      <xdr:nvPicPr>
        <xdr:cNvPr id="14" name="Obraz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4826" y="12020550"/>
          <a:ext cx="1703294" cy="1934809"/>
        </a:xfrm>
        <a:prstGeom prst="rect">
          <a:avLst/>
        </a:prstGeom>
      </xdr:spPr>
    </xdr:pic>
    <xdr:clientData/>
  </xdr:oneCellAnchor>
  <xdr:oneCellAnchor>
    <xdr:from>
      <xdr:col>23</xdr:col>
      <xdr:colOff>526676</xdr:colOff>
      <xdr:row>16</xdr:row>
      <xdr:rowOff>0</xdr:rowOff>
    </xdr:from>
    <xdr:ext cx="1703294" cy="1934809"/>
    <xdr:pic>
      <xdr:nvPicPr>
        <xdr:cNvPr id="15" name="Obraz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4826" y="17735550"/>
          <a:ext cx="1703294" cy="1934809"/>
        </a:xfrm>
        <a:prstGeom prst="rect">
          <a:avLst/>
        </a:prstGeom>
      </xdr:spPr>
    </xdr:pic>
    <xdr:clientData/>
  </xdr:oneCellAnchor>
  <xdr:twoCellAnchor editAs="oneCell">
    <xdr:from>
      <xdr:col>23</xdr:col>
      <xdr:colOff>1411941</xdr:colOff>
      <xdr:row>16</xdr:row>
      <xdr:rowOff>212912</xdr:rowOff>
    </xdr:from>
    <xdr:to>
      <xdr:col>23</xdr:col>
      <xdr:colOff>2568844</xdr:colOff>
      <xdr:row>16</xdr:row>
      <xdr:rowOff>1748118</xdr:rowOff>
    </xdr:to>
    <xdr:pic>
      <xdr:nvPicPr>
        <xdr:cNvPr id="16" name="Obraz 15" descr="Znalezione obrazy dla zapytania panasonic 12kW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7090091" y="17948462"/>
          <a:ext cx="1156903" cy="1535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23</xdr:col>
      <xdr:colOff>85726</xdr:colOff>
      <xdr:row>22</xdr:row>
      <xdr:rowOff>47626</xdr:rowOff>
    </xdr:from>
    <xdr:ext cx="1378150" cy="1828800"/>
    <xdr:pic>
      <xdr:nvPicPr>
        <xdr:cNvPr id="19" name="Obraz 18" descr="Znalezione obrazy dla zapytania panasonic 12kW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5763876" y="29213176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526676</xdr:colOff>
      <xdr:row>18</xdr:row>
      <xdr:rowOff>0</xdr:rowOff>
    </xdr:from>
    <xdr:ext cx="1703294" cy="1934809"/>
    <xdr:pic>
      <xdr:nvPicPr>
        <xdr:cNvPr id="20" name="Obraz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4826" y="21545550"/>
          <a:ext cx="1703294" cy="1934809"/>
        </a:xfrm>
        <a:prstGeom prst="rect">
          <a:avLst/>
        </a:prstGeom>
      </xdr:spPr>
    </xdr:pic>
    <xdr:clientData/>
  </xdr:oneCellAnchor>
  <xdr:oneCellAnchor>
    <xdr:from>
      <xdr:col>23</xdr:col>
      <xdr:colOff>1411941</xdr:colOff>
      <xdr:row>18</xdr:row>
      <xdr:rowOff>212912</xdr:rowOff>
    </xdr:from>
    <xdr:ext cx="1156903" cy="1535206"/>
    <xdr:pic>
      <xdr:nvPicPr>
        <xdr:cNvPr id="21" name="Obraz 20" descr="Znalezione obrazy dla zapytania panasonic 12kW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7090091" y="21758462"/>
          <a:ext cx="1156903" cy="1535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108138</xdr:colOff>
      <xdr:row>29</xdr:row>
      <xdr:rowOff>36420</xdr:rowOff>
    </xdr:from>
    <xdr:ext cx="1378150" cy="1828800"/>
    <xdr:pic>
      <xdr:nvPicPr>
        <xdr:cNvPr id="24" name="Obraz 23" descr="Znalezione obrazy dla zapytania panasonic 12kW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7701373" y="46540832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85726</xdr:colOff>
      <xdr:row>31</xdr:row>
      <xdr:rowOff>47626</xdr:rowOff>
    </xdr:from>
    <xdr:ext cx="1378150" cy="1828800"/>
    <xdr:pic>
      <xdr:nvPicPr>
        <xdr:cNvPr id="26" name="Obraz 25" descr="Znalezione obrazy dla zapytania panasonic 12kW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5763876" y="42548176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1183823</xdr:colOff>
      <xdr:row>23</xdr:row>
      <xdr:rowOff>285752</xdr:rowOff>
    </xdr:from>
    <xdr:to>
      <xdr:col>23</xdr:col>
      <xdr:colOff>2783757</xdr:colOff>
      <xdr:row>23</xdr:row>
      <xdr:rowOff>1619252</xdr:rowOff>
    </xdr:to>
    <xdr:pic>
      <xdr:nvPicPr>
        <xdr:cNvPr id="27" name="Obraz 26" descr="Znalezione obrazy dla zapytania panasonic aquarea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2" b="14184"/>
        <a:stretch/>
      </xdr:blipFill>
      <xdr:spPr bwMode="auto">
        <a:xfrm>
          <a:off x="16861973" y="31356302"/>
          <a:ext cx="1599934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23</xdr:col>
      <xdr:colOff>1183823</xdr:colOff>
      <xdr:row>24</xdr:row>
      <xdr:rowOff>285752</xdr:rowOff>
    </xdr:from>
    <xdr:ext cx="1599934" cy="1333500"/>
    <xdr:pic>
      <xdr:nvPicPr>
        <xdr:cNvPr id="29" name="Obraz 28" descr="Znalezione obrazy dla zapytania panasonic aquarea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2" b="14184"/>
        <a:stretch/>
      </xdr:blipFill>
      <xdr:spPr bwMode="auto">
        <a:xfrm>
          <a:off x="16861973" y="33261302"/>
          <a:ext cx="1599934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1183823</xdr:colOff>
      <xdr:row>25</xdr:row>
      <xdr:rowOff>285752</xdr:rowOff>
    </xdr:from>
    <xdr:ext cx="1599934" cy="1333500"/>
    <xdr:pic>
      <xdr:nvPicPr>
        <xdr:cNvPr id="31" name="Obraz 30" descr="Znalezione obrazy dla zapytania panasonic aquarea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2" b="14184"/>
        <a:stretch/>
      </xdr:blipFill>
      <xdr:spPr bwMode="auto">
        <a:xfrm>
          <a:off x="16861973" y="35166302"/>
          <a:ext cx="1599934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1183823</xdr:colOff>
      <xdr:row>26</xdr:row>
      <xdr:rowOff>285752</xdr:rowOff>
    </xdr:from>
    <xdr:ext cx="1599934" cy="1333500"/>
    <xdr:pic>
      <xdr:nvPicPr>
        <xdr:cNvPr id="33" name="Obraz 32" descr="Znalezione obrazy dla zapytania panasonic aquarea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2" b="14184"/>
        <a:stretch/>
      </xdr:blipFill>
      <xdr:spPr bwMode="auto">
        <a:xfrm>
          <a:off x="16861973" y="37071302"/>
          <a:ext cx="1599934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122464</xdr:colOff>
      <xdr:row>59</xdr:row>
      <xdr:rowOff>81643</xdr:rowOff>
    </xdr:from>
    <xdr:to>
      <xdr:col>23</xdr:col>
      <xdr:colOff>2748643</xdr:colOff>
      <xdr:row>59</xdr:row>
      <xdr:rowOff>1857440</xdr:rowOff>
    </xdr:to>
    <xdr:pic>
      <xdr:nvPicPr>
        <xdr:cNvPr id="35" name="Obraz 34" descr="Znalezione obrazy dla zapytania pompa ciepła lg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666" b="15714"/>
        <a:stretch/>
      </xdr:blipFill>
      <xdr:spPr bwMode="auto">
        <a:xfrm>
          <a:off x="15800614" y="55917193"/>
          <a:ext cx="2626179" cy="1775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68036</xdr:colOff>
      <xdr:row>58</xdr:row>
      <xdr:rowOff>68036</xdr:rowOff>
    </xdr:from>
    <xdr:to>
      <xdr:col>23</xdr:col>
      <xdr:colOff>2694215</xdr:colOff>
      <xdr:row>58</xdr:row>
      <xdr:rowOff>1843833</xdr:rowOff>
    </xdr:to>
    <xdr:pic>
      <xdr:nvPicPr>
        <xdr:cNvPr id="36" name="Obraz 35" descr="Znalezione obrazy dla zapytania pompa ciepła lg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666" b="15714"/>
        <a:stretch/>
      </xdr:blipFill>
      <xdr:spPr bwMode="auto">
        <a:xfrm>
          <a:off x="15746186" y="53998586"/>
          <a:ext cx="2626179" cy="1775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23</xdr:col>
      <xdr:colOff>122464</xdr:colOff>
      <xdr:row>60</xdr:row>
      <xdr:rowOff>81643</xdr:rowOff>
    </xdr:from>
    <xdr:ext cx="2626179" cy="1775797"/>
    <xdr:pic>
      <xdr:nvPicPr>
        <xdr:cNvPr id="37" name="Obraz 36" descr="Znalezione obrazy dla zapytania pompa ciepła l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666" b="15714"/>
        <a:stretch/>
      </xdr:blipFill>
      <xdr:spPr bwMode="auto">
        <a:xfrm>
          <a:off x="15800614" y="57822193"/>
          <a:ext cx="2626179" cy="1775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312965</xdr:colOff>
      <xdr:row>62</xdr:row>
      <xdr:rowOff>122464</xdr:rowOff>
    </xdr:from>
    <xdr:to>
      <xdr:col>23</xdr:col>
      <xdr:colOff>2435679</xdr:colOff>
      <xdr:row>62</xdr:row>
      <xdr:rowOff>1816236</xdr:rowOff>
    </xdr:to>
    <xdr:pic>
      <xdr:nvPicPr>
        <xdr:cNvPr id="38" name="Obraz 37" descr="Znalezione obrazy dla zapytania pompa ciepła lg 12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45" b="10362"/>
        <a:stretch/>
      </xdr:blipFill>
      <xdr:spPr bwMode="auto">
        <a:xfrm>
          <a:off x="15991115" y="59768014"/>
          <a:ext cx="2122714" cy="1693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23</xdr:col>
      <xdr:colOff>312965</xdr:colOff>
      <xdr:row>64</xdr:row>
      <xdr:rowOff>122464</xdr:rowOff>
    </xdr:from>
    <xdr:ext cx="2122714" cy="1693772"/>
    <xdr:pic>
      <xdr:nvPicPr>
        <xdr:cNvPr id="39" name="Obraz 38" descr="Znalezione obrazy dla zapytania pompa ciepła lg 12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45" b="10362"/>
        <a:stretch/>
      </xdr:blipFill>
      <xdr:spPr bwMode="auto">
        <a:xfrm>
          <a:off x="15991115" y="61673014"/>
          <a:ext cx="2122714" cy="1693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367393</xdr:colOff>
      <xdr:row>66</xdr:row>
      <xdr:rowOff>95250</xdr:rowOff>
    </xdr:from>
    <xdr:ext cx="2122714" cy="1693772"/>
    <xdr:pic>
      <xdr:nvPicPr>
        <xdr:cNvPr id="40" name="Obraz 39" descr="Znalezione obrazy dla zapytania pompa ciepła lg 12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45" b="10362"/>
        <a:stretch/>
      </xdr:blipFill>
      <xdr:spPr bwMode="auto">
        <a:xfrm>
          <a:off x="16045543" y="63550800"/>
          <a:ext cx="2122714" cy="1693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85726</xdr:colOff>
      <xdr:row>27</xdr:row>
      <xdr:rowOff>47626</xdr:rowOff>
    </xdr:from>
    <xdr:ext cx="1378150" cy="1828800"/>
    <xdr:pic>
      <xdr:nvPicPr>
        <xdr:cNvPr id="44" name="Obraz 43" descr="Znalezione obrazy dla zapytania panasonic 12kW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5763876" y="38738176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403412</xdr:colOff>
      <xdr:row>57</xdr:row>
      <xdr:rowOff>44824</xdr:rowOff>
    </xdr:from>
    <xdr:to>
      <xdr:col>23</xdr:col>
      <xdr:colOff>2218765</xdr:colOff>
      <xdr:row>57</xdr:row>
      <xdr:rowOff>1883199</xdr:rowOff>
    </xdr:to>
    <xdr:pic>
      <xdr:nvPicPr>
        <xdr:cNvPr id="46" name="Obraz 45" descr="POMPA CIEPŁA PANASONIC AQUAREA 9kW MONOBLOK MONTAŻ 7709585771 ...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81562" y="52070374"/>
          <a:ext cx="1815353" cy="18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392206</xdr:colOff>
      <xdr:row>56</xdr:row>
      <xdr:rowOff>22413</xdr:rowOff>
    </xdr:from>
    <xdr:to>
      <xdr:col>23</xdr:col>
      <xdr:colOff>2207559</xdr:colOff>
      <xdr:row>56</xdr:row>
      <xdr:rowOff>1860788</xdr:rowOff>
    </xdr:to>
    <xdr:pic>
      <xdr:nvPicPr>
        <xdr:cNvPr id="47" name="Obraz 46" descr="POMPA CIEPŁA PANASONIC AQUAREA 9kW MONOBLOK MONTAŻ 7709585771 ...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44030" y="73196825"/>
          <a:ext cx="1815353" cy="18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336176</xdr:colOff>
      <xdr:row>54</xdr:row>
      <xdr:rowOff>78442</xdr:rowOff>
    </xdr:from>
    <xdr:to>
      <xdr:col>23</xdr:col>
      <xdr:colOff>2151529</xdr:colOff>
      <xdr:row>55</xdr:row>
      <xdr:rowOff>11817</xdr:rowOff>
    </xdr:to>
    <xdr:pic>
      <xdr:nvPicPr>
        <xdr:cNvPr id="48" name="Obraz 47" descr="POMPA CIEPŁA PANASONIC AQUAREA 9kW MONOBLOK MONTAŻ 7709585771 ...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4326" y="48293992"/>
          <a:ext cx="1815353" cy="18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291353</xdr:colOff>
      <xdr:row>49</xdr:row>
      <xdr:rowOff>336178</xdr:rowOff>
    </xdr:from>
    <xdr:to>
      <xdr:col>23</xdr:col>
      <xdr:colOff>2218765</xdr:colOff>
      <xdr:row>49</xdr:row>
      <xdr:rowOff>1477708</xdr:rowOff>
    </xdr:to>
    <xdr:pic>
      <xdr:nvPicPr>
        <xdr:cNvPr id="49" name="Obraz 48" descr="POMPA CIEPŁA PANASONIC AQUAREA MONOBLOK 7kW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353" b="22588"/>
        <a:stretch/>
      </xdr:blipFill>
      <xdr:spPr bwMode="auto">
        <a:xfrm>
          <a:off x="17884588" y="37315590"/>
          <a:ext cx="1927412" cy="114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23</xdr:col>
      <xdr:colOff>526676</xdr:colOff>
      <xdr:row>8</xdr:row>
      <xdr:rowOff>0</xdr:rowOff>
    </xdr:from>
    <xdr:ext cx="1703294" cy="1934809"/>
    <xdr:pic>
      <xdr:nvPicPr>
        <xdr:cNvPr id="50" name="Obraz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4826" y="12020550"/>
          <a:ext cx="1703294" cy="1934809"/>
        </a:xfrm>
        <a:prstGeom prst="rect">
          <a:avLst/>
        </a:prstGeom>
      </xdr:spPr>
    </xdr:pic>
    <xdr:clientData/>
  </xdr:oneCellAnchor>
  <xdr:oneCellAnchor>
    <xdr:from>
      <xdr:col>23</xdr:col>
      <xdr:colOff>526675</xdr:colOff>
      <xdr:row>14</xdr:row>
      <xdr:rowOff>0</xdr:rowOff>
    </xdr:from>
    <xdr:ext cx="1658471" cy="1883893"/>
    <xdr:pic>
      <xdr:nvPicPr>
        <xdr:cNvPr id="51" name="Obraz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4825" y="13925550"/>
          <a:ext cx="1658471" cy="1883893"/>
        </a:xfrm>
        <a:prstGeom prst="rect">
          <a:avLst/>
        </a:prstGeom>
      </xdr:spPr>
    </xdr:pic>
    <xdr:clientData/>
  </xdr:oneCellAnchor>
  <xdr:oneCellAnchor>
    <xdr:from>
      <xdr:col>23</xdr:col>
      <xdr:colOff>526676</xdr:colOff>
      <xdr:row>17</xdr:row>
      <xdr:rowOff>0</xdr:rowOff>
    </xdr:from>
    <xdr:ext cx="1703294" cy="1934809"/>
    <xdr:pic>
      <xdr:nvPicPr>
        <xdr:cNvPr id="52" name="Obraz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4826" y="19640550"/>
          <a:ext cx="1703294" cy="1934809"/>
        </a:xfrm>
        <a:prstGeom prst="rect">
          <a:avLst/>
        </a:prstGeom>
      </xdr:spPr>
    </xdr:pic>
    <xdr:clientData/>
  </xdr:oneCellAnchor>
  <xdr:oneCellAnchor>
    <xdr:from>
      <xdr:col>23</xdr:col>
      <xdr:colOff>1411941</xdr:colOff>
      <xdr:row>17</xdr:row>
      <xdr:rowOff>212912</xdr:rowOff>
    </xdr:from>
    <xdr:ext cx="1156903" cy="1535206"/>
    <xdr:pic>
      <xdr:nvPicPr>
        <xdr:cNvPr id="53" name="Obraz 52" descr="Znalezione obrazy dla zapytania panasonic 12kW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7090091" y="19853462"/>
          <a:ext cx="1156903" cy="1535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85726</xdr:colOff>
      <xdr:row>19</xdr:row>
      <xdr:rowOff>47626</xdr:rowOff>
    </xdr:from>
    <xdr:ext cx="1378150" cy="1828800"/>
    <xdr:pic>
      <xdr:nvPicPr>
        <xdr:cNvPr id="55" name="Obraz 54" descr="Znalezione obrazy dla zapytania panasonic 12kW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5763876" y="23498176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336176</xdr:colOff>
      <xdr:row>53</xdr:row>
      <xdr:rowOff>78442</xdr:rowOff>
    </xdr:from>
    <xdr:ext cx="1815353" cy="1838375"/>
    <xdr:pic>
      <xdr:nvPicPr>
        <xdr:cNvPr id="56" name="Obraz 55" descr="POMPA CIEPŁA PANASONIC AQUAREA 9kW MONOBLOK MONTAŻ 7709585771 ...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4326" y="46388992"/>
          <a:ext cx="1815353" cy="18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560293</xdr:colOff>
      <xdr:row>15</xdr:row>
      <xdr:rowOff>158295</xdr:rowOff>
    </xdr:from>
    <xdr:ext cx="1445560" cy="1642043"/>
    <xdr:pic>
      <xdr:nvPicPr>
        <xdr:cNvPr id="57" name="Obraz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38443" y="15988845"/>
          <a:ext cx="1445560" cy="1642043"/>
        </a:xfrm>
        <a:prstGeom prst="rect">
          <a:avLst/>
        </a:prstGeom>
      </xdr:spPr>
    </xdr:pic>
    <xdr:clientData/>
  </xdr:oneCellAnchor>
  <xdr:twoCellAnchor editAs="oneCell">
    <xdr:from>
      <xdr:col>23</xdr:col>
      <xdr:colOff>313764</xdr:colOff>
      <xdr:row>50</xdr:row>
      <xdr:rowOff>347382</xdr:rowOff>
    </xdr:from>
    <xdr:to>
      <xdr:col>23</xdr:col>
      <xdr:colOff>2241176</xdr:colOff>
      <xdr:row>50</xdr:row>
      <xdr:rowOff>1488912</xdr:rowOff>
    </xdr:to>
    <xdr:pic>
      <xdr:nvPicPr>
        <xdr:cNvPr id="69" name="Obraz 68" descr="POMPA CIEPŁA PANASONIC AQUAREA MONOBLOK 7kW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353" b="22588"/>
        <a:stretch/>
      </xdr:blipFill>
      <xdr:spPr bwMode="auto">
        <a:xfrm>
          <a:off x="17906999" y="39231794"/>
          <a:ext cx="1927412" cy="114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1680882</xdr:colOff>
      <xdr:row>22</xdr:row>
      <xdr:rowOff>67235</xdr:rowOff>
    </xdr:from>
    <xdr:to>
      <xdr:col>23</xdr:col>
      <xdr:colOff>2707230</xdr:colOff>
      <xdr:row>22</xdr:row>
      <xdr:rowOff>1759323</xdr:rowOff>
    </xdr:to>
    <xdr:pic>
      <xdr:nvPicPr>
        <xdr:cNvPr id="74" name="Obraz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4117" y="21806647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1609164</xdr:colOff>
      <xdr:row>21</xdr:row>
      <xdr:rowOff>152400</xdr:rowOff>
    </xdr:from>
    <xdr:to>
      <xdr:col>23</xdr:col>
      <xdr:colOff>2635512</xdr:colOff>
      <xdr:row>21</xdr:row>
      <xdr:rowOff>1844488</xdr:rowOff>
    </xdr:to>
    <xdr:pic>
      <xdr:nvPicPr>
        <xdr:cNvPr id="75" name="Obraz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02399" y="19986812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1638300</xdr:colOff>
      <xdr:row>20</xdr:row>
      <xdr:rowOff>147917</xdr:rowOff>
    </xdr:from>
    <xdr:to>
      <xdr:col>23</xdr:col>
      <xdr:colOff>2664648</xdr:colOff>
      <xdr:row>20</xdr:row>
      <xdr:rowOff>1840005</xdr:rowOff>
    </xdr:to>
    <xdr:pic>
      <xdr:nvPicPr>
        <xdr:cNvPr id="76" name="Obraz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31535" y="18077329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1645023</xdr:colOff>
      <xdr:row>19</xdr:row>
      <xdr:rowOff>143434</xdr:rowOff>
    </xdr:from>
    <xdr:to>
      <xdr:col>23</xdr:col>
      <xdr:colOff>2671371</xdr:colOff>
      <xdr:row>19</xdr:row>
      <xdr:rowOff>1835522</xdr:rowOff>
    </xdr:to>
    <xdr:pic>
      <xdr:nvPicPr>
        <xdr:cNvPr id="77" name="Obraz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38258" y="16167846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105335</xdr:colOff>
      <xdr:row>23</xdr:row>
      <xdr:rowOff>161364</xdr:rowOff>
    </xdr:from>
    <xdr:to>
      <xdr:col>23</xdr:col>
      <xdr:colOff>1131683</xdr:colOff>
      <xdr:row>23</xdr:row>
      <xdr:rowOff>1853452</xdr:rowOff>
    </xdr:to>
    <xdr:pic>
      <xdr:nvPicPr>
        <xdr:cNvPr id="78" name="Obraz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98570" y="23805776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89647</xdr:colOff>
      <xdr:row>24</xdr:row>
      <xdr:rowOff>224116</xdr:rowOff>
    </xdr:from>
    <xdr:to>
      <xdr:col>23</xdr:col>
      <xdr:colOff>1115995</xdr:colOff>
      <xdr:row>25</xdr:row>
      <xdr:rowOff>11204</xdr:rowOff>
    </xdr:to>
    <xdr:pic>
      <xdr:nvPicPr>
        <xdr:cNvPr id="79" name="Obraz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82882" y="25773528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96370</xdr:colOff>
      <xdr:row>25</xdr:row>
      <xdr:rowOff>141193</xdr:rowOff>
    </xdr:from>
    <xdr:to>
      <xdr:col>23</xdr:col>
      <xdr:colOff>1122718</xdr:colOff>
      <xdr:row>25</xdr:row>
      <xdr:rowOff>1833281</xdr:rowOff>
    </xdr:to>
    <xdr:pic>
      <xdr:nvPicPr>
        <xdr:cNvPr id="80" name="Obraz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89605" y="27595605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69475</xdr:colOff>
      <xdr:row>26</xdr:row>
      <xdr:rowOff>114299</xdr:rowOff>
    </xdr:from>
    <xdr:to>
      <xdr:col>23</xdr:col>
      <xdr:colOff>1095823</xdr:colOff>
      <xdr:row>26</xdr:row>
      <xdr:rowOff>1806387</xdr:rowOff>
    </xdr:to>
    <xdr:pic>
      <xdr:nvPicPr>
        <xdr:cNvPr id="81" name="Obraz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2710" y="29473711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1600199</xdr:colOff>
      <xdr:row>27</xdr:row>
      <xdr:rowOff>98611</xdr:rowOff>
    </xdr:from>
    <xdr:to>
      <xdr:col>23</xdr:col>
      <xdr:colOff>2626547</xdr:colOff>
      <xdr:row>27</xdr:row>
      <xdr:rowOff>1790699</xdr:rowOff>
    </xdr:to>
    <xdr:pic>
      <xdr:nvPicPr>
        <xdr:cNvPr id="82" name="Obraz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93434" y="31363023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1618127</xdr:colOff>
      <xdr:row>28</xdr:row>
      <xdr:rowOff>127746</xdr:rowOff>
    </xdr:from>
    <xdr:to>
      <xdr:col>23</xdr:col>
      <xdr:colOff>2644475</xdr:colOff>
      <xdr:row>28</xdr:row>
      <xdr:rowOff>1819834</xdr:rowOff>
    </xdr:to>
    <xdr:pic>
      <xdr:nvPicPr>
        <xdr:cNvPr id="83" name="Obraz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11362" y="44727158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1748116</xdr:colOff>
      <xdr:row>31</xdr:row>
      <xdr:rowOff>145676</xdr:rowOff>
    </xdr:from>
    <xdr:to>
      <xdr:col>23</xdr:col>
      <xdr:colOff>2774464</xdr:colOff>
      <xdr:row>31</xdr:row>
      <xdr:rowOff>1837764</xdr:rowOff>
    </xdr:to>
    <xdr:pic>
      <xdr:nvPicPr>
        <xdr:cNvPr id="84" name="Obraz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1351" y="50460088"/>
          <a:ext cx="1026348" cy="1692088"/>
        </a:xfrm>
        <a:prstGeom prst="rect">
          <a:avLst/>
        </a:prstGeom>
      </xdr:spPr>
    </xdr:pic>
    <xdr:clientData/>
  </xdr:twoCellAnchor>
  <xdr:oneCellAnchor>
    <xdr:from>
      <xdr:col>23</xdr:col>
      <xdr:colOff>527796</xdr:colOff>
      <xdr:row>9</xdr:row>
      <xdr:rowOff>63873</xdr:rowOff>
    </xdr:from>
    <xdr:ext cx="1658471" cy="1883893"/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1031" y="16088285"/>
          <a:ext cx="1658471" cy="1883893"/>
        </a:xfrm>
        <a:prstGeom prst="rect">
          <a:avLst/>
        </a:prstGeom>
      </xdr:spPr>
    </xdr:pic>
    <xdr:clientData/>
  </xdr:oneCellAnchor>
  <xdr:twoCellAnchor editAs="oneCell">
    <xdr:from>
      <xdr:col>23</xdr:col>
      <xdr:colOff>504264</xdr:colOff>
      <xdr:row>10</xdr:row>
      <xdr:rowOff>0</xdr:rowOff>
    </xdr:from>
    <xdr:to>
      <xdr:col>23</xdr:col>
      <xdr:colOff>2207558</xdr:colOff>
      <xdr:row>11</xdr:row>
      <xdr:rowOff>29809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499" y="10309412"/>
          <a:ext cx="1703294" cy="1934809"/>
        </a:xfrm>
        <a:prstGeom prst="rect">
          <a:avLst/>
        </a:prstGeom>
      </xdr:spPr>
    </xdr:pic>
    <xdr:clientData/>
  </xdr:twoCellAnchor>
  <xdr:twoCellAnchor editAs="oneCell">
    <xdr:from>
      <xdr:col>23</xdr:col>
      <xdr:colOff>454958</xdr:colOff>
      <xdr:row>5</xdr:row>
      <xdr:rowOff>1900519</xdr:rowOff>
    </xdr:from>
    <xdr:to>
      <xdr:col>23</xdr:col>
      <xdr:colOff>2158252</xdr:colOff>
      <xdr:row>7</xdr:row>
      <xdr:rowOff>25328</xdr:rowOff>
    </xdr:to>
    <xdr:pic>
      <xdr:nvPicPr>
        <xdr:cNvPr id="18" name="Obraz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48193" y="2684931"/>
          <a:ext cx="1703294" cy="1934809"/>
        </a:xfrm>
        <a:prstGeom prst="rect">
          <a:avLst/>
        </a:prstGeom>
      </xdr:spPr>
    </xdr:pic>
    <xdr:clientData/>
  </xdr:twoCellAnchor>
  <xdr:twoCellAnchor editAs="oneCell">
    <xdr:from>
      <xdr:col>23</xdr:col>
      <xdr:colOff>582706</xdr:colOff>
      <xdr:row>10</xdr:row>
      <xdr:rowOff>1882588</xdr:rowOff>
    </xdr:from>
    <xdr:to>
      <xdr:col>23</xdr:col>
      <xdr:colOff>2286000</xdr:colOff>
      <xdr:row>12</xdr:row>
      <xdr:rowOff>7397</xdr:rowOff>
    </xdr:to>
    <xdr:pic>
      <xdr:nvPicPr>
        <xdr:cNvPr id="23" name="Obraz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75941" y="12192000"/>
          <a:ext cx="1703294" cy="1934809"/>
        </a:xfrm>
        <a:prstGeom prst="rect">
          <a:avLst/>
        </a:prstGeom>
      </xdr:spPr>
    </xdr:pic>
    <xdr:clientData/>
  </xdr:twoCellAnchor>
  <xdr:twoCellAnchor editAs="oneCell">
    <xdr:from>
      <xdr:col>23</xdr:col>
      <xdr:colOff>638735</xdr:colOff>
      <xdr:row>11</xdr:row>
      <xdr:rowOff>1848971</xdr:rowOff>
    </xdr:from>
    <xdr:to>
      <xdr:col>23</xdr:col>
      <xdr:colOff>2342029</xdr:colOff>
      <xdr:row>12</xdr:row>
      <xdr:rowOff>1878780</xdr:rowOff>
    </xdr:to>
    <xdr:pic>
      <xdr:nvPicPr>
        <xdr:cNvPr id="25" name="Obraz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31970" y="14063383"/>
          <a:ext cx="1703294" cy="1934809"/>
        </a:xfrm>
        <a:prstGeom prst="rect">
          <a:avLst/>
        </a:prstGeom>
      </xdr:spPr>
    </xdr:pic>
    <xdr:clientData/>
  </xdr:twoCellAnchor>
  <xdr:twoCellAnchor editAs="oneCell">
    <xdr:from>
      <xdr:col>23</xdr:col>
      <xdr:colOff>627529</xdr:colOff>
      <xdr:row>13</xdr:row>
      <xdr:rowOff>11206</xdr:rowOff>
    </xdr:from>
    <xdr:to>
      <xdr:col>23</xdr:col>
      <xdr:colOff>2330823</xdr:colOff>
      <xdr:row>14</xdr:row>
      <xdr:rowOff>41015</xdr:rowOff>
    </xdr:to>
    <xdr:pic>
      <xdr:nvPicPr>
        <xdr:cNvPr id="28" name="Obraz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20764" y="16035618"/>
          <a:ext cx="1703294" cy="1934809"/>
        </a:xfrm>
        <a:prstGeom prst="rect">
          <a:avLst/>
        </a:prstGeom>
      </xdr:spPr>
    </xdr:pic>
    <xdr:clientData/>
  </xdr:twoCellAnchor>
  <xdr:oneCellAnchor>
    <xdr:from>
      <xdr:col>23</xdr:col>
      <xdr:colOff>85726</xdr:colOff>
      <xdr:row>22</xdr:row>
      <xdr:rowOff>116540</xdr:rowOff>
    </xdr:from>
    <xdr:ext cx="1378150" cy="1828800"/>
    <xdr:pic>
      <xdr:nvPicPr>
        <xdr:cNvPr id="30" name="Obraz 29" descr="Znalezione obrazy dla zapytania panasonic 12kW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7678961" y="33285952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1685363</xdr:colOff>
      <xdr:row>22</xdr:row>
      <xdr:rowOff>185454</xdr:rowOff>
    </xdr:from>
    <xdr:to>
      <xdr:col>23</xdr:col>
      <xdr:colOff>2711711</xdr:colOff>
      <xdr:row>22</xdr:row>
      <xdr:rowOff>1877542</xdr:rowOff>
    </xdr:to>
    <xdr:pic>
      <xdr:nvPicPr>
        <xdr:cNvPr id="32" name="Obraz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598" y="33354866"/>
          <a:ext cx="1026348" cy="1692088"/>
        </a:xfrm>
        <a:prstGeom prst="rect">
          <a:avLst/>
        </a:prstGeom>
      </xdr:spPr>
    </xdr:pic>
    <xdr:clientData/>
  </xdr:twoCellAnchor>
  <xdr:oneCellAnchor>
    <xdr:from>
      <xdr:col>23</xdr:col>
      <xdr:colOff>81244</xdr:colOff>
      <xdr:row>28</xdr:row>
      <xdr:rowOff>76762</xdr:rowOff>
    </xdr:from>
    <xdr:ext cx="1378150" cy="1828800"/>
    <xdr:pic>
      <xdr:nvPicPr>
        <xdr:cNvPr id="34" name="Obraz 33" descr="Znalezione obrazy dla zapytania panasonic 12kW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7674479" y="44676174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1685363</xdr:colOff>
      <xdr:row>22</xdr:row>
      <xdr:rowOff>116540</xdr:rowOff>
    </xdr:from>
    <xdr:to>
      <xdr:col>23</xdr:col>
      <xdr:colOff>2711711</xdr:colOff>
      <xdr:row>22</xdr:row>
      <xdr:rowOff>1808628</xdr:rowOff>
    </xdr:to>
    <xdr:pic>
      <xdr:nvPicPr>
        <xdr:cNvPr id="45" name="Obraz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598" y="33285952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1624851</xdr:colOff>
      <xdr:row>29</xdr:row>
      <xdr:rowOff>134470</xdr:rowOff>
    </xdr:from>
    <xdr:to>
      <xdr:col>23</xdr:col>
      <xdr:colOff>2651199</xdr:colOff>
      <xdr:row>29</xdr:row>
      <xdr:rowOff>1826558</xdr:rowOff>
    </xdr:to>
    <xdr:pic>
      <xdr:nvPicPr>
        <xdr:cNvPr id="54" name="Obraz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18086" y="46638882"/>
          <a:ext cx="1026348" cy="1692088"/>
        </a:xfrm>
        <a:prstGeom prst="rect">
          <a:avLst/>
        </a:prstGeom>
      </xdr:spPr>
    </xdr:pic>
    <xdr:clientData/>
  </xdr:twoCellAnchor>
  <xdr:oneCellAnchor>
    <xdr:from>
      <xdr:col>23</xdr:col>
      <xdr:colOff>100853</xdr:colOff>
      <xdr:row>30</xdr:row>
      <xdr:rowOff>56029</xdr:rowOff>
    </xdr:from>
    <xdr:ext cx="1378150" cy="1828800"/>
    <xdr:pic>
      <xdr:nvPicPr>
        <xdr:cNvPr id="58" name="Obraz 57" descr="Znalezione obrazy dla zapytania panasonic 12kW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66" t="21683" r="24467" b="21844"/>
        <a:stretch/>
      </xdr:blipFill>
      <xdr:spPr bwMode="auto">
        <a:xfrm>
          <a:off x="17694088" y="48465441"/>
          <a:ext cx="137815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1647265</xdr:colOff>
      <xdr:row>30</xdr:row>
      <xdr:rowOff>123265</xdr:rowOff>
    </xdr:from>
    <xdr:to>
      <xdr:col>23</xdr:col>
      <xdr:colOff>2673613</xdr:colOff>
      <xdr:row>30</xdr:row>
      <xdr:rowOff>1815353</xdr:rowOff>
    </xdr:to>
    <xdr:pic>
      <xdr:nvPicPr>
        <xdr:cNvPr id="59" name="Obraz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0" y="48532677"/>
          <a:ext cx="1026348" cy="1692088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381000</xdr:colOff>
      <xdr:row>55</xdr:row>
      <xdr:rowOff>22411</xdr:rowOff>
    </xdr:from>
    <xdr:to>
      <xdr:col>23</xdr:col>
      <xdr:colOff>2196353</xdr:colOff>
      <xdr:row>55</xdr:row>
      <xdr:rowOff>1860786</xdr:rowOff>
    </xdr:to>
    <xdr:pic>
      <xdr:nvPicPr>
        <xdr:cNvPr id="61" name="Obraz 60" descr="POMPA CIEPŁA PANASONIC AQUAREA 9kW MONOBLOK MONTAŻ 7709585771 ...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32824" y="71291823"/>
          <a:ext cx="1815353" cy="18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23</xdr:col>
      <xdr:colOff>291353</xdr:colOff>
      <xdr:row>52</xdr:row>
      <xdr:rowOff>67235</xdr:rowOff>
    </xdr:from>
    <xdr:ext cx="1815353" cy="1838375"/>
    <xdr:pic>
      <xdr:nvPicPr>
        <xdr:cNvPr id="62" name="Obraz 61" descr="POMPA CIEPŁA PANASONIC AQUAREA 9kW MONOBLOK MONTAŻ 7709585771 ...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3177" y="65621647"/>
          <a:ext cx="1815353" cy="18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302558</xdr:colOff>
      <xdr:row>51</xdr:row>
      <xdr:rowOff>44824</xdr:rowOff>
    </xdr:from>
    <xdr:ext cx="1815353" cy="1838375"/>
    <xdr:pic>
      <xdr:nvPicPr>
        <xdr:cNvPr id="63" name="Obraz 62" descr="POMPA CIEPŁA PANASONIC AQUAREA 9kW MONOBLOK MONTAŻ 7709585771 ...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54382" y="63694236"/>
          <a:ext cx="1815353" cy="18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23</xdr:col>
      <xdr:colOff>358588</xdr:colOff>
      <xdr:row>48</xdr:row>
      <xdr:rowOff>302558</xdr:rowOff>
    </xdr:from>
    <xdr:to>
      <xdr:col>23</xdr:col>
      <xdr:colOff>2286000</xdr:colOff>
      <xdr:row>48</xdr:row>
      <xdr:rowOff>1444088</xdr:rowOff>
    </xdr:to>
    <xdr:pic>
      <xdr:nvPicPr>
        <xdr:cNvPr id="73" name="Obraz 72" descr="POMPA CIEPŁA PANASONIC AQUAREA MONOBLOK 7kW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353" b="22588"/>
        <a:stretch/>
      </xdr:blipFill>
      <xdr:spPr bwMode="auto">
        <a:xfrm>
          <a:off x="18310412" y="58236970"/>
          <a:ext cx="1927412" cy="114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224118</xdr:colOff>
      <xdr:row>61</xdr:row>
      <xdr:rowOff>100853</xdr:rowOff>
    </xdr:from>
    <xdr:to>
      <xdr:col>23</xdr:col>
      <xdr:colOff>2346832</xdr:colOff>
      <xdr:row>61</xdr:row>
      <xdr:rowOff>1794625</xdr:rowOff>
    </xdr:to>
    <xdr:pic>
      <xdr:nvPicPr>
        <xdr:cNvPr id="86" name="Obraz 85" descr="Znalezione obrazy dla zapytania pompa ciepła lg 12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45" b="10362"/>
        <a:stretch/>
      </xdr:blipFill>
      <xdr:spPr bwMode="auto">
        <a:xfrm>
          <a:off x="18175942" y="82800265"/>
          <a:ext cx="2122714" cy="1693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190500</xdr:colOff>
      <xdr:row>63</xdr:row>
      <xdr:rowOff>123265</xdr:rowOff>
    </xdr:from>
    <xdr:to>
      <xdr:col>23</xdr:col>
      <xdr:colOff>2313214</xdr:colOff>
      <xdr:row>63</xdr:row>
      <xdr:rowOff>1817037</xdr:rowOff>
    </xdr:to>
    <xdr:pic>
      <xdr:nvPicPr>
        <xdr:cNvPr id="87" name="Obraz 86" descr="Znalezione obrazy dla zapytania pompa ciepła lg 12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45" b="10362"/>
        <a:stretch/>
      </xdr:blipFill>
      <xdr:spPr bwMode="auto">
        <a:xfrm>
          <a:off x="18142324" y="86632677"/>
          <a:ext cx="2122714" cy="1693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280147</xdr:colOff>
      <xdr:row>65</xdr:row>
      <xdr:rowOff>100853</xdr:rowOff>
    </xdr:from>
    <xdr:to>
      <xdr:col>23</xdr:col>
      <xdr:colOff>2402861</xdr:colOff>
      <xdr:row>65</xdr:row>
      <xdr:rowOff>1794625</xdr:rowOff>
    </xdr:to>
    <xdr:pic>
      <xdr:nvPicPr>
        <xdr:cNvPr id="88" name="Obraz 87" descr="Znalezione obrazy dla zapytania pompa ciepła lg 12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45" b="10362"/>
        <a:stretch/>
      </xdr:blipFill>
      <xdr:spPr bwMode="auto">
        <a:xfrm>
          <a:off x="18231971" y="90420265"/>
          <a:ext cx="2122714" cy="1693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2</xdr:rowOff>
    </xdr:from>
    <xdr:to>
      <xdr:col>24</xdr:col>
      <xdr:colOff>200026</xdr:colOff>
      <xdr:row>16</xdr:row>
      <xdr:rowOff>94542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190502"/>
          <a:ext cx="5676900" cy="2952040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238124</xdr:colOff>
      <xdr:row>17</xdr:row>
      <xdr:rowOff>1</xdr:rowOff>
    </xdr:from>
    <xdr:to>
      <xdr:col>24</xdr:col>
      <xdr:colOff>190499</xdr:colOff>
      <xdr:row>32</xdr:row>
      <xdr:rowOff>67235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4" y="3238501"/>
          <a:ext cx="5667375" cy="292473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24</xdr:col>
      <xdr:colOff>219075</xdr:colOff>
      <xdr:row>48</xdr:row>
      <xdr:rowOff>147538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6286500"/>
          <a:ext cx="5695950" cy="30050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24</xdr:col>
      <xdr:colOff>171450</xdr:colOff>
      <xdr:row>64</xdr:row>
      <xdr:rowOff>44824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9334500"/>
          <a:ext cx="5648325" cy="2902324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238124</xdr:colOff>
      <xdr:row>65</xdr:row>
      <xdr:rowOff>0</xdr:rowOff>
    </xdr:from>
    <xdr:to>
      <xdr:col>24</xdr:col>
      <xdr:colOff>228599</xdr:colOff>
      <xdr:row>81</xdr:row>
      <xdr:rowOff>53974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4" y="12382500"/>
          <a:ext cx="5705475" cy="3101974"/>
        </a:xfrm>
        <a:prstGeom prst="rect">
          <a:avLst/>
        </a:prstGeom>
      </xdr:spPr>
    </xdr:pic>
    <xdr:clientData/>
  </xdr:twoCellAnchor>
  <xdr:twoCellAnchor editAs="oneCell">
    <xdr:from>
      <xdr:col>2</xdr:col>
      <xdr:colOff>11205</xdr:colOff>
      <xdr:row>81</xdr:row>
      <xdr:rowOff>43328</xdr:rowOff>
    </xdr:from>
    <xdr:to>
      <xdr:col>24</xdr:col>
      <xdr:colOff>219075</xdr:colOff>
      <xdr:row>97</xdr:row>
      <xdr:rowOff>167714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455" y="15473828"/>
          <a:ext cx="5446620" cy="31723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24</xdr:col>
      <xdr:colOff>200025</xdr:colOff>
      <xdr:row>113</xdr:row>
      <xdr:rowOff>13369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8478500"/>
          <a:ext cx="5676900" cy="306136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113</xdr:row>
      <xdr:rowOff>0</xdr:rowOff>
    </xdr:from>
    <xdr:to>
      <xdr:col>24</xdr:col>
      <xdr:colOff>200025</xdr:colOff>
      <xdr:row>128</xdr:row>
      <xdr:rowOff>185031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21526500"/>
          <a:ext cx="5676900" cy="3042531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2</v>
    <v>1</v>
  </rv>
  <rv s="0">
    <v>0</v>
    <v>8</v>
    <v>10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E7E1733-DC75-4DFE-BEDF-08A5E8A81D75}" name="Tabela12" displayName="Tabela12" ref="BP45:BT51" totalsRowShown="0" headerRowDxfId="98" dataDxfId="97">
  <autoFilter ref="BP45:BT51" xr:uid="{AE7E1733-DC75-4DFE-BEDF-08A5E8A81D75}"/>
  <tableColumns count="5">
    <tableColumn id="1" xr3:uid="{C09163E7-3C2F-475E-AC8A-6FEA6F1F3656}" name="Kolumna1" dataDxfId="96"/>
    <tableColumn id="2" xr3:uid="{9A857CB1-AD9D-4388-94A4-2E596FE4654D}" name="Kolumna2" dataDxfId="95"/>
    <tableColumn id="3" xr3:uid="{B0F27999-6613-41D0-860C-9A59760702AC}" name="Kolumna3" dataDxfId="94"/>
    <tableColumn id="4" xr3:uid="{34160C19-345A-498E-BCA0-39AAC19D7E11}" name="Kolumna4" dataDxfId="93"/>
    <tableColumn id="5" xr3:uid="{15ABB2D3-88BD-448F-9BED-9C2C19E097FC}" name="Kolumna5" dataDxfId="9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E319D1-F1E1-46C6-9E10-48556FF3E6F8}" name="Tabela14" displayName="Tabela14" ref="BP63:BP65" totalsRowShown="0" headerRowDxfId="91" dataDxfId="90">
  <autoFilter ref="BP63:BP65" xr:uid="{38E319D1-F1E1-46C6-9E10-48556FF3E6F8}"/>
  <tableColumns count="1">
    <tableColumn id="1" xr3:uid="{F123BA60-9000-408F-882C-3638F6AF42B8}" name="Kolumna1" dataDxfId="8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A7BF37-395A-45F5-BA5C-B9B7BEFDA407}" name="Tabela16" displayName="Tabela16" ref="AE1:AF3" totalsRowShown="0" headerRowDxfId="88">
  <autoFilter ref="AE1:AF3" xr:uid="{A7A7BF37-395A-45F5-BA5C-B9B7BEFDA407}"/>
  <tableColumns count="2">
    <tableColumn id="1" xr3:uid="{2DE2AA90-1553-44A7-8B6D-165BF2024390}" name="inwestor" dataDxfId="87"/>
    <tableColumn id="2" xr3:uid="{93B7DAF2-AB22-48F9-91A0-A99729171B50}" name="vat" dataDxfId="8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1DFF2DD-781F-4730-A78B-327A18806391}" name="Tabela24" displayName="Tabela24" ref="AG8:AI109" totalsRowShown="0" headerRowDxfId="1" dataDxfId="2" tableBorderDxfId="6">
  <autoFilter ref="AG8:AI109" xr:uid="{41DFF2DD-781F-4730-A78B-327A18806391}"/>
  <tableColumns count="3">
    <tableColumn id="1" xr3:uid="{04F9E89E-8676-4A54-A833-835F50F0B254}" name="PRODUCENT" dataDxfId="5"/>
    <tableColumn id="2" xr3:uid="{1DFB3B5C-6832-48E5-A8F4-99B52C304D3E}" name="TYP" dataDxfId="4"/>
    <tableColumn id="3" xr3:uid="{3EF96C29-8816-456C-B08A-689131C0C312}" name="MODEL" dataDxfId="3"/>
  </tableColumns>
  <tableStyleInfo name="TableStyleMedium2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831E722-AD17-4B52-BB08-843D42A5F115}" name="Tabela1012" displayName="Tabela1012" ref="CC1:CC4" totalsRowShown="0" headerRowDxfId="85" dataDxfId="84" dataCellStyle="Procentowy">
  <autoFilter ref="CC1:CC4" xr:uid="{2831E722-AD17-4B52-BB08-843D42A5F115}"/>
  <tableColumns count="1">
    <tableColumn id="1" xr3:uid="{D054AA1E-03D6-4968-AA43-C671ABAC1E0E}" name="Ulga termomodernizacyjna" dataDxfId="83" dataCellStyle="Procentowy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83E8F9-3E78-44F9-B7B3-EAC8A2D4B12A}" name="Tabela15" displayName="Tabela15" ref="CB9:CB12" totalsRowShown="0" headerRowDxfId="82" dataDxfId="81">
  <autoFilter ref="CB9:CB12" xr:uid="{6783E8F9-3E78-44F9-B7B3-EAC8A2D4B12A}"/>
  <tableColumns count="1">
    <tableColumn id="1" xr3:uid="{CC909C08-0457-4699-B6A7-A5CF36123C4F}" name="VAT" dataDxfId="8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PC" displayName="PC" ref="A4:Z150" totalsRowShown="0" tableBorderDxfId="79">
  <autoFilter ref="A4:Z150" xr:uid="{00000000-0009-0000-0100-000004000000}"/>
  <tableColumns count="26">
    <tableColumn id="1" xr3:uid="{00000000-0010-0000-0000-000001000000}" name="producent" dataDxfId="78"/>
    <tableColumn id="2" xr3:uid="{00000000-0010-0000-0000-000002000000}" name="j.wew" dataDxfId="77"/>
    <tableColumn id="3" xr3:uid="{00000000-0010-0000-0000-000003000000}" name="j.zew" dataDxfId="76"/>
    <tableColumn id="4" xr3:uid="{00000000-0010-0000-0000-000004000000}" name="fazy" dataDxfId="75"/>
    <tableColumn id="5" xr3:uid="{00000000-0010-0000-0000-000005000000}" name="c.zak" dataDxfId="74"/>
    <tableColumn id="6" xr3:uid="{00000000-0010-0000-0000-000006000000}" name="-20"/>
    <tableColumn id="7" xr3:uid="{00000000-0010-0000-0000-000007000000}" name="-15"/>
    <tableColumn id="8" xr3:uid="{00000000-0010-0000-0000-000008000000}" name="-7"/>
    <tableColumn id="9" xr3:uid="{00000000-0010-0000-0000-000009000000}" name="-2"/>
    <tableColumn id="10" xr3:uid="{00000000-0010-0000-0000-00000A000000}" name="2"/>
    <tableColumn id="11" xr3:uid="{00000000-0010-0000-0000-00000B000000}" name="7"/>
    <tableColumn id="12" xr3:uid="{00000000-0010-0000-0000-00000C000000}" name="12"/>
    <tableColumn id="13" xr3:uid="{00000000-0010-0000-0000-00000D000000}" name="15"/>
    <tableColumn id="14" xr3:uid="{00000000-0010-0000-0000-00000E000000}" name="20" dataDxfId="73"/>
    <tableColumn id="15" xr3:uid="{00000000-0010-0000-0000-00000F000000}" name="E-20"/>
    <tableColumn id="16" xr3:uid="{00000000-0010-0000-0000-000010000000}" name="E-15"/>
    <tableColumn id="17" xr3:uid="{00000000-0010-0000-0000-000011000000}" name="E-7"/>
    <tableColumn id="18" xr3:uid="{00000000-0010-0000-0000-000012000000}" name="E-2"/>
    <tableColumn id="19" xr3:uid="{00000000-0010-0000-0000-000013000000}" name="E2"/>
    <tableColumn id="20" xr3:uid="{00000000-0010-0000-0000-000014000000}" name="E7"/>
    <tableColumn id="21" xr3:uid="{00000000-0010-0000-0000-000015000000}" name="E12"/>
    <tableColumn id="22" xr3:uid="{00000000-0010-0000-0000-000016000000}" name="E15"/>
    <tableColumn id="23" xr3:uid="{00000000-0010-0000-0000-000017000000}" name="E20"/>
    <tableColumn id="24" xr3:uid="{00000000-0010-0000-0000-000018000000}" name="PC_zdjęcie"/>
    <tableColumn id="25" xr3:uid="{00000000-0010-0000-0000-000019000000}" name="gwarancja"/>
    <tableColumn id="26" xr3:uid="{00000000-0010-0000-0000-00001A000000}" name="Grzałka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13" displayName="Tabela13" ref="B21:AY34" totalsRowShown="0" headerRowDxfId="72">
  <autoFilter ref="B21:AY34" xr:uid="{00000000-0009-0000-0100-000003000000}"/>
  <tableColumns count="50">
    <tableColumn id="1" xr3:uid="{00000000-0010-0000-0100-000001000000}" name="Katowice"/>
    <tableColumn id="2" xr3:uid="{00000000-0010-0000-0100-000002000000}" name="-20" dataDxfId="71"/>
    <tableColumn id="3" xr3:uid="{00000000-0010-0000-0100-000003000000}" name="-17" dataDxfId="70"/>
    <tableColumn id="4" xr3:uid="{00000000-0010-0000-0100-000004000000}" name="-16" dataDxfId="69"/>
    <tableColumn id="5" xr3:uid="{00000000-0010-0000-0100-000005000000}" name="-15" dataDxfId="68"/>
    <tableColumn id="6" xr3:uid="{00000000-0010-0000-0100-000006000000}" name="-14" dataDxfId="67"/>
    <tableColumn id="7" xr3:uid="{00000000-0010-0000-0100-000007000000}" name="-13" dataDxfId="66"/>
    <tableColumn id="8" xr3:uid="{00000000-0010-0000-0100-000008000000}" name="-12" dataDxfId="65"/>
    <tableColumn id="9" xr3:uid="{00000000-0010-0000-0100-000009000000}" name="-11" dataDxfId="64"/>
    <tableColumn id="10" xr3:uid="{00000000-0010-0000-0100-00000A000000}" name="-10" dataDxfId="63"/>
    <tableColumn id="11" xr3:uid="{00000000-0010-0000-0100-00000B000000}" name="-9" dataDxfId="62"/>
    <tableColumn id="12" xr3:uid="{00000000-0010-0000-0100-00000C000000}" name="-8" dataDxfId="61"/>
    <tableColumn id="13" xr3:uid="{00000000-0010-0000-0100-00000D000000}" name="-7" dataDxfId="60"/>
    <tableColumn id="14" xr3:uid="{00000000-0010-0000-0100-00000E000000}" name="-6" dataDxfId="59"/>
    <tableColumn id="15" xr3:uid="{00000000-0010-0000-0100-00000F000000}" name="-5" dataDxfId="58"/>
    <tableColumn id="16" xr3:uid="{00000000-0010-0000-0100-000010000000}" name="-4" dataDxfId="57"/>
    <tableColumn id="17" xr3:uid="{00000000-0010-0000-0100-000011000000}" name="-3" dataDxfId="56"/>
    <tableColumn id="18" xr3:uid="{00000000-0010-0000-0100-000012000000}" name="-2" dataDxfId="55"/>
    <tableColumn id="19" xr3:uid="{00000000-0010-0000-0100-000013000000}" name="-1" dataDxfId="54"/>
    <tableColumn id="20" xr3:uid="{00000000-0010-0000-0100-000014000000}" name="0" dataDxfId="53"/>
    <tableColumn id="21" xr3:uid="{00000000-0010-0000-0100-000015000000}" name="1" dataDxfId="52"/>
    <tableColumn id="22" xr3:uid="{00000000-0010-0000-0100-000016000000}" name="2" dataDxfId="51"/>
    <tableColumn id="23" xr3:uid="{00000000-0010-0000-0100-000017000000}" name="3" dataDxfId="50"/>
    <tableColumn id="24" xr3:uid="{00000000-0010-0000-0100-000018000000}" name="4" dataDxfId="49"/>
    <tableColumn id="25" xr3:uid="{00000000-0010-0000-0100-000019000000}" name="5" dataDxfId="48"/>
    <tableColumn id="26" xr3:uid="{00000000-0010-0000-0100-00001A000000}" name="6" dataDxfId="47"/>
    <tableColumn id="27" xr3:uid="{00000000-0010-0000-0100-00001B000000}" name="7" dataDxfId="46"/>
    <tableColumn id="28" xr3:uid="{00000000-0010-0000-0100-00001C000000}" name="8" dataDxfId="45"/>
    <tableColumn id="29" xr3:uid="{00000000-0010-0000-0100-00001D000000}" name="9" dataDxfId="44"/>
    <tableColumn id="30" xr3:uid="{00000000-0010-0000-0100-00001E000000}" name="10" dataDxfId="43"/>
    <tableColumn id="31" xr3:uid="{00000000-0010-0000-0100-00001F000000}" name="11" dataDxfId="42"/>
    <tableColumn id="32" xr3:uid="{00000000-0010-0000-0100-000020000000}" name="12" dataDxfId="41"/>
    <tableColumn id="33" xr3:uid="{00000000-0010-0000-0100-000021000000}" name="13" dataDxfId="40"/>
    <tableColumn id="34" xr3:uid="{00000000-0010-0000-0100-000022000000}" name="14" dataDxfId="39"/>
    <tableColumn id="35" xr3:uid="{00000000-0010-0000-0100-000023000000}" name="15" dataDxfId="38"/>
    <tableColumn id="36" xr3:uid="{00000000-0010-0000-0100-000024000000}" name="16" dataDxfId="37"/>
    <tableColumn id="37" xr3:uid="{00000000-0010-0000-0100-000025000000}" name="17" dataDxfId="36"/>
    <tableColumn id="38" xr3:uid="{00000000-0010-0000-0100-000026000000}" name="18" dataDxfId="35"/>
    <tableColumn id="39" xr3:uid="{00000000-0010-0000-0100-000027000000}" name="19" dataDxfId="34"/>
    <tableColumn id="40" xr3:uid="{00000000-0010-0000-0100-000028000000}" name="20" dataDxfId="33"/>
    <tableColumn id="41" xr3:uid="{00000000-0010-0000-0100-000029000000}" name="21" dataDxfId="32"/>
    <tableColumn id="42" xr3:uid="{00000000-0010-0000-0100-00002A000000}" name="22" dataDxfId="31"/>
    <tableColumn id="43" xr3:uid="{00000000-0010-0000-0100-00002B000000}" name="23" dataDxfId="30"/>
    <tableColumn id="44" xr3:uid="{00000000-0010-0000-0100-00002C000000}" name="24" dataDxfId="29"/>
    <tableColumn id="45" xr3:uid="{00000000-0010-0000-0100-00002D000000}" name="25" dataDxfId="28"/>
    <tableColumn id="46" xr3:uid="{00000000-0010-0000-0100-00002E000000}" name="26" dataDxfId="27"/>
    <tableColumn id="47" xr3:uid="{00000000-0010-0000-0100-00002F000000}" name="27" dataDxfId="26"/>
    <tableColumn id="48" xr3:uid="{00000000-0010-0000-0100-000030000000}" name="28" dataDxfId="25"/>
    <tableColumn id="49" xr3:uid="{00000000-0010-0000-0100-000031000000}" name="29" dataDxfId="24"/>
    <tableColumn id="50" xr3:uid="{00000000-0010-0000-0100-000032000000}" name="30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p.obieg." displayName="p.obieg." ref="A22:C27" totalsRowShown="0">
  <autoFilter ref="A22:C27" xr:uid="{00000000-0009-0000-0100-000001000000}"/>
  <tableColumns count="3">
    <tableColumn id="1" xr3:uid="{00000000-0010-0000-0200-000001000000}" name="Pompa Obiegowa"/>
    <tableColumn id="2" xr3:uid="{00000000-0010-0000-0200-000002000000}" name="Kolumna1"/>
    <tableColumn id="3" xr3:uid="{00000000-0010-0000-0200-000003000000}" name="fi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N.przep." displayName="N.przep." ref="A17:C19" totalsRowShown="0">
  <autoFilter ref="A17:C19" xr:uid="{00000000-0009-0000-0100-000002000000}"/>
  <tableColumns count="3">
    <tableColumn id="1" xr3:uid="{00000000-0010-0000-0300-000001000000}" name="Przepona"/>
    <tableColumn id="2" xr3:uid="{00000000-0010-0000-0300-000002000000}" name="L"/>
    <tableColumn id="3" xr3:uid="{00000000-0010-0000-0300-000003000000}" name="fi" dataDxfId="2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dodatki" displayName="dodatki" ref="J2:K37" totalsRowShown="0">
  <autoFilter ref="J2:K37" xr:uid="{00000000-0009-0000-0100-000007000000}"/>
  <tableColumns count="2">
    <tableColumn id="1" xr3:uid="{00000000-0010-0000-0400-000001000000}" name="inne" dataDxfId="21"/>
    <tableColumn id="2" xr3:uid="{00000000-0010-0000-0400-000002000000}" name="c.zak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B7BC32-DDB7-494D-9F44-1EAE7EAFC0CB}" name="Tabela5" displayName="Tabela5" ref="A30:C39" totalsRowShown="0" tableBorderDxfId="20">
  <autoFilter ref="A30:C39" xr:uid="{F5B7BC32-DDB7-494D-9F44-1EAE7EAFC0CB}"/>
  <tableColumns count="3">
    <tableColumn id="1" xr3:uid="{A58D8D9A-3E21-4F25-AB83-DC59B4443CC0}" name="Projekt wykonał/a"/>
    <tableColumn id="2" xr3:uid="{EF18A41C-F6EF-46AA-93AF-3F51CB273EAC}" name="email"/>
    <tableColumn id="3" xr3:uid="{5586E51E-09BC-4C1D-AC1D-537D5C9A2F66}" name="tel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F5D9688-5E9C-494C-9239-614C39B0692C}" name="Tabela9" displayName="Tabela9" ref="M2:N8" totalsRowShown="0">
  <autoFilter ref="M2:N8" xr:uid="{BF5D9688-5E9C-494C-9239-614C39B0692C}"/>
  <tableColumns count="2">
    <tableColumn id="1" xr3:uid="{E0E930E0-6C56-49BA-BC2A-9A2E2D0E2E78}" name="Program dofinansowania"/>
    <tableColumn id="2" xr3:uid="{DCB52397-2A67-4815-937A-8345CE79A8FD}" name="kwota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F57739-151C-4C4B-BA72-4BD8FE6E8B2D}" name="Tabela10" displayName="Tabela10" ref="P2:P5" totalsRowShown="0" dataDxfId="19" dataCellStyle="Procentowy">
  <autoFilter ref="P2:P5" xr:uid="{19F57739-151C-4C4B-BA72-4BD8FE6E8B2D}"/>
  <tableColumns count="1">
    <tableColumn id="1" xr3:uid="{558F15A5-07EF-40DB-A352-AC8267A6DB5E}" name="Ulga termomodernizacyjna" dataDxfId="18" dataCellStyle="Procentowy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WU" displayName="CWU" ref="A2:S82" totalsRowShown="0">
  <autoFilter ref="A2:S82" xr:uid="{00000000-0009-0000-0100-000006000000}"/>
  <tableColumns count="19">
    <tableColumn id="6" xr3:uid="{00000000-0010-0000-0500-000006000000}" name="Nazwa"/>
    <tableColumn id="19" xr3:uid="{3434600B-0891-4CE7-B861-1512D795C98B}" name="klasa ErP"/>
    <tableColumn id="18" xr3:uid="{64557B86-68DB-426F-92B4-DA535E839FCC}" name="wysokość"/>
    <tableColumn id="17" xr3:uid="{9BE884B6-CD87-4CB8-B723-55F149763EED}" name="średnica"/>
    <tableColumn id="7" xr3:uid="{00000000-0010-0000-0500-000007000000}" name="L" dataDxfId="17"/>
    <tableColumn id="16" xr3:uid="{00000000-0010-0000-0500-000010000000}" name="gwarancja"/>
    <tableColumn id="8" xr3:uid="{00000000-0010-0000-0500-000008000000}" name="wezownica"/>
    <tableColumn id="9" xr3:uid="{00000000-0010-0000-0500-000009000000}" name="ilosc_wezownic"/>
    <tableColumn id="10" xr3:uid="{00000000-0010-0000-0500-00000A000000}" name="Kolumna10" dataDxfId="16"/>
    <tableColumn id="11" xr3:uid="{00000000-0010-0000-0500-00000B000000}" name="c.zak">
      <calculatedColumnFormula>I3*(1-$J$1)</calculatedColumnFormula>
    </tableColumn>
    <tableColumn id="13" xr3:uid="{00000000-0010-0000-0500-00000D000000}" name="wsp"/>
    <tableColumn id="1" xr3:uid="{00000000-0010-0000-0500-000001000000}" name="fi_wez1"/>
    <tableColumn id="2" xr3:uid="{00000000-0010-0000-0500-000002000000}" name="fi_wez2"/>
    <tableColumn id="3" xr3:uid="{00000000-0010-0000-0500-000003000000}" name="c_w"/>
    <tableColumn id="4" xr3:uid="{00000000-0010-0000-0500-000004000000}" name="z_w"/>
    <tableColumn id="5" xr3:uid="{00000000-0010-0000-0500-000005000000}" name="cyrk"/>
    <tableColumn id="12" xr3:uid="{00000000-0010-0000-0500-00000C000000}" name="kap"/>
    <tableColumn id="14" xr3:uid="{00000000-0010-0000-0500-00000E000000}" name="grzałka"/>
    <tableColumn id="15" xr3:uid="{00000000-0010-0000-0500-00000F000000}" name="korek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O" displayName="CO" ref="A1:N53" totalsRowShown="0">
  <autoFilter ref="A1:N53" xr:uid="{00000000-0009-0000-0100-000008000000}"/>
  <tableColumns count="14">
    <tableColumn id="1" xr3:uid="{00000000-0010-0000-0600-000001000000}" name="producent"/>
    <tableColumn id="13" xr3:uid="{B17ED867-43F1-4EDC-8797-6D108E828333}" name="wysokość"/>
    <tableColumn id="12" xr3:uid="{F562E211-765F-4481-B122-DC83BB610B6A}" name="średnica"/>
    <tableColumn id="2" xr3:uid="{00000000-0010-0000-0600-000002000000}" name="l"/>
    <tableColumn id="3" xr3:uid="{00000000-0010-0000-0600-000003000000}" name="c.zak" dataDxfId="15" dataCellStyle="Normalny 6 2"/>
    <tableColumn id="14" xr3:uid="{0E3DA595-D2C0-42EF-BC44-DCFD40EAE0ED}" name="klasa ErP" dataDxfId="14" dataCellStyle="Normalny 6 2"/>
    <tableColumn id="4" xr3:uid="{00000000-0010-0000-0600-000004000000}" name="gwarancja"/>
    <tableColumn id="5" xr3:uid="{00000000-0010-0000-0600-000005000000}" name="zas" dataDxfId="13"/>
    <tableColumn id="9" xr3:uid="{00000000-0010-0000-0600-000009000000}" name="zas_szt" dataDxfId="12"/>
    <tableColumn id="6" xr3:uid="{00000000-0010-0000-0600-000006000000}" name="powr" dataDxfId="11"/>
    <tableColumn id="10" xr3:uid="{00000000-0010-0000-0600-00000A000000}" name="powr_szt" dataDxfId="10"/>
    <tableColumn id="7" xr3:uid="{00000000-0010-0000-0600-000007000000}" name="czuj" dataDxfId="9"/>
    <tableColumn id="11" xr3:uid="{00000000-0010-0000-0600-00000B000000}" name="czuj_szt" dataDxfId="8"/>
    <tableColumn id="8" xr3:uid="{00000000-0010-0000-0600-000008000000}" name="w1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jacurbanek@poczta.onet.pl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3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ieplowlasciwie.pl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hyperlink" Target="mailto:patrycja.krakowczyk@ampere-solar.pl" TargetMode="External"/><Relationship Id="rId1" Type="http://schemas.openxmlformats.org/officeDocument/2006/relationships/hyperlink" Target="mailto:rafal.krakowczyk@ampere-solar.pl" TargetMode="Externa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9"/>
  <dimension ref="A1:BT78"/>
  <sheetViews>
    <sheetView showGridLines="0" zoomScale="115" zoomScaleNormal="115" workbookViewId="0">
      <selection activeCell="L5" sqref="L5:S5"/>
    </sheetView>
  </sheetViews>
  <sheetFormatPr defaultColWidth="4.85546875" defaultRowHeight="15" x14ac:dyDescent="0.25"/>
  <cols>
    <col min="1" max="23" width="4.85546875" style="121" customWidth="1"/>
    <col min="24" max="24" width="5.28515625" style="121" customWidth="1"/>
    <col min="25" max="25" width="47.7109375" style="121" bestFit="1" customWidth="1"/>
    <col min="26" max="28" width="40.85546875" style="121" customWidth="1"/>
    <col min="29" max="30" width="4.85546875" style="121" customWidth="1"/>
    <col min="31" max="31" width="17.140625" style="121" bestFit="1" customWidth="1"/>
    <col min="32" max="32" width="15.5703125" style="121" bestFit="1" customWidth="1"/>
    <col min="33" max="44" width="4.85546875" style="121" customWidth="1"/>
    <col min="45" max="45" width="17.42578125" style="121" customWidth="1"/>
    <col min="46" max="47" width="4.85546875" style="121" customWidth="1"/>
    <col min="48" max="48" width="18.42578125" style="121" customWidth="1"/>
    <col min="49" max="49" width="6.7109375" style="121" customWidth="1"/>
    <col min="50" max="50" width="5.5703125" style="121" customWidth="1"/>
    <col min="51" max="67" width="4.85546875" style="121" customWidth="1"/>
    <col min="68" max="68" width="12.5703125" style="121" customWidth="1"/>
    <col min="69" max="72" width="12.140625" style="121" customWidth="1"/>
    <col min="73" max="16384" width="4.85546875" style="121"/>
  </cols>
  <sheetData>
    <row r="1" spans="1:32" x14ac:dyDescent="0.25">
      <c r="AE1" s="121" t="s">
        <v>958</v>
      </c>
      <c r="AF1" s="121" t="s">
        <v>959</v>
      </c>
    </row>
    <row r="2" spans="1:32" x14ac:dyDescent="0.25">
      <c r="AE2" s="121" t="s">
        <v>960</v>
      </c>
      <c r="AF2" s="147">
        <v>0.08</v>
      </c>
    </row>
    <row r="3" spans="1:32" x14ac:dyDescent="0.25">
      <c r="AE3" s="121" t="s">
        <v>961</v>
      </c>
      <c r="AF3" s="147">
        <v>0.23</v>
      </c>
    </row>
    <row r="4" spans="1:32" ht="18.75" customHeight="1" x14ac:dyDescent="0.25">
      <c r="A4" s="184"/>
      <c r="B4" s="228" t="s">
        <v>952</v>
      </c>
      <c r="C4" s="228"/>
      <c r="D4" s="228"/>
      <c r="E4" s="228"/>
      <c r="F4" s="228"/>
      <c r="G4" s="228"/>
      <c r="H4" s="228"/>
      <c r="I4" s="228"/>
      <c r="J4" s="228"/>
      <c r="K4" s="184"/>
      <c r="L4" s="227" t="s">
        <v>599</v>
      </c>
      <c r="M4" s="227"/>
      <c r="N4" s="227"/>
      <c r="O4" s="227"/>
      <c r="P4" s="227"/>
      <c r="Q4" s="227"/>
      <c r="R4" s="227"/>
      <c r="S4" s="227"/>
      <c r="T4" s="191"/>
      <c r="U4" s="184"/>
      <c r="V4" s="184"/>
      <c r="W4" s="184"/>
      <c r="X4" s="184"/>
      <c r="Y4" s="185"/>
      <c r="Z4" s="143"/>
      <c r="AA4" s="143"/>
      <c r="AB4" s="143"/>
    </row>
    <row r="5" spans="1:32" ht="24" customHeight="1" x14ac:dyDescent="0.3">
      <c r="A5" s="184"/>
      <c r="B5" s="232" t="s">
        <v>976</v>
      </c>
      <c r="C5" s="232"/>
      <c r="D5" s="232"/>
      <c r="E5" s="232"/>
      <c r="F5" s="232"/>
      <c r="G5" s="232"/>
      <c r="H5" s="232"/>
      <c r="I5" s="232"/>
      <c r="J5" s="232"/>
      <c r="K5" s="186"/>
      <c r="L5" s="231" t="str">
        <f>Schemat!S1</f>
        <v>Rafał Krakowczyk</v>
      </c>
      <c r="M5" s="231"/>
      <c r="N5" s="231"/>
      <c r="O5" s="231"/>
      <c r="P5" s="231"/>
      <c r="Q5" s="231"/>
      <c r="R5" s="231"/>
      <c r="S5" s="231"/>
      <c r="T5" s="191"/>
      <c r="U5" s="184"/>
      <c r="V5" s="184"/>
      <c r="W5" s="184"/>
      <c r="X5" s="184"/>
      <c r="Y5" s="197" t="str">
        <f>L5</f>
        <v>Rafał Krakowczyk</v>
      </c>
      <c r="Z5" s="144"/>
      <c r="AA5" s="144"/>
      <c r="AB5" s="144"/>
    </row>
    <row r="6" spans="1:32" ht="18" customHeight="1" x14ac:dyDescent="0.25">
      <c r="A6" s="184"/>
      <c r="B6" s="233" t="s">
        <v>968</v>
      </c>
      <c r="C6" s="233"/>
      <c r="D6" s="233"/>
      <c r="E6" s="233"/>
      <c r="F6" s="233"/>
      <c r="G6" s="233"/>
      <c r="H6" s="233"/>
      <c r="I6" s="233"/>
      <c r="J6" s="233"/>
      <c r="K6" s="186"/>
      <c r="L6" s="229">
        <f>VLOOKUP($L$5,'Baza danych'!$A$31:$C$39,3,FALSE)</f>
        <v>530830107</v>
      </c>
      <c r="M6" s="229"/>
      <c r="N6" s="229"/>
      <c r="O6" s="229"/>
      <c r="P6" s="229"/>
      <c r="Q6" s="229"/>
      <c r="R6" s="229"/>
      <c r="S6" s="229"/>
      <c r="T6" s="191"/>
      <c r="U6" s="184"/>
      <c r="V6" s="184"/>
      <c r="W6" s="184"/>
      <c r="X6" s="184"/>
      <c r="Y6" s="198">
        <f>L6</f>
        <v>530830107</v>
      </c>
      <c r="Z6" s="144"/>
      <c r="AA6" s="144"/>
      <c r="AB6" s="144"/>
    </row>
    <row r="7" spans="1:32" ht="18" customHeight="1" x14ac:dyDescent="0.25">
      <c r="A7" s="184"/>
      <c r="B7" s="233">
        <v>692465358</v>
      </c>
      <c r="C7" s="232"/>
      <c r="D7" s="232"/>
      <c r="E7" s="232"/>
      <c r="F7" s="232"/>
      <c r="G7" s="232"/>
      <c r="H7" s="232"/>
      <c r="I7" s="232"/>
      <c r="J7" s="232"/>
      <c r="K7" s="186"/>
      <c r="L7" s="229" t="str">
        <f>VLOOKUP($L$5,'Baza danych'!$A$31:$C$39,2,FALSE)</f>
        <v>rafal.krakowczyk@ampere-solar.pl</v>
      </c>
      <c r="M7" s="229"/>
      <c r="N7" s="229"/>
      <c r="O7" s="229"/>
      <c r="P7" s="229"/>
      <c r="Q7" s="229"/>
      <c r="R7" s="229"/>
      <c r="S7" s="229"/>
      <c r="T7" s="229"/>
      <c r="U7" s="184"/>
      <c r="V7" s="184"/>
      <c r="W7" s="184"/>
      <c r="X7" s="184"/>
      <c r="Y7" s="198" t="str">
        <f>L7</f>
        <v>rafal.krakowczyk@ampere-solar.pl</v>
      </c>
      <c r="Z7" s="144"/>
      <c r="AA7" s="144"/>
      <c r="AB7" s="144"/>
    </row>
    <row r="8" spans="1:32" ht="18" customHeight="1" x14ac:dyDescent="0.25">
      <c r="A8" s="184"/>
      <c r="B8" s="234" t="s">
        <v>969</v>
      </c>
      <c r="C8" s="235"/>
      <c r="D8" s="235"/>
      <c r="E8" s="235"/>
      <c r="F8" s="235"/>
      <c r="G8" s="235"/>
      <c r="H8" s="235"/>
      <c r="I8" s="235"/>
      <c r="J8" s="235"/>
      <c r="K8" s="186"/>
      <c r="L8" s="227" t="s">
        <v>953</v>
      </c>
      <c r="M8" s="227"/>
      <c r="N8" s="227"/>
      <c r="O8" s="227"/>
      <c r="P8" s="227"/>
      <c r="Q8" s="227"/>
      <c r="R8" s="227"/>
      <c r="S8" s="227"/>
      <c r="T8" s="227"/>
      <c r="U8" s="184"/>
      <c r="V8" s="184"/>
      <c r="W8" s="184"/>
      <c r="X8" s="184"/>
      <c r="Y8" s="185"/>
      <c r="Z8" s="143"/>
      <c r="AA8" s="143"/>
      <c r="AB8" s="143"/>
    </row>
    <row r="9" spans="1:32" ht="18" customHeight="1" x14ac:dyDescent="0.3">
      <c r="A9" s="184"/>
      <c r="B9" s="236" t="s">
        <v>960</v>
      </c>
      <c r="C9" s="236"/>
      <c r="D9" s="236"/>
      <c r="E9" s="236"/>
      <c r="F9" s="236"/>
      <c r="G9" s="236"/>
      <c r="H9" s="236"/>
      <c r="I9" s="236"/>
      <c r="J9" s="236"/>
      <c r="K9" s="186"/>
      <c r="L9" s="187"/>
      <c r="M9" s="187"/>
      <c r="N9" s="187"/>
      <c r="O9" s="187"/>
      <c r="P9" s="187"/>
      <c r="Q9" s="187"/>
      <c r="R9" s="187"/>
      <c r="S9" s="187"/>
      <c r="T9" s="185"/>
      <c r="U9" s="184"/>
      <c r="V9" s="184"/>
      <c r="W9" s="184"/>
      <c r="X9" s="184"/>
      <c r="Y9" s="188" t="s">
        <v>952</v>
      </c>
    </row>
    <row r="10" spans="1:32" ht="19.5" x14ac:dyDescent="0.3">
      <c r="A10" s="184"/>
      <c r="B10" s="189"/>
      <c r="C10" s="189"/>
      <c r="D10" s="189"/>
      <c r="E10" s="189"/>
      <c r="F10" s="189"/>
      <c r="G10" s="189"/>
      <c r="H10" s="189"/>
      <c r="I10" s="189"/>
      <c r="J10" s="189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8" t="str">
        <f>B5</f>
        <v>Jan Kowalski</v>
      </c>
    </row>
    <row r="11" spans="1:32" ht="19.5" x14ac:dyDescent="0.3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90" t="str">
        <f>B6</f>
        <v>Rudziczka, Szkolna 23</v>
      </c>
    </row>
    <row r="28" spans="1:59" x14ac:dyDescent="0.25">
      <c r="A28" s="230" t="s">
        <v>598</v>
      </c>
      <c r="B28" s="230"/>
      <c r="C28" s="230"/>
      <c r="D28" s="230"/>
      <c r="E28" s="230"/>
      <c r="F28" s="230"/>
      <c r="G28" s="230"/>
      <c r="H28" s="230"/>
      <c r="I28" s="230"/>
      <c r="J28" s="230"/>
      <c r="K28" s="230"/>
      <c r="L28" s="230"/>
      <c r="M28" s="230"/>
      <c r="N28" s="230"/>
      <c r="O28" s="230"/>
      <c r="P28" s="230"/>
      <c r="Q28" s="230"/>
      <c r="R28" s="230"/>
      <c r="S28" s="230"/>
      <c r="T28" s="230"/>
      <c r="U28" s="230"/>
      <c r="V28" s="230"/>
      <c r="W28" s="230"/>
      <c r="X28" s="230"/>
    </row>
    <row r="29" spans="1:59" x14ac:dyDescent="0.25">
      <c r="A29" s="230"/>
      <c r="B29" s="230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0"/>
      <c r="V29" s="230"/>
      <c r="W29" s="230"/>
      <c r="X29" s="230"/>
    </row>
    <row r="30" spans="1:59" x14ac:dyDescent="0.25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</row>
    <row r="31" spans="1:59" x14ac:dyDescent="0.25">
      <c r="A31" s="145"/>
      <c r="B31" s="145"/>
      <c r="C31" s="145"/>
      <c r="D31" s="213" t="s">
        <v>183</v>
      </c>
      <c r="E31" s="213"/>
      <c r="F31" s="213"/>
      <c r="G31" s="213" t="s">
        <v>119</v>
      </c>
      <c r="H31" s="213"/>
      <c r="I31" s="213"/>
      <c r="J31" s="213"/>
      <c r="K31" s="213"/>
      <c r="L31" s="213">
        <v>-20</v>
      </c>
      <c r="M31" s="213"/>
      <c r="N31" s="145" t="s">
        <v>415</v>
      </c>
      <c r="O31" s="145"/>
      <c r="P31" s="145"/>
      <c r="Q31" s="145"/>
      <c r="R31" s="145"/>
      <c r="S31" s="145"/>
      <c r="T31" s="145"/>
      <c r="U31" s="145"/>
      <c r="V31" s="145"/>
      <c r="W31" s="145"/>
      <c r="X31" s="145"/>
    </row>
    <row r="32" spans="1:59" x14ac:dyDescent="0.25">
      <c r="A32" s="145"/>
      <c r="B32" s="145"/>
      <c r="C32" s="145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AZ32" s="121" t="s">
        <v>425</v>
      </c>
      <c r="BB32" s="121" t="s">
        <v>452</v>
      </c>
      <c r="BG32" s="121" t="s">
        <v>471</v>
      </c>
    </row>
    <row r="33" spans="1:72" x14ac:dyDescent="0.25">
      <c r="A33" s="213" t="s">
        <v>463</v>
      </c>
      <c r="B33" s="213"/>
      <c r="C33" s="213"/>
      <c r="D33" s="213"/>
      <c r="E33" s="213"/>
      <c r="F33" s="212" t="s">
        <v>462</v>
      </c>
      <c r="G33" s="212"/>
      <c r="H33" s="212"/>
      <c r="I33" s="212"/>
      <c r="J33" s="212"/>
      <c r="K33" s="212"/>
      <c r="L33" s="212"/>
      <c r="M33" s="212"/>
      <c r="N33" s="212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AN33" s="121" t="s">
        <v>458</v>
      </c>
      <c r="AQ33" s="121" t="s">
        <v>418</v>
      </c>
      <c r="AT33" s="121" t="s">
        <v>425</v>
      </c>
      <c r="AV33" s="121" t="s">
        <v>426</v>
      </c>
      <c r="AW33" s="121" t="s">
        <v>425</v>
      </c>
      <c r="AY33" s="121" t="s">
        <v>439</v>
      </c>
      <c r="AZ33" s="121" t="s">
        <v>456</v>
      </c>
      <c r="BA33" s="121" t="s">
        <v>442</v>
      </c>
      <c r="BC33" s="121" t="s">
        <v>70</v>
      </c>
      <c r="BG33" s="121" t="s">
        <v>469</v>
      </c>
      <c r="BH33" s="121" t="s">
        <v>470</v>
      </c>
      <c r="BI33" s="121">
        <v>2</v>
      </c>
      <c r="BJ33" s="121">
        <v>1</v>
      </c>
      <c r="BK33" s="121">
        <v>0.5</v>
      </c>
      <c r="BL33" s="121">
        <v>0.25</v>
      </c>
    </row>
    <row r="34" spans="1:72" x14ac:dyDescent="0.25">
      <c r="A34" s="213"/>
      <c r="B34" s="213"/>
      <c r="C34" s="213"/>
      <c r="D34" s="213"/>
      <c r="E34" s="213"/>
      <c r="F34" s="212"/>
      <c r="G34" s="212"/>
      <c r="H34" s="212"/>
      <c r="I34" s="212"/>
      <c r="J34" s="212"/>
      <c r="K34" s="212"/>
      <c r="L34" s="212"/>
      <c r="M34" s="212"/>
      <c r="N34" s="212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AN34" s="121" t="s">
        <v>459</v>
      </c>
      <c r="AO34" s="121">
        <v>1</v>
      </c>
      <c r="AP34" s="121">
        <v>1.1000000000000001</v>
      </c>
      <c r="AQ34" s="121">
        <v>13</v>
      </c>
      <c r="AR34" s="121" t="s">
        <v>75</v>
      </c>
      <c r="AS34" s="121" t="s">
        <v>420</v>
      </c>
      <c r="AT34" s="121">
        <v>0.77</v>
      </c>
      <c r="AV34" s="121" t="s">
        <v>427</v>
      </c>
      <c r="AW34" s="121">
        <v>3.1E-2</v>
      </c>
      <c r="AY34" s="121" t="s">
        <v>412</v>
      </c>
      <c r="AZ34" s="121">
        <v>1.2</v>
      </c>
      <c r="BA34" s="121" t="s">
        <v>443</v>
      </c>
      <c r="BC34" s="121" t="s">
        <v>416</v>
      </c>
      <c r="BD34" s="121">
        <v>50</v>
      </c>
      <c r="BG34" s="121">
        <v>2</v>
      </c>
      <c r="BH34" s="121">
        <v>0.86</v>
      </c>
      <c r="BI34" s="121">
        <v>0.57999999999999996</v>
      </c>
      <c r="BJ34" s="121">
        <v>0.44</v>
      </c>
      <c r="BK34" s="121">
        <v>0.28000000000000003</v>
      </c>
      <c r="BL34" s="121">
        <v>0.16</v>
      </c>
    </row>
    <row r="35" spans="1:72" x14ac:dyDescent="0.25">
      <c r="A35" s="213" t="s">
        <v>384</v>
      </c>
      <c r="B35" s="213"/>
      <c r="C35" s="213"/>
      <c r="D35" s="213" t="s">
        <v>475</v>
      </c>
      <c r="E35" s="213"/>
      <c r="F35" s="213"/>
      <c r="G35" s="213"/>
      <c r="H35" s="213"/>
      <c r="I35" s="213"/>
      <c r="J35" s="212">
        <v>10</v>
      </c>
      <c r="K35" s="212"/>
      <c r="L35" s="212"/>
      <c r="M35" s="213" t="s">
        <v>473</v>
      </c>
      <c r="N35" s="212">
        <v>7</v>
      </c>
      <c r="O35" s="212"/>
      <c r="P35" s="212"/>
      <c r="Q35" s="213" t="s">
        <v>410</v>
      </c>
      <c r="R35" s="213"/>
      <c r="S35" s="212">
        <f>J35*N35</f>
        <v>70</v>
      </c>
      <c r="T35" s="212"/>
      <c r="U35" s="212"/>
      <c r="V35" s="213" t="s">
        <v>362</v>
      </c>
      <c r="W35" s="213"/>
      <c r="X35" s="145"/>
      <c r="AN35" s="121" t="s">
        <v>460</v>
      </c>
      <c r="AO35" s="121">
        <v>1.2</v>
      </c>
      <c r="AP35" s="121">
        <v>1.5</v>
      </c>
      <c r="AQ35" s="121">
        <v>14</v>
      </c>
      <c r="AR35" s="121" t="s">
        <v>31</v>
      </c>
      <c r="AS35" s="121" t="s">
        <v>421</v>
      </c>
      <c r="AT35" s="121">
        <v>0.5</v>
      </c>
      <c r="AV35" s="121" t="s">
        <v>435</v>
      </c>
      <c r="AW35" s="121">
        <v>2.9000000000000001E-2</v>
      </c>
      <c r="AY35" s="121" t="s">
        <v>440</v>
      </c>
      <c r="AZ35" s="121">
        <v>0.63</v>
      </c>
      <c r="BA35" s="121" t="s">
        <v>444</v>
      </c>
      <c r="BC35" s="121" t="s">
        <v>448</v>
      </c>
      <c r="BD35" s="121">
        <v>60</v>
      </c>
      <c r="BG35" s="121">
        <v>4</v>
      </c>
      <c r="BH35" s="121">
        <v>0.64</v>
      </c>
      <c r="BI35" s="121">
        <v>0.48</v>
      </c>
      <c r="BJ35" s="121">
        <v>0.38</v>
      </c>
      <c r="BK35" s="121">
        <v>0.26</v>
      </c>
      <c r="BL35" s="121">
        <v>0.16</v>
      </c>
    </row>
    <row r="36" spans="1:72" x14ac:dyDescent="0.25">
      <c r="A36" s="213"/>
      <c r="B36" s="213"/>
      <c r="C36" s="213"/>
      <c r="D36" s="213"/>
      <c r="E36" s="213"/>
      <c r="F36" s="213"/>
      <c r="G36" s="213"/>
      <c r="H36" s="213"/>
      <c r="I36" s="213"/>
      <c r="J36" s="212"/>
      <c r="K36" s="212"/>
      <c r="L36" s="212"/>
      <c r="M36" s="213"/>
      <c r="N36" s="212"/>
      <c r="O36" s="212"/>
      <c r="P36" s="212"/>
      <c r="Q36" s="213"/>
      <c r="R36" s="213"/>
      <c r="S36" s="212"/>
      <c r="T36" s="212"/>
      <c r="U36" s="212"/>
      <c r="V36" s="213"/>
      <c r="W36" s="213"/>
      <c r="X36" s="145"/>
      <c r="AN36" s="121" t="s">
        <v>461</v>
      </c>
      <c r="AO36" s="121">
        <v>1.2</v>
      </c>
      <c r="AP36" s="121">
        <v>1.1000000000000001</v>
      </c>
      <c r="AQ36" s="121">
        <v>15</v>
      </c>
      <c r="AS36" s="121" t="s">
        <v>422</v>
      </c>
      <c r="AT36" s="121">
        <v>0.5</v>
      </c>
      <c r="AV36" s="121" t="s">
        <v>428</v>
      </c>
      <c r="AW36" s="121">
        <v>4.4999999999999998E-2</v>
      </c>
      <c r="BA36" s="121" t="s">
        <v>445</v>
      </c>
      <c r="BC36" s="121" t="s">
        <v>449</v>
      </c>
      <c r="BD36" s="121">
        <v>70</v>
      </c>
      <c r="BG36" s="121">
        <v>6</v>
      </c>
      <c r="BH36" s="121">
        <v>0.52</v>
      </c>
      <c r="BI36" s="121">
        <v>0.4</v>
      </c>
      <c r="BJ36" s="121">
        <v>0.33</v>
      </c>
      <c r="BK36" s="121">
        <v>0.25</v>
      </c>
      <c r="BL36" s="121">
        <v>0.15</v>
      </c>
    </row>
    <row r="37" spans="1:72" x14ac:dyDescent="0.25">
      <c r="A37" s="219">
        <f>SUM(V47:W60)/1000</f>
        <v>4.0157314718667516</v>
      </c>
      <c r="B37" s="219"/>
      <c r="C37" s="219"/>
      <c r="D37" s="213" t="s">
        <v>408</v>
      </c>
      <c r="E37" s="213"/>
      <c r="F37" s="213"/>
      <c r="G37" s="213"/>
      <c r="H37" s="213"/>
      <c r="I37" s="213"/>
      <c r="J37" s="212">
        <v>110</v>
      </c>
      <c r="K37" s="212"/>
      <c r="L37" s="212"/>
      <c r="M37" s="213" t="s">
        <v>362</v>
      </c>
      <c r="N37" s="213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AN37" s="121" t="s">
        <v>462</v>
      </c>
      <c r="AO37" s="121">
        <v>2</v>
      </c>
      <c r="AP37" s="121">
        <v>1.1000000000000001</v>
      </c>
      <c r="AQ37" s="121">
        <v>16</v>
      </c>
      <c r="AS37" s="121" t="s">
        <v>423</v>
      </c>
      <c r="AT37" s="121">
        <v>0.16</v>
      </c>
      <c r="AV37" s="121" t="s">
        <v>429</v>
      </c>
      <c r="AW37" s="121">
        <v>3.5000000000000003E-2</v>
      </c>
      <c r="BG37" s="121">
        <v>8</v>
      </c>
      <c r="BH37" s="121">
        <v>0.44</v>
      </c>
      <c r="BI37" s="121">
        <v>0.35</v>
      </c>
      <c r="BJ37" s="121">
        <v>0.28999999999999998</v>
      </c>
      <c r="BK37" s="121">
        <v>0.23</v>
      </c>
      <c r="BL37" s="121">
        <v>0.15</v>
      </c>
    </row>
    <row r="38" spans="1:72" x14ac:dyDescent="0.25">
      <c r="A38" s="219"/>
      <c r="B38" s="219"/>
      <c r="C38" s="219"/>
      <c r="D38" s="213"/>
      <c r="E38" s="213"/>
      <c r="F38" s="213"/>
      <c r="G38" s="213"/>
      <c r="H38" s="213"/>
      <c r="I38" s="213"/>
      <c r="J38" s="212"/>
      <c r="K38" s="212"/>
      <c r="L38" s="212"/>
      <c r="M38" s="213"/>
      <c r="N38" s="213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AN38" s="121" t="s">
        <v>464</v>
      </c>
      <c r="AO38" s="121">
        <v>2.5</v>
      </c>
      <c r="AP38" s="121">
        <v>1.5</v>
      </c>
      <c r="AQ38" s="121">
        <v>17</v>
      </c>
      <c r="AS38" s="121" t="s">
        <v>424</v>
      </c>
      <c r="AT38" s="121">
        <v>0.1</v>
      </c>
      <c r="AV38" s="121" t="s">
        <v>434</v>
      </c>
      <c r="AW38" s="121">
        <v>2.3E-2</v>
      </c>
      <c r="BG38" s="121">
        <v>10</v>
      </c>
      <c r="BH38" s="121">
        <v>0.38</v>
      </c>
      <c r="BI38" s="121">
        <v>0.31</v>
      </c>
      <c r="BJ38" s="121">
        <v>0.26</v>
      </c>
      <c r="BK38" s="121">
        <v>0.21</v>
      </c>
      <c r="BL38" s="121">
        <v>0.14000000000000001</v>
      </c>
    </row>
    <row r="39" spans="1:72" x14ac:dyDescent="0.25">
      <c r="A39" s="219"/>
      <c r="B39" s="219"/>
      <c r="C39" s="219"/>
      <c r="D39" s="213" t="s">
        <v>409</v>
      </c>
      <c r="E39" s="213"/>
      <c r="F39" s="213"/>
      <c r="G39" s="213"/>
      <c r="H39" s="213"/>
      <c r="I39" s="213"/>
      <c r="J39" s="212">
        <v>2.5</v>
      </c>
      <c r="K39" s="212"/>
      <c r="L39" s="212"/>
      <c r="M39" s="213" t="s">
        <v>410</v>
      </c>
      <c r="N39" s="213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AQ39" s="121">
        <v>18</v>
      </c>
      <c r="AS39" s="121" t="s">
        <v>430</v>
      </c>
      <c r="AT39" s="121">
        <v>1</v>
      </c>
      <c r="BG39" s="121">
        <v>12</v>
      </c>
      <c r="BH39" s="121">
        <v>0.34</v>
      </c>
      <c r="BI39" s="121">
        <v>0.28000000000000003</v>
      </c>
      <c r="BJ39" s="121">
        <v>0.24</v>
      </c>
      <c r="BK39" s="121">
        <v>0.19</v>
      </c>
      <c r="BL39" s="121">
        <v>0.14000000000000001</v>
      </c>
    </row>
    <row r="40" spans="1:72" x14ac:dyDescent="0.25">
      <c r="A40" s="219"/>
      <c r="B40" s="219"/>
      <c r="C40" s="219"/>
      <c r="D40" s="213"/>
      <c r="E40" s="213"/>
      <c r="F40" s="213"/>
      <c r="G40" s="213"/>
      <c r="H40" s="213"/>
      <c r="I40" s="213"/>
      <c r="J40" s="212"/>
      <c r="K40" s="212"/>
      <c r="L40" s="212"/>
      <c r="M40" s="213"/>
      <c r="N40" s="213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AQ40" s="121">
        <v>19</v>
      </c>
      <c r="AS40" s="121" t="s">
        <v>431</v>
      </c>
      <c r="AT40" s="121">
        <v>0.17</v>
      </c>
      <c r="BG40" s="121">
        <v>14</v>
      </c>
      <c r="BH40" s="121">
        <v>0.3</v>
      </c>
      <c r="BI40" s="121">
        <v>0.25</v>
      </c>
      <c r="BJ40" s="121">
        <v>0.22</v>
      </c>
      <c r="BK40" s="121">
        <v>0.18</v>
      </c>
      <c r="BL40" s="121">
        <v>0.13</v>
      </c>
    </row>
    <row r="41" spans="1:72" x14ac:dyDescent="0.25">
      <c r="A41" s="219"/>
      <c r="B41" s="219"/>
      <c r="C41" s="219"/>
      <c r="D41" s="223" t="s">
        <v>436</v>
      </c>
      <c r="E41" s="223"/>
      <c r="F41" s="223"/>
      <c r="G41" s="225" t="s">
        <v>414</v>
      </c>
      <c r="H41" s="225"/>
      <c r="I41" s="225"/>
      <c r="J41" s="212">
        <v>23</v>
      </c>
      <c r="K41" s="212"/>
      <c r="L41" s="145" t="s">
        <v>415</v>
      </c>
      <c r="M41" s="213" t="s">
        <v>194</v>
      </c>
      <c r="N41" s="213"/>
      <c r="O41" s="213"/>
      <c r="P41" s="213">
        <f>J41-5</f>
        <v>18</v>
      </c>
      <c r="Q41" s="213"/>
      <c r="R41" s="145" t="s">
        <v>195</v>
      </c>
      <c r="S41" s="145"/>
      <c r="T41" s="145"/>
      <c r="U41" s="145"/>
      <c r="V41" s="145"/>
      <c r="W41" s="145"/>
      <c r="X41" s="145"/>
      <c r="AQ41" s="121">
        <v>20</v>
      </c>
      <c r="AS41" s="121" t="s">
        <v>432</v>
      </c>
      <c r="AT41" s="121">
        <v>7.9000000000000001E-2</v>
      </c>
      <c r="BG41" s="121">
        <v>16</v>
      </c>
      <c r="BH41" s="121">
        <v>0.28000000000000003</v>
      </c>
      <c r="BI41" s="121">
        <v>0.23</v>
      </c>
      <c r="BJ41" s="121">
        <v>0.2</v>
      </c>
      <c r="BK41" s="121">
        <v>0.17</v>
      </c>
      <c r="BL41" s="121">
        <v>0.12</v>
      </c>
    </row>
    <row r="42" spans="1:72" x14ac:dyDescent="0.25">
      <c r="A42" s="219"/>
      <c r="B42" s="219"/>
      <c r="C42" s="219"/>
      <c r="D42" s="223"/>
      <c r="E42" s="223"/>
      <c r="F42" s="223"/>
      <c r="G42" s="225"/>
      <c r="H42" s="225"/>
      <c r="I42" s="225"/>
      <c r="J42" s="212"/>
      <c r="K42" s="212"/>
      <c r="L42" s="145"/>
      <c r="M42" s="213"/>
      <c r="N42" s="213"/>
      <c r="O42" s="213"/>
      <c r="P42" s="213"/>
      <c r="Q42" s="213"/>
      <c r="R42" s="145"/>
      <c r="S42" s="145"/>
      <c r="T42" s="145"/>
      <c r="U42" s="145"/>
      <c r="V42" s="145"/>
      <c r="W42" s="145"/>
      <c r="X42" s="145"/>
      <c r="AQ42" s="121">
        <v>21</v>
      </c>
      <c r="AS42" s="121" t="s">
        <v>433</v>
      </c>
      <c r="AT42" s="121">
        <v>9.5000000000000001E-2</v>
      </c>
      <c r="BG42" s="121">
        <v>18</v>
      </c>
      <c r="BH42" s="121">
        <v>0.25</v>
      </c>
      <c r="BI42" s="121">
        <v>0.22</v>
      </c>
      <c r="BJ42" s="121">
        <v>0.19</v>
      </c>
      <c r="BK42" s="121">
        <v>0.16</v>
      </c>
      <c r="BL42" s="121">
        <v>0.12</v>
      </c>
    </row>
    <row r="43" spans="1:72" x14ac:dyDescent="0.25">
      <c r="A43" s="219"/>
      <c r="B43" s="219"/>
      <c r="C43" s="219"/>
      <c r="D43" s="223" t="s">
        <v>363</v>
      </c>
      <c r="E43" s="223"/>
      <c r="F43" s="223"/>
      <c r="G43" s="225" t="s">
        <v>414</v>
      </c>
      <c r="H43" s="225"/>
      <c r="I43" s="225"/>
      <c r="J43" s="213">
        <v>20</v>
      </c>
      <c r="K43" s="213"/>
      <c r="L43" s="145" t="s">
        <v>415</v>
      </c>
      <c r="M43" s="213" t="s">
        <v>194</v>
      </c>
      <c r="N43" s="213"/>
      <c r="O43" s="213"/>
      <c r="P43" s="213">
        <f>J43+4</f>
        <v>24</v>
      </c>
      <c r="Q43" s="213"/>
      <c r="R43" s="145" t="s">
        <v>195</v>
      </c>
      <c r="S43" s="145"/>
      <c r="T43" s="145"/>
      <c r="U43" s="145"/>
      <c r="V43" s="145"/>
      <c r="W43" s="145"/>
      <c r="X43" s="145"/>
      <c r="AQ43" s="121">
        <v>22</v>
      </c>
      <c r="AS43" s="121" t="s">
        <v>450</v>
      </c>
      <c r="AT43" s="121">
        <v>0.8</v>
      </c>
      <c r="BG43" s="121">
        <v>20</v>
      </c>
      <c r="BH43" s="121">
        <v>0.24</v>
      </c>
      <c r="BI43" s="121">
        <v>0.2</v>
      </c>
      <c r="BJ43" s="121">
        <v>0.18</v>
      </c>
      <c r="BK43" s="121">
        <v>0.15</v>
      </c>
      <c r="BL43" s="121">
        <v>0.11</v>
      </c>
    </row>
    <row r="44" spans="1:72" x14ac:dyDescent="0.25">
      <c r="A44" s="219"/>
      <c r="B44" s="219"/>
      <c r="C44" s="219"/>
      <c r="D44" s="223"/>
      <c r="E44" s="223"/>
      <c r="F44" s="223"/>
      <c r="G44" s="225"/>
      <c r="H44" s="225"/>
      <c r="I44" s="225"/>
      <c r="J44" s="213"/>
      <c r="K44" s="213"/>
      <c r="L44" s="145"/>
      <c r="M44" s="213"/>
      <c r="N44" s="213"/>
      <c r="O44" s="213"/>
      <c r="P44" s="213"/>
      <c r="Q44" s="213"/>
      <c r="R44" s="145"/>
      <c r="S44" s="145"/>
      <c r="T44" s="145"/>
      <c r="U44" s="145"/>
      <c r="V44" s="145"/>
      <c r="W44" s="145"/>
      <c r="X44" s="145"/>
      <c r="AQ44" s="121">
        <v>23</v>
      </c>
      <c r="AS44" s="121" t="s">
        <v>451</v>
      </c>
      <c r="AT44" s="121">
        <v>0.56000000000000005</v>
      </c>
    </row>
    <row r="45" spans="1:72" x14ac:dyDescent="0.25">
      <c r="A45" s="219"/>
      <c r="B45" s="219"/>
      <c r="C45" s="219"/>
      <c r="D45" s="213" t="s">
        <v>411</v>
      </c>
      <c r="E45" s="213"/>
      <c r="F45" s="213"/>
      <c r="G45" s="213"/>
      <c r="H45" s="213"/>
      <c r="I45" s="213"/>
      <c r="J45" s="212" t="s">
        <v>31</v>
      </c>
      <c r="K45" s="212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AQ45" s="121">
        <v>24</v>
      </c>
      <c r="BG45" s="121" t="s">
        <v>469</v>
      </c>
      <c r="BH45" s="121" t="s">
        <v>470</v>
      </c>
      <c r="BI45" s="121">
        <v>2</v>
      </c>
      <c r="BJ45" s="121">
        <v>1</v>
      </c>
      <c r="BK45" s="121">
        <v>0.5</v>
      </c>
      <c r="BL45" s="121">
        <v>0.25</v>
      </c>
      <c r="BP45" s="121" t="s">
        <v>102</v>
      </c>
      <c r="BQ45" s="121" t="s">
        <v>843</v>
      </c>
      <c r="BR45" s="147" t="s">
        <v>844</v>
      </c>
      <c r="BS45" s="121" t="s">
        <v>845</v>
      </c>
      <c r="BT45" s="121" t="s">
        <v>846</v>
      </c>
    </row>
    <row r="46" spans="1:72" x14ac:dyDescent="0.25">
      <c r="A46" s="219"/>
      <c r="B46" s="219"/>
      <c r="C46" s="219"/>
      <c r="D46" s="213"/>
      <c r="E46" s="213"/>
      <c r="F46" s="213"/>
      <c r="G46" s="213"/>
      <c r="H46" s="213"/>
      <c r="I46" s="213"/>
      <c r="J46" s="212"/>
      <c r="K46" s="212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 t="s">
        <v>452</v>
      </c>
      <c r="W46" s="146"/>
      <c r="X46" s="146"/>
      <c r="AQ46" s="121">
        <v>25</v>
      </c>
      <c r="BG46" s="121">
        <v>2</v>
      </c>
      <c r="BH46" s="121">
        <v>1.3</v>
      </c>
      <c r="BI46" s="121">
        <v>0.77</v>
      </c>
      <c r="BJ46" s="121">
        <v>0.55000000000000004</v>
      </c>
      <c r="BK46" s="121">
        <v>0.33</v>
      </c>
      <c r="BL46" s="121">
        <v>0.17</v>
      </c>
      <c r="BP46" s="121" t="s">
        <v>832</v>
      </c>
      <c r="BQ46" s="121" t="s">
        <v>838</v>
      </c>
      <c r="BR46" s="147">
        <v>0.95</v>
      </c>
      <c r="BS46" s="121">
        <v>10</v>
      </c>
      <c r="BT46" s="121" t="s">
        <v>840</v>
      </c>
    </row>
    <row r="47" spans="1:72" x14ac:dyDescent="0.25">
      <c r="A47" s="219"/>
      <c r="B47" s="219"/>
      <c r="C47" s="219"/>
      <c r="D47" s="213" t="s">
        <v>403</v>
      </c>
      <c r="E47" s="213"/>
      <c r="F47" s="213"/>
      <c r="G47" s="213"/>
      <c r="H47" s="213"/>
      <c r="I47" s="213"/>
      <c r="J47" s="212" t="s">
        <v>432</v>
      </c>
      <c r="K47" s="212"/>
      <c r="L47" s="212"/>
      <c r="M47" s="212"/>
      <c r="N47" s="212"/>
      <c r="O47" s="213" t="s">
        <v>437</v>
      </c>
      <c r="P47" s="213"/>
      <c r="Q47" s="213"/>
      <c r="R47" s="212">
        <v>24</v>
      </c>
      <c r="S47" s="212"/>
      <c r="T47" s="213" t="s">
        <v>438</v>
      </c>
      <c r="U47" s="213"/>
      <c r="V47" s="226">
        <f>(J35*2+N35*2)*J39*(J41-L31)*AF47*(VLOOKUP(F33,AN34:AO43,2,FALSE)+IF(J45="TAK",0.5,0))</f>
        <v>770.31798623063685</v>
      </c>
      <c r="W47" s="226"/>
      <c r="X47" s="146"/>
      <c r="AD47" s="121" t="s">
        <v>453</v>
      </c>
      <c r="AF47" s="121">
        <f>1/((R47/100)/VLOOKUP(J47,AS34:AT49,2,FALSE)+(R49/100)/VLOOKUP(J49,AV34:AW49,2,FALSE))</f>
        <v>0.10537865748709123</v>
      </c>
      <c r="BG47" s="121">
        <v>4</v>
      </c>
      <c r="BH47" s="121">
        <v>0.88</v>
      </c>
      <c r="BI47" s="121">
        <v>0.59</v>
      </c>
      <c r="BJ47" s="121">
        <v>0.45</v>
      </c>
      <c r="BK47" s="121">
        <v>0.3</v>
      </c>
      <c r="BL47" s="121">
        <v>0.17</v>
      </c>
      <c r="BP47" s="121" t="s">
        <v>833</v>
      </c>
      <c r="BQ47" s="121" t="s">
        <v>107</v>
      </c>
      <c r="BR47" s="147">
        <v>0.95</v>
      </c>
      <c r="BS47" s="121">
        <v>6.85</v>
      </c>
      <c r="BT47" s="121" t="s">
        <v>841</v>
      </c>
    </row>
    <row r="48" spans="1:72" x14ac:dyDescent="0.25">
      <c r="A48" s="219"/>
      <c r="B48" s="219"/>
      <c r="C48" s="219"/>
      <c r="D48" s="213"/>
      <c r="E48" s="213"/>
      <c r="F48" s="213"/>
      <c r="G48" s="213"/>
      <c r="H48" s="213"/>
      <c r="I48" s="213"/>
      <c r="J48" s="212"/>
      <c r="K48" s="212"/>
      <c r="L48" s="212"/>
      <c r="M48" s="212"/>
      <c r="N48" s="212"/>
      <c r="O48" s="213"/>
      <c r="P48" s="213"/>
      <c r="Q48" s="213"/>
      <c r="R48" s="212"/>
      <c r="S48" s="212"/>
      <c r="T48" s="213"/>
      <c r="U48" s="213"/>
      <c r="V48" s="226"/>
      <c r="W48" s="226"/>
      <c r="X48" s="146"/>
      <c r="AD48" s="121" t="s">
        <v>454</v>
      </c>
      <c r="AF48" s="121">
        <f>1/((R51/100)/VLOOKUP(J51,AV34:AW42,2,FALSE))</f>
        <v>9.1999999999999998E-2</v>
      </c>
      <c r="BG48" s="121">
        <v>6</v>
      </c>
      <c r="BH48" s="121">
        <v>0.68</v>
      </c>
      <c r="BI48" s="121">
        <v>0.48</v>
      </c>
      <c r="BJ48" s="121">
        <v>0.38</v>
      </c>
      <c r="BK48" s="121">
        <v>0.27</v>
      </c>
      <c r="BL48" s="121">
        <v>0.17</v>
      </c>
      <c r="BP48" s="121" t="s">
        <v>834</v>
      </c>
      <c r="BQ48" s="121" t="s">
        <v>107</v>
      </c>
      <c r="BR48" s="147">
        <v>0.9</v>
      </c>
      <c r="BS48" s="121">
        <v>10</v>
      </c>
      <c r="BT48" s="121" t="s">
        <v>841</v>
      </c>
    </row>
    <row r="49" spans="1:72" x14ac:dyDescent="0.25">
      <c r="A49" s="219"/>
      <c r="B49" s="219"/>
      <c r="C49" s="219"/>
      <c r="D49" s="213" t="s">
        <v>404</v>
      </c>
      <c r="E49" s="213"/>
      <c r="F49" s="213"/>
      <c r="G49" s="213"/>
      <c r="H49" s="213"/>
      <c r="I49" s="213"/>
      <c r="J49" s="212" t="s">
        <v>427</v>
      </c>
      <c r="K49" s="212"/>
      <c r="L49" s="212"/>
      <c r="M49" s="212"/>
      <c r="N49" s="212"/>
      <c r="O49" s="213" t="s">
        <v>437</v>
      </c>
      <c r="P49" s="213"/>
      <c r="Q49" s="213"/>
      <c r="R49" s="212">
        <v>20</v>
      </c>
      <c r="S49" s="212"/>
      <c r="T49" s="213" t="s">
        <v>438</v>
      </c>
      <c r="U49" s="213"/>
      <c r="V49" s="226"/>
      <c r="W49" s="226"/>
      <c r="X49" s="146" t="s">
        <v>466</v>
      </c>
      <c r="AD49" s="121" t="s">
        <v>455</v>
      </c>
      <c r="AF49" s="121">
        <f>VLOOKUP(J55,AY34:AZ42,2,FALSE)</f>
        <v>0.63</v>
      </c>
      <c r="BG49" s="121">
        <v>8</v>
      </c>
      <c r="BH49" s="121">
        <v>0.55000000000000004</v>
      </c>
      <c r="BI49" s="121">
        <v>0.41</v>
      </c>
      <c r="BJ49" s="121">
        <v>0.33</v>
      </c>
      <c r="BK49" s="121">
        <v>0.25</v>
      </c>
      <c r="BL49" s="121">
        <v>0.16</v>
      </c>
      <c r="BP49" s="121" t="s">
        <v>835</v>
      </c>
      <c r="BQ49" s="121" t="s">
        <v>839</v>
      </c>
      <c r="BR49" s="147">
        <v>0.85</v>
      </c>
      <c r="BS49" s="121">
        <v>4.9000000000000004</v>
      </c>
      <c r="BT49" s="121" t="s">
        <v>842</v>
      </c>
    </row>
    <row r="50" spans="1:72" x14ac:dyDescent="0.25">
      <c r="A50" s="219"/>
      <c r="B50" s="219"/>
      <c r="C50" s="219"/>
      <c r="D50" s="213"/>
      <c r="E50" s="213"/>
      <c r="F50" s="213"/>
      <c r="G50" s="213"/>
      <c r="H50" s="213"/>
      <c r="I50" s="213"/>
      <c r="J50" s="212"/>
      <c r="K50" s="212"/>
      <c r="L50" s="212"/>
      <c r="M50" s="212"/>
      <c r="N50" s="212"/>
      <c r="O50" s="213"/>
      <c r="P50" s="213"/>
      <c r="Q50" s="213"/>
      <c r="R50" s="212"/>
      <c r="S50" s="212"/>
      <c r="T50" s="213"/>
      <c r="U50" s="213"/>
      <c r="V50" s="226"/>
      <c r="W50" s="226"/>
      <c r="X50" s="146"/>
      <c r="AD50" s="121" t="s">
        <v>457</v>
      </c>
      <c r="AF50" s="121">
        <v>1.5</v>
      </c>
      <c r="AX50" s="121">
        <f>EVEN(AH51)</f>
        <v>6</v>
      </c>
      <c r="BG50" s="121">
        <v>10</v>
      </c>
      <c r="BH50" s="121">
        <v>0.47</v>
      </c>
      <c r="BI50" s="121">
        <v>0.36</v>
      </c>
      <c r="BJ50" s="121">
        <v>0.3</v>
      </c>
      <c r="BK50" s="121">
        <v>0.23</v>
      </c>
      <c r="BL50" s="121">
        <v>0.15</v>
      </c>
      <c r="BP50" s="121" t="s">
        <v>836</v>
      </c>
      <c r="BQ50" s="121" t="s">
        <v>839</v>
      </c>
      <c r="BR50" s="147">
        <v>0.75</v>
      </c>
      <c r="BS50" s="121">
        <v>6.4</v>
      </c>
      <c r="BT50" s="121" t="s">
        <v>842</v>
      </c>
    </row>
    <row r="51" spans="1:72" x14ac:dyDescent="0.25">
      <c r="A51" s="219"/>
      <c r="B51" s="219"/>
      <c r="C51" s="219"/>
      <c r="D51" s="213" t="s">
        <v>405</v>
      </c>
      <c r="E51" s="213"/>
      <c r="F51" s="213"/>
      <c r="G51" s="213"/>
      <c r="H51" s="213"/>
      <c r="I51" s="213"/>
      <c r="J51" s="212" t="s">
        <v>434</v>
      </c>
      <c r="K51" s="212"/>
      <c r="L51" s="212"/>
      <c r="M51" s="212"/>
      <c r="N51" s="212"/>
      <c r="O51" s="213" t="s">
        <v>437</v>
      </c>
      <c r="P51" s="213"/>
      <c r="Q51" s="213"/>
      <c r="R51" s="212">
        <v>25</v>
      </c>
      <c r="S51" s="212"/>
      <c r="T51" s="213" t="s">
        <v>438</v>
      </c>
      <c r="U51" s="213"/>
      <c r="V51" s="226">
        <f>S35*VLOOKUP(F33,AN33:AP40,3,FALSE)*AF48*(J41-L31)</f>
        <v>304.61199999999997</v>
      </c>
      <c r="W51" s="226"/>
      <c r="X51" s="146" t="s">
        <v>466</v>
      </c>
      <c r="AD51" s="121" t="s">
        <v>465</v>
      </c>
      <c r="AF51" s="121">
        <f>1/((R53/100)/VLOOKUP(J53,AV34:AW42,2,FALSE))</f>
        <v>0.31</v>
      </c>
      <c r="AG51" s="121" t="s">
        <v>469</v>
      </c>
      <c r="AH51" s="121">
        <f>EVEN(S35/(0.5*(J35*2+N35*2-(R47+R49)/100*4)))</f>
        <v>6</v>
      </c>
      <c r="AI51" s="121" t="s">
        <v>472</v>
      </c>
      <c r="AJ51" s="121">
        <f>IF(J45="TAK",VLOOKUP(AH51,BG33:BL43,IF(R53=0,2,MATCH(AF51,BG33:BL33,-1))),VLOOKUP(AH51,BG45:BL55,IF(R53=0,2,MATCH(AF51,BG33:BL33,-1))))</f>
        <v>0.27</v>
      </c>
      <c r="BG51" s="121">
        <v>12</v>
      </c>
      <c r="BH51" s="121">
        <v>0.41</v>
      </c>
      <c r="BI51" s="121">
        <v>0.32</v>
      </c>
      <c r="BJ51" s="121">
        <v>0.27</v>
      </c>
      <c r="BK51" s="121">
        <v>0.21</v>
      </c>
      <c r="BL51" s="121">
        <v>0.14000000000000001</v>
      </c>
      <c r="BP51" s="121" t="s">
        <v>837</v>
      </c>
      <c r="BQ51" s="121" t="s">
        <v>839</v>
      </c>
      <c r="BR51" s="147">
        <v>0.55000000000000004</v>
      </c>
      <c r="BS51" s="121">
        <v>7.2</v>
      </c>
      <c r="BT51" s="121" t="s">
        <v>842</v>
      </c>
    </row>
    <row r="52" spans="1:72" x14ac:dyDescent="0.25">
      <c r="A52" s="219"/>
      <c r="B52" s="219"/>
      <c r="C52" s="219"/>
      <c r="D52" s="213"/>
      <c r="E52" s="213"/>
      <c r="F52" s="213"/>
      <c r="G52" s="213"/>
      <c r="H52" s="213"/>
      <c r="I52" s="213"/>
      <c r="J52" s="212"/>
      <c r="K52" s="212"/>
      <c r="L52" s="212"/>
      <c r="M52" s="212"/>
      <c r="N52" s="212"/>
      <c r="O52" s="213"/>
      <c r="P52" s="213"/>
      <c r="Q52" s="213"/>
      <c r="R52" s="212"/>
      <c r="S52" s="212"/>
      <c r="T52" s="213"/>
      <c r="U52" s="213"/>
      <c r="V52" s="226"/>
      <c r="W52" s="226"/>
      <c r="X52" s="146"/>
      <c r="AD52" s="121" t="s">
        <v>442</v>
      </c>
      <c r="AG52" s="121">
        <f>2*J37*J39*VLOOKUP(F33,AN34:AO41,2,FALSE)*3.5*IF(R57&gt;=2,0.03,0.02)*1</f>
        <v>77</v>
      </c>
      <c r="AH52" s="121" t="s">
        <v>443</v>
      </c>
      <c r="AI52" s="121" t="s">
        <v>444</v>
      </c>
      <c r="AJ52" s="121" t="s">
        <v>445</v>
      </c>
      <c r="BG52" s="121">
        <v>14</v>
      </c>
      <c r="BH52" s="121">
        <v>0.37</v>
      </c>
      <c r="BI52" s="121">
        <v>0.28999999999999998</v>
      </c>
      <c r="BJ52" s="121">
        <v>0.24</v>
      </c>
      <c r="BK52" s="121">
        <v>0.19</v>
      </c>
      <c r="BL52" s="121">
        <v>0.14000000000000001</v>
      </c>
    </row>
    <row r="53" spans="1:72" x14ac:dyDescent="0.25">
      <c r="A53" s="219"/>
      <c r="B53" s="219"/>
      <c r="C53" s="219"/>
      <c r="D53" s="213" t="s">
        <v>468</v>
      </c>
      <c r="E53" s="213"/>
      <c r="F53" s="213"/>
      <c r="G53" s="213"/>
      <c r="H53" s="213"/>
      <c r="I53" s="213"/>
      <c r="J53" s="212" t="s">
        <v>427</v>
      </c>
      <c r="K53" s="212"/>
      <c r="L53" s="212"/>
      <c r="M53" s="212"/>
      <c r="N53" s="212"/>
      <c r="O53" s="213" t="s">
        <v>437</v>
      </c>
      <c r="P53" s="213"/>
      <c r="Q53" s="213"/>
      <c r="R53" s="212">
        <v>10</v>
      </c>
      <c r="S53" s="212"/>
      <c r="T53" s="213" t="s">
        <v>438</v>
      </c>
      <c r="U53" s="213"/>
      <c r="V53" s="226">
        <f>1.45*((J41-7.6)/(J41-L31))*S35*(S35/(0.5*(J35*2+N35*2)))*AJ51*1.9</f>
        <v>76.786485636114904</v>
      </c>
      <c r="W53" s="226"/>
      <c r="X53" s="146" t="s">
        <v>466</v>
      </c>
      <c r="AH53" s="121">
        <f>0.34*(J41-L31)*0.5*J37*J39*1.2</f>
        <v>2412.2999999999997</v>
      </c>
      <c r="AI53" s="121">
        <f>0.34*AI55*(J41-L31)</f>
        <v>1397.06</v>
      </c>
      <c r="AJ53" s="121">
        <f>0.34*AJ55*(J41-L31)</f>
        <v>1163.8200000000002</v>
      </c>
      <c r="AX53" s="121">
        <f>VLOOKUP(AH51,BG33:BL43,MATCH(AF51,BG33:BL33,-1))</f>
        <v>0.25</v>
      </c>
      <c r="BG53" s="121">
        <v>16</v>
      </c>
      <c r="BH53" s="121">
        <v>0.33</v>
      </c>
      <c r="BI53" s="121">
        <v>0.26</v>
      </c>
      <c r="BJ53" s="121">
        <v>0.22</v>
      </c>
      <c r="BK53" s="121">
        <v>0.18</v>
      </c>
      <c r="BL53" s="121">
        <v>0.13</v>
      </c>
    </row>
    <row r="54" spans="1:72" x14ac:dyDescent="0.25">
      <c r="A54" s="219"/>
      <c r="B54" s="219"/>
      <c r="C54" s="219"/>
      <c r="D54" s="213"/>
      <c r="E54" s="213"/>
      <c r="F54" s="213"/>
      <c r="G54" s="213"/>
      <c r="H54" s="213"/>
      <c r="I54" s="213"/>
      <c r="J54" s="212"/>
      <c r="K54" s="212"/>
      <c r="L54" s="212"/>
      <c r="M54" s="212"/>
      <c r="N54" s="212"/>
      <c r="O54" s="213"/>
      <c r="P54" s="213"/>
      <c r="Q54" s="213"/>
      <c r="R54" s="212"/>
      <c r="S54" s="212"/>
      <c r="T54" s="213"/>
      <c r="U54" s="213"/>
      <c r="V54" s="226"/>
      <c r="W54" s="226"/>
      <c r="X54" s="146"/>
      <c r="AX54" s="121">
        <f>VLOOKUP(AH51,BG45:BL55,MATCH(AF51,BG33:BL33,-1))</f>
        <v>0.27</v>
      </c>
      <c r="BG54" s="121">
        <v>18</v>
      </c>
      <c r="BH54" s="121">
        <v>0.31</v>
      </c>
      <c r="BI54" s="121">
        <v>0.24</v>
      </c>
      <c r="BJ54" s="121">
        <v>0.21</v>
      </c>
      <c r="BK54" s="121">
        <v>0.17</v>
      </c>
      <c r="BL54" s="121">
        <v>0.12</v>
      </c>
    </row>
    <row r="55" spans="1:72" x14ac:dyDescent="0.25">
      <c r="A55" s="219"/>
      <c r="B55" s="219"/>
      <c r="C55" s="219"/>
      <c r="D55" s="213" t="s">
        <v>407</v>
      </c>
      <c r="E55" s="213"/>
      <c r="F55" s="213"/>
      <c r="G55" s="213"/>
      <c r="H55" s="213"/>
      <c r="I55" s="213"/>
      <c r="J55" s="212" t="s">
        <v>440</v>
      </c>
      <c r="K55" s="212"/>
      <c r="L55" s="212"/>
      <c r="M55" s="212"/>
      <c r="N55" s="212"/>
      <c r="O55" s="225" t="s">
        <v>474</v>
      </c>
      <c r="P55" s="225"/>
      <c r="Q55" s="225"/>
      <c r="R55" s="212">
        <v>6</v>
      </c>
      <c r="S55" s="212"/>
      <c r="T55" s="213" t="s">
        <v>0</v>
      </c>
      <c r="U55" s="213"/>
      <c r="V55" s="226">
        <f>1.5*1.5*R55*AF49*(J41-L31)</f>
        <v>365.71500000000003</v>
      </c>
      <c r="W55" s="226"/>
      <c r="X55" s="146" t="s">
        <v>466</v>
      </c>
      <c r="AI55" s="121">
        <f>AG52+35*AH58+0</f>
        <v>95.558139534883722</v>
      </c>
      <c r="AJ55" s="121">
        <f>AG52+20*AI58+0</f>
        <v>79.604651162790702</v>
      </c>
      <c r="BG55" s="121">
        <v>20</v>
      </c>
      <c r="BH55" s="121">
        <v>0.28000000000000003</v>
      </c>
      <c r="BI55" s="121">
        <v>0.22</v>
      </c>
      <c r="BJ55" s="121">
        <v>0.19</v>
      </c>
      <c r="BK55" s="121">
        <v>0.16</v>
      </c>
      <c r="BL55" s="121">
        <v>0.12</v>
      </c>
    </row>
    <row r="56" spans="1:72" x14ac:dyDescent="0.25">
      <c r="A56" s="219"/>
      <c r="B56" s="219"/>
      <c r="C56" s="219"/>
      <c r="D56" s="213"/>
      <c r="E56" s="213"/>
      <c r="F56" s="213"/>
      <c r="G56" s="213"/>
      <c r="H56" s="213"/>
      <c r="I56" s="213"/>
      <c r="J56" s="212"/>
      <c r="K56" s="212"/>
      <c r="L56" s="212"/>
      <c r="M56" s="212"/>
      <c r="N56" s="212"/>
      <c r="O56" s="225"/>
      <c r="P56" s="225"/>
      <c r="Q56" s="225"/>
      <c r="R56" s="212"/>
      <c r="S56" s="212"/>
      <c r="T56" s="213"/>
      <c r="U56" s="213"/>
      <c r="V56" s="226"/>
      <c r="W56" s="226"/>
      <c r="X56" s="146"/>
    </row>
    <row r="57" spans="1:72" x14ac:dyDescent="0.25">
      <c r="A57" s="219"/>
      <c r="B57" s="219"/>
      <c r="C57" s="219"/>
      <c r="D57" s="213" t="s">
        <v>413</v>
      </c>
      <c r="E57" s="213"/>
      <c r="F57" s="213"/>
      <c r="G57" s="213"/>
      <c r="H57" s="213"/>
      <c r="I57" s="213"/>
      <c r="J57" s="146"/>
      <c r="K57" s="146"/>
      <c r="L57" s="146"/>
      <c r="M57" s="146"/>
      <c r="N57" s="146"/>
      <c r="O57" s="146"/>
      <c r="P57" s="146"/>
      <c r="Q57" s="146"/>
      <c r="R57" s="212">
        <v>1</v>
      </c>
      <c r="S57" s="212"/>
      <c r="T57" s="213" t="s">
        <v>0</v>
      </c>
      <c r="U57" s="213"/>
      <c r="V57" s="226">
        <f>2*1*R57*(J41-L31)</f>
        <v>86</v>
      </c>
      <c r="W57" s="226"/>
      <c r="X57" s="146" t="s">
        <v>466</v>
      </c>
    </row>
    <row r="58" spans="1:72" x14ac:dyDescent="0.25">
      <c r="A58" s="219"/>
      <c r="B58" s="219"/>
      <c r="C58" s="219"/>
      <c r="D58" s="213"/>
      <c r="E58" s="213"/>
      <c r="F58" s="213"/>
      <c r="G58" s="213"/>
      <c r="H58" s="213"/>
      <c r="I58" s="213"/>
      <c r="J58" s="146"/>
      <c r="K58" s="146"/>
      <c r="L58" s="146"/>
      <c r="M58" s="146"/>
      <c r="N58" s="146"/>
      <c r="O58" s="146"/>
      <c r="P58" s="146"/>
      <c r="Q58" s="146"/>
      <c r="R58" s="212"/>
      <c r="S58" s="212"/>
      <c r="T58" s="213"/>
      <c r="U58" s="213"/>
      <c r="V58" s="226"/>
      <c r="W58" s="226"/>
      <c r="X58" s="146"/>
      <c r="AH58" s="121">
        <f>(20-(L31+0.4*(J41-L31)))/(J41-L31)</f>
        <v>0.53023255813953485</v>
      </c>
      <c r="AI58" s="121">
        <f>(20-(L31+0.8*(J41-L31)))/(J41-L31)</f>
        <v>0.13023255813953491</v>
      </c>
    </row>
    <row r="59" spans="1:72" ht="15" customHeight="1" x14ac:dyDescent="0.25">
      <c r="A59" s="145"/>
      <c r="B59" s="145"/>
      <c r="C59" s="145"/>
      <c r="D59" s="213" t="s">
        <v>441</v>
      </c>
      <c r="E59" s="213"/>
      <c r="F59" s="213"/>
      <c r="G59" s="213"/>
      <c r="H59" s="213"/>
      <c r="I59" s="213"/>
      <c r="J59" s="212" t="s">
        <v>443</v>
      </c>
      <c r="K59" s="212"/>
      <c r="L59" s="212"/>
      <c r="M59" s="212"/>
      <c r="N59" s="212"/>
      <c r="O59" s="212"/>
      <c r="P59" s="212"/>
      <c r="Q59" s="212"/>
      <c r="R59" s="146" t="s">
        <v>911</v>
      </c>
      <c r="S59" s="146"/>
      <c r="T59" s="146"/>
      <c r="U59" s="146"/>
      <c r="V59" s="226">
        <f>HLOOKUP(J59,AH52:AJ53,2,FALSE)</f>
        <v>2412.2999999999997</v>
      </c>
      <c r="W59" s="226"/>
      <c r="X59" s="146" t="s">
        <v>466</v>
      </c>
    </row>
    <row r="60" spans="1:72" ht="15" customHeight="1" x14ac:dyDescent="0.25">
      <c r="A60" s="145"/>
      <c r="B60" s="145"/>
      <c r="C60" s="145"/>
      <c r="D60" s="213"/>
      <c r="E60" s="213"/>
      <c r="F60" s="213"/>
      <c r="G60" s="213"/>
      <c r="H60" s="213"/>
      <c r="I60" s="213"/>
      <c r="J60" s="212"/>
      <c r="K60" s="212"/>
      <c r="L60" s="212"/>
      <c r="M60" s="212"/>
      <c r="N60" s="212"/>
      <c r="O60" s="212"/>
      <c r="P60" s="212"/>
      <c r="Q60" s="212"/>
      <c r="R60" s="146"/>
      <c r="S60" s="146"/>
      <c r="T60" s="146"/>
      <c r="U60" s="146"/>
      <c r="V60" s="226"/>
      <c r="W60" s="226"/>
      <c r="X60" s="146"/>
    </row>
    <row r="61" spans="1:72" ht="15" customHeight="1" x14ac:dyDescent="0.25">
      <c r="A61" s="219">
        <f>T63*J63*T61/2000</f>
        <v>14.4</v>
      </c>
      <c r="B61" s="219"/>
      <c r="C61" s="219"/>
      <c r="D61" s="213" t="s">
        <v>446</v>
      </c>
      <c r="E61" s="213"/>
      <c r="F61" s="213"/>
      <c r="G61" s="213"/>
      <c r="H61" s="213"/>
      <c r="I61" s="213"/>
      <c r="J61" s="212" t="s">
        <v>836</v>
      </c>
      <c r="K61" s="212"/>
      <c r="L61" s="212"/>
      <c r="M61" s="212"/>
      <c r="N61" s="213" t="s">
        <v>847</v>
      </c>
      <c r="O61" s="213"/>
      <c r="P61" s="213"/>
      <c r="Q61" s="213"/>
      <c r="R61" s="213"/>
      <c r="S61" s="213"/>
      <c r="T61" s="214">
        <f>VLOOKUP(J61,Tabela12[#All],3,FALSE)</f>
        <v>0.75</v>
      </c>
      <c r="U61" s="214"/>
      <c r="V61" s="146"/>
      <c r="W61" s="146"/>
      <c r="X61" s="146"/>
    </row>
    <row r="62" spans="1:72" ht="15" customHeight="1" x14ac:dyDescent="0.25">
      <c r="A62" s="219"/>
      <c r="B62" s="219"/>
      <c r="C62" s="219"/>
      <c r="D62" s="213"/>
      <c r="E62" s="213"/>
      <c r="F62" s="213"/>
      <c r="G62" s="213"/>
      <c r="H62" s="213"/>
      <c r="I62" s="213"/>
      <c r="J62" s="212"/>
      <c r="K62" s="212"/>
      <c r="L62" s="212"/>
      <c r="M62" s="212"/>
      <c r="N62" s="213"/>
      <c r="O62" s="213"/>
      <c r="P62" s="213"/>
      <c r="Q62" s="213"/>
      <c r="R62" s="213"/>
      <c r="S62" s="213"/>
      <c r="T62" s="214"/>
      <c r="U62" s="214"/>
      <c r="V62" s="146"/>
      <c r="W62" s="146"/>
      <c r="X62" s="146"/>
    </row>
    <row r="63" spans="1:72" ht="15" customHeight="1" x14ac:dyDescent="0.25">
      <c r="A63" s="219"/>
      <c r="B63" s="219"/>
      <c r="C63" s="219"/>
      <c r="D63" s="213" t="s">
        <v>447</v>
      </c>
      <c r="E63" s="213"/>
      <c r="F63" s="213"/>
      <c r="G63" s="213"/>
      <c r="H63" s="213"/>
      <c r="I63" s="213"/>
      <c r="J63" s="217">
        <v>6000</v>
      </c>
      <c r="K63" s="217"/>
      <c r="L63" s="217"/>
      <c r="M63" s="218" t="str">
        <f>VLOOKUP(J61,Tabela12[#All],2,FALSE)</f>
        <v>kg</v>
      </c>
      <c r="N63" s="213" t="s">
        <v>848</v>
      </c>
      <c r="O63" s="213"/>
      <c r="P63" s="213"/>
      <c r="Q63" s="213"/>
      <c r="R63" s="213"/>
      <c r="S63" s="213"/>
      <c r="T63" s="215">
        <f>VLOOKUP(J61,Tabela12[#All],4,FALSE)</f>
        <v>6.4</v>
      </c>
      <c r="U63" s="216" t="str">
        <f>VLOOKUP(J61,Tabela12[#All],5,FALSE)</f>
        <v>kWh/kg</v>
      </c>
      <c r="V63" s="216"/>
      <c r="W63" s="146"/>
      <c r="X63" s="146"/>
      <c r="BP63" s="121" t="s">
        <v>102</v>
      </c>
    </row>
    <row r="64" spans="1:72" ht="15" customHeight="1" x14ac:dyDescent="0.25">
      <c r="A64" s="219"/>
      <c r="B64" s="219"/>
      <c r="C64" s="219"/>
      <c r="D64" s="213"/>
      <c r="E64" s="213"/>
      <c r="F64" s="213"/>
      <c r="G64" s="213"/>
      <c r="H64" s="213"/>
      <c r="I64" s="213"/>
      <c r="J64" s="217"/>
      <c r="K64" s="217"/>
      <c r="L64" s="217"/>
      <c r="M64" s="218"/>
      <c r="N64" s="213"/>
      <c r="O64" s="213"/>
      <c r="P64" s="213"/>
      <c r="Q64" s="213"/>
      <c r="R64" s="213"/>
      <c r="S64" s="213"/>
      <c r="T64" s="215"/>
      <c r="U64" s="216"/>
      <c r="V64" s="216"/>
      <c r="W64" s="146"/>
      <c r="X64" s="146"/>
      <c r="BP64" s="121" t="s">
        <v>908</v>
      </c>
    </row>
    <row r="65" spans="1:68" x14ac:dyDescent="0.25">
      <c r="A65" s="145"/>
      <c r="B65" s="145"/>
      <c r="C65" s="145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BP65" s="121" t="s">
        <v>909</v>
      </c>
    </row>
    <row r="66" spans="1:68" x14ac:dyDescent="0.25">
      <c r="A66" s="213" t="s">
        <v>385</v>
      </c>
      <c r="B66" s="213"/>
      <c r="C66" s="213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</row>
    <row r="67" spans="1:68" x14ac:dyDescent="0.25">
      <c r="A67" s="213"/>
      <c r="B67" s="213"/>
      <c r="C67" s="213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</row>
    <row r="68" spans="1:68" x14ac:dyDescent="0.25">
      <c r="A68" s="222">
        <v>0.5</v>
      </c>
      <c r="B68" s="222"/>
      <c r="C68" s="222"/>
      <c r="D68" s="223" t="s">
        <v>406</v>
      </c>
      <c r="E68" s="223"/>
      <c r="F68" s="223"/>
      <c r="G68" s="224">
        <v>4</v>
      </c>
      <c r="H68" s="224"/>
      <c r="I68" s="223" t="s">
        <v>419</v>
      </c>
      <c r="J68" s="223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</row>
    <row r="69" spans="1:68" x14ac:dyDescent="0.25">
      <c r="A69" s="222"/>
      <c r="B69" s="222"/>
      <c r="C69" s="222"/>
      <c r="D69" s="223"/>
      <c r="E69" s="223"/>
      <c r="F69" s="223"/>
      <c r="G69" s="224"/>
      <c r="H69" s="224"/>
      <c r="I69" s="223"/>
      <c r="J69" s="223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</row>
    <row r="70" spans="1:68" x14ac:dyDescent="0.25">
      <c r="A70" s="222"/>
      <c r="B70" s="222"/>
      <c r="C70" s="222"/>
      <c r="D70" s="223" t="s">
        <v>477</v>
      </c>
      <c r="E70" s="223"/>
      <c r="F70" s="223"/>
      <c r="G70" s="223"/>
      <c r="H70" s="223"/>
      <c r="I70" s="223" t="s">
        <v>416</v>
      </c>
      <c r="J70" s="223"/>
      <c r="K70" s="223"/>
      <c r="L70" s="223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</row>
    <row r="71" spans="1:68" x14ac:dyDescent="0.25">
      <c r="A71" s="222"/>
      <c r="B71" s="222"/>
      <c r="C71" s="222"/>
      <c r="D71" s="223"/>
      <c r="E71" s="223"/>
      <c r="F71" s="223"/>
      <c r="G71" s="223"/>
      <c r="H71" s="223"/>
      <c r="I71" s="223"/>
      <c r="J71" s="223"/>
      <c r="K71" s="223"/>
      <c r="L71" s="223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</row>
    <row r="72" spans="1:68" x14ac:dyDescent="0.25">
      <c r="A72" s="222"/>
      <c r="B72" s="222"/>
      <c r="C72" s="222"/>
      <c r="D72" s="225" t="s">
        <v>417</v>
      </c>
      <c r="E72" s="225"/>
      <c r="F72" s="225"/>
      <c r="G72" s="225"/>
      <c r="H72" s="225"/>
      <c r="I72" s="212">
        <f>G68*VLOOKUP(I70,BC34:BD36,2,FALSE)</f>
        <v>200</v>
      </c>
      <c r="J72" s="212"/>
      <c r="K72" s="212"/>
      <c r="L72" s="223" t="s">
        <v>107</v>
      </c>
      <c r="M72" s="223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</row>
    <row r="73" spans="1:68" x14ac:dyDescent="0.25">
      <c r="A73" s="222"/>
      <c r="B73" s="222"/>
      <c r="C73" s="222"/>
      <c r="D73" s="225"/>
      <c r="E73" s="225"/>
      <c r="F73" s="225"/>
      <c r="G73" s="225"/>
      <c r="H73" s="225"/>
      <c r="I73" s="212"/>
      <c r="J73" s="212"/>
      <c r="K73" s="212"/>
      <c r="L73" s="223"/>
      <c r="M73" s="223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</row>
    <row r="76" spans="1:68" x14ac:dyDescent="0.25">
      <c r="A76" s="220" t="s">
        <v>907</v>
      </c>
      <c r="B76" s="220"/>
      <c r="C76" s="220"/>
      <c r="D76" s="220"/>
      <c r="E76" s="220"/>
      <c r="F76" s="220"/>
      <c r="G76" s="220"/>
      <c r="H76" s="221" t="s">
        <v>908</v>
      </c>
      <c r="I76" s="221"/>
      <c r="J76" s="221"/>
      <c r="K76" s="221"/>
      <c r="L76" s="221"/>
      <c r="M76" s="221"/>
      <c r="N76" s="221"/>
      <c r="O76" s="221"/>
      <c r="P76" s="221"/>
      <c r="Q76" s="221"/>
    </row>
    <row r="77" spans="1:68" x14ac:dyDescent="0.25">
      <c r="A77" s="220"/>
      <c r="B77" s="220"/>
      <c r="C77" s="220"/>
      <c r="D77" s="220"/>
      <c r="E77" s="220"/>
      <c r="F77" s="220"/>
      <c r="G77" s="220"/>
      <c r="H77" s="221"/>
      <c r="I77" s="221"/>
      <c r="J77" s="221"/>
      <c r="K77" s="221"/>
      <c r="L77" s="221"/>
      <c r="M77" s="221"/>
      <c r="N77" s="221"/>
      <c r="O77" s="221"/>
      <c r="P77" s="221"/>
      <c r="Q77" s="221"/>
    </row>
    <row r="78" spans="1:68" x14ac:dyDescent="0.25">
      <c r="A78" s="220"/>
      <c r="B78" s="220"/>
      <c r="C78" s="220"/>
      <c r="D78" s="220"/>
      <c r="E78" s="220"/>
      <c r="F78" s="220"/>
      <c r="G78" s="220"/>
      <c r="H78" s="221"/>
      <c r="I78" s="221"/>
      <c r="J78" s="221"/>
      <c r="K78" s="221"/>
      <c r="L78" s="221"/>
      <c r="M78" s="221"/>
      <c r="N78" s="221"/>
      <c r="O78" s="221"/>
      <c r="P78" s="221"/>
      <c r="Q78" s="221"/>
    </row>
  </sheetData>
  <mergeCells count="103">
    <mergeCell ref="L4:S4"/>
    <mergeCell ref="B4:J4"/>
    <mergeCell ref="L7:T7"/>
    <mergeCell ref="A28:X29"/>
    <mergeCell ref="L6:S6"/>
    <mergeCell ref="L5:S5"/>
    <mergeCell ref="B5:J5"/>
    <mergeCell ref="B7:J7"/>
    <mergeCell ref="B8:J8"/>
    <mergeCell ref="B6:J6"/>
    <mergeCell ref="B9:J9"/>
    <mergeCell ref="L8:T8"/>
    <mergeCell ref="V57:W58"/>
    <mergeCell ref="V59:W60"/>
    <mergeCell ref="V35:W36"/>
    <mergeCell ref="V47:W50"/>
    <mergeCell ref="V51:W52"/>
    <mergeCell ref="V53:W54"/>
    <mergeCell ref="V55:W56"/>
    <mergeCell ref="D43:F44"/>
    <mergeCell ref="D41:F42"/>
    <mergeCell ref="T53:U54"/>
    <mergeCell ref="R51:S52"/>
    <mergeCell ref="R47:S48"/>
    <mergeCell ref="T47:U48"/>
    <mergeCell ref="D59:I60"/>
    <mergeCell ref="J59:Q60"/>
    <mergeCell ref="R49:S50"/>
    <mergeCell ref="D45:I46"/>
    <mergeCell ref="J45:K46"/>
    <mergeCell ref="D47:I48"/>
    <mergeCell ref="J47:N48"/>
    <mergeCell ref="R57:S58"/>
    <mergeCell ref="O53:Q54"/>
    <mergeCell ref="R53:S54"/>
    <mergeCell ref="S35:U36"/>
    <mergeCell ref="A37:C58"/>
    <mergeCell ref="J51:N52"/>
    <mergeCell ref="D55:I56"/>
    <mergeCell ref="J55:N56"/>
    <mergeCell ref="O55:Q56"/>
    <mergeCell ref="G41:I42"/>
    <mergeCell ref="J41:K42"/>
    <mergeCell ref="G43:I44"/>
    <mergeCell ref="J43:K44"/>
    <mergeCell ref="J49:N50"/>
    <mergeCell ref="M41:O42"/>
    <mergeCell ref="D57:I58"/>
    <mergeCell ref="D51:I52"/>
    <mergeCell ref="O51:Q52"/>
    <mergeCell ref="O49:Q50"/>
    <mergeCell ref="P43:Q44"/>
    <mergeCell ref="D39:I40"/>
    <mergeCell ref="M39:N40"/>
    <mergeCell ref="J39:L40"/>
    <mergeCell ref="A35:C36"/>
    <mergeCell ref="L31:M32"/>
    <mergeCell ref="A33:E34"/>
    <mergeCell ref="F33:N34"/>
    <mergeCell ref="D31:F32"/>
    <mergeCell ref="G31:K32"/>
    <mergeCell ref="M35:M36"/>
    <mergeCell ref="N35:P36"/>
    <mergeCell ref="A76:G78"/>
    <mergeCell ref="H76:Q78"/>
    <mergeCell ref="A66:C67"/>
    <mergeCell ref="A68:C73"/>
    <mergeCell ref="D68:F69"/>
    <mergeCell ref="G68:H69"/>
    <mergeCell ref="I68:J69"/>
    <mergeCell ref="D70:H71"/>
    <mergeCell ref="I70:L71"/>
    <mergeCell ref="D72:H73"/>
    <mergeCell ref="I72:K73"/>
    <mergeCell ref="L72:M73"/>
    <mergeCell ref="D35:I36"/>
    <mergeCell ref="Q35:R36"/>
    <mergeCell ref="J35:L36"/>
    <mergeCell ref="O47:Q48"/>
    <mergeCell ref="T61:U62"/>
    <mergeCell ref="T63:T64"/>
    <mergeCell ref="U63:V64"/>
    <mergeCell ref="J63:L64"/>
    <mergeCell ref="M63:M64"/>
    <mergeCell ref="N61:S62"/>
    <mergeCell ref="N63:S64"/>
    <mergeCell ref="D61:I62"/>
    <mergeCell ref="A61:C64"/>
    <mergeCell ref="D63:I64"/>
    <mergeCell ref="J61:M62"/>
    <mergeCell ref="R55:S56"/>
    <mergeCell ref="D53:I54"/>
    <mergeCell ref="J53:N54"/>
    <mergeCell ref="T49:U50"/>
    <mergeCell ref="T57:U58"/>
    <mergeCell ref="T51:U52"/>
    <mergeCell ref="T55:U56"/>
    <mergeCell ref="D49:I50"/>
    <mergeCell ref="D37:I38"/>
    <mergeCell ref="J37:L38"/>
    <mergeCell ref="M37:N38"/>
    <mergeCell ref="P41:Q42"/>
    <mergeCell ref="M43:O44"/>
  </mergeCells>
  <dataValidations count="10">
    <dataValidation type="list" allowBlank="1" showInputMessage="1" showErrorMessage="1" sqref="J47:N48" xr:uid="{00000000-0002-0000-0000-000000000000}">
      <formula1>$AS$34:$AS$50</formula1>
    </dataValidation>
    <dataValidation type="list" allowBlank="1" showInputMessage="1" showErrorMessage="1" sqref="J49:N54" xr:uid="{00000000-0002-0000-0000-000001000000}">
      <formula1>$AV$34:$AV$43</formula1>
    </dataValidation>
    <dataValidation type="list" allowBlank="1" showInputMessage="1" showErrorMessage="1" sqref="J55:N56" xr:uid="{00000000-0002-0000-0000-000002000000}">
      <formula1>$AY$34:$AY$36</formula1>
    </dataValidation>
    <dataValidation type="list" allowBlank="1" showInputMessage="1" showErrorMessage="1" sqref="J59:Q60" xr:uid="{00000000-0002-0000-0000-000003000000}">
      <formula1>$BA$34:$BA$37</formula1>
    </dataValidation>
    <dataValidation type="list" allowBlank="1" showInputMessage="1" showErrorMessage="1" sqref="J45:K46" xr:uid="{00000000-0002-0000-0000-000004000000}">
      <formula1>$AR$34:$AR$35</formula1>
    </dataValidation>
    <dataValidation type="list" allowBlank="1" showInputMessage="1" showErrorMessage="1" sqref="I70:L71" xr:uid="{00000000-0002-0000-0000-000005000000}">
      <formula1>$BC$34:$BC$36</formula1>
    </dataValidation>
    <dataValidation type="list" allowBlank="1" showInputMessage="1" showErrorMessage="1" sqref="F33:N34" xr:uid="{00000000-0002-0000-0000-000006000000}">
      <formula1>$AN$34:$AN$40</formula1>
    </dataValidation>
    <dataValidation type="list" allowBlank="1" showInputMessage="1" showErrorMessage="1" sqref="J61:M62" xr:uid="{EC90AE50-0D99-4741-AB08-98F2C9301E25}">
      <formula1>$BP$46:$BP$51</formula1>
    </dataValidation>
    <dataValidation type="list" allowBlank="1" showInputMessage="1" showErrorMessage="1" sqref="H76:Q78" xr:uid="{3E304350-EC1B-402D-A30C-1F8CF7DBC62E}">
      <formula1>$BP$64:$BP$65</formula1>
    </dataValidation>
    <dataValidation type="list" allowBlank="1" showInputMessage="1" showErrorMessage="1" sqref="B9:J9" xr:uid="{8A734345-EEEB-43F1-9918-4E75220A685A}">
      <formula1>$AE$2:$AE$3</formula1>
    </dataValidation>
  </dataValidations>
  <hyperlinks>
    <hyperlink ref="B8" r:id="rId1" xr:uid="{3F2FEB15-9D2A-4C2D-AC75-5F129527F99C}"/>
  </hyperlinks>
  <pageMargins left="0.7" right="0.7" top="0.75" bottom="0.75" header="0.3" footer="0.3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C266-EC27-477D-8955-F0ACCE67ED3D}">
  <sheetPr codeName="Arkusz6"/>
  <dimension ref="A1:AQ109"/>
  <sheetViews>
    <sheetView tabSelected="1" zoomScale="85" zoomScaleNormal="85" workbookViewId="0">
      <selection activeCell="AE18" sqref="AE4:AE18"/>
    </sheetView>
  </sheetViews>
  <sheetFormatPr defaultRowHeight="15" x14ac:dyDescent="0.25"/>
  <cols>
    <col min="31" max="31" width="12.28515625" customWidth="1"/>
    <col min="33" max="33" width="14.42578125" style="481" bestFit="1" customWidth="1"/>
    <col min="34" max="34" width="12.28515625" style="481" customWidth="1"/>
    <col min="35" max="35" width="30.5703125" style="481" bestFit="1" customWidth="1"/>
    <col min="37" max="37" width="14.42578125" bestFit="1" customWidth="1"/>
    <col min="38" max="38" width="10.140625" customWidth="1"/>
    <col min="39" max="39" width="12" bestFit="1" customWidth="1"/>
    <col min="40" max="40" width="11.5703125" bestFit="1" customWidth="1"/>
    <col min="41" max="41" width="14.42578125" bestFit="1" customWidth="1"/>
    <col min="42" max="42" width="11.5703125" bestFit="1" customWidth="1"/>
    <col min="43" max="43" width="26.7109375" bestFit="1" customWidth="1"/>
  </cols>
  <sheetData>
    <row r="1" spans="1:43" x14ac:dyDescent="0.25">
      <c r="AG1" s="481" t="s">
        <v>978</v>
      </c>
      <c r="AH1" s="481" t="e" cm="1" vm="1">
        <f t="array" aca="1" ref="AH1" ca="1">OFFSET($AK$8,1,0,COUNTA($AK$9:$AK$40),1)</f>
        <v>#VALUE!</v>
      </c>
    </row>
    <row r="2" spans="1:43" x14ac:dyDescent="0.25">
      <c r="A2" s="239" t="s">
        <v>977</v>
      </c>
      <c r="B2" s="239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AG2" s="481" t="s">
        <v>1098</v>
      </c>
      <c r="AH2" s="481" t="e" cm="1" vm="1">
        <f t="array" aca="1" ref="AH2" ca="1">OFFSET($AN$8,MATCH($G$6,$AM$9:$AM$57,0),0,COUNTIF($AM$9:$AM$57,$G$6),1)</f>
        <v>#VALUE!</v>
      </c>
      <c r="AO2" s="240"/>
      <c r="AP2" s="240"/>
      <c r="AQ2" s="240"/>
    </row>
    <row r="3" spans="1:43" x14ac:dyDescent="0.25">
      <c r="A3" s="239"/>
      <c r="B3" s="239"/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AG3" s="481" t="s">
        <v>979</v>
      </c>
      <c r="AH3" s="481" t="e" cm="1" vm="2">
        <f t="array" aca="1" ref="AH3" ca="1">OFFSET($AI$8,MATCH($G$6&amp;$G$9,$AG$9:$AG$174&amp;$AH$9:$AH$174,0),0,COUNTIFS($AG$9:$AG$174,$G$6,$AH$9:$AH$174,$G$9),1)</f>
        <v>#VALUE!</v>
      </c>
      <c r="AO3" s="481"/>
      <c r="AP3" s="481"/>
      <c r="AQ3" s="481"/>
    </row>
    <row r="4" spans="1:43" x14ac:dyDescent="0.25">
      <c r="A4" s="239"/>
      <c r="B4" s="239"/>
      <c r="C4" s="239"/>
      <c r="D4" s="239"/>
      <c r="E4" s="239"/>
      <c r="F4" s="239"/>
      <c r="G4" s="239"/>
      <c r="H4" s="239"/>
      <c r="I4" s="239"/>
      <c r="J4" s="239"/>
      <c r="K4" s="239"/>
      <c r="L4" s="239"/>
      <c r="M4" s="239"/>
      <c r="AP4" s="487"/>
      <c r="AQ4" s="481"/>
    </row>
    <row r="5" spans="1:43" x14ac:dyDescent="0.25">
      <c r="AE5" s="210"/>
      <c r="AP5" s="482"/>
      <c r="AQ5" s="481"/>
    </row>
    <row r="6" spans="1:43" x14ac:dyDescent="0.25">
      <c r="A6" s="237" t="s">
        <v>978</v>
      </c>
      <c r="B6" s="237"/>
      <c r="C6" s="237"/>
      <c r="D6" s="237"/>
      <c r="E6" s="237"/>
      <c r="F6" s="237"/>
      <c r="G6" s="238" t="s">
        <v>981</v>
      </c>
      <c r="H6" s="238"/>
      <c r="I6" s="238"/>
      <c r="J6" s="238"/>
      <c r="K6" s="238"/>
      <c r="L6" s="238"/>
      <c r="M6" s="238"/>
      <c r="AE6" s="211"/>
      <c r="AP6" s="482"/>
      <c r="AQ6" s="481"/>
    </row>
    <row r="7" spans="1:43" x14ac:dyDescent="0.25">
      <c r="A7" s="237"/>
      <c r="B7" s="237"/>
      <c r="C7" s="237"/>
      <c r="D7" s="237"/>
      <c r="E7" s="237"/>
      <c r="F7" s="237"/>
      <c r="G7" s="238"/>
      <c r="H7" s="238"/>
      <c r="I7" s="238"/>
      <c r="J7" s="238"/>
      <c r="K7" s="238"/>
      <c r="L7" s="238"/>
      <c r="M7" s="238"/>
      <c r="AG7" s="489"/>
      <c r="AH7" s="489"/>
      <c r="AI7" s="489"/>
      <c r="AK7" s="240"/>
      <c r="AL7" s="240"/>
      <c r="AM7" s="240"/>
      <c r="AP7" s="482"/>
      <c r="AQ7" s="481"/>
    </row>
    <row r="8" spans="1:43" x14ac:dyDescent="0.25">
      <c r="A8" s="209"/>
      <c r="B8" s="209"/>
      <c r="C8" s="209"/>
      <c r="D8" s="209"/>
      <c r="E8" s="209"/>
      <c r="F8" s="209"/>
      <c r="G8" s="206"/>
      <c r="H8" s="206"/>
      <c r="I8" s="206"/>
      <c r="J8" s="206"/>
      <c r="K8" s="206"/>
      <c r="L8" s="206"/>
      <c r="M8" s="206"/>
      <c r="AG8" s="481" t="s">
        <v>978</v>
      </c>
      <c r="AH8" s="481" t="s">
        <v>1097</v>
      </c>
      <c r="AI8" s="481" t="s">
        <v>979</v>
      </c>
      <c r="AJ8" t="s">
        <v>1037</v>
      </c>
      <c r="AK8" s="478" t="s">
        <v>978</v>
      </c>
      <c r="AM8" s="478" t="s">
        <v>978</v>
      </c>
      <c r="AN8" s="478" t="s">
        <v>1097</v>
      </c>
      <c r="AP8" s="482"/>
      <c r="AQ8" s="481"/>
    </row>
    <row r="9" spans="1:43" x14ac:dyDescent="0.25">
      <c r="A9" s="237" t="s">
        <v>1097</v>
      </c>
      <c r="B9" s="237"/>
      <c r="C9" s="237"/>
      <c r="D9" s="237"/>
      <c r="E9" s="237"/>
      <c r="F9" s="237"/>
      <c r="G9" s="238" t="s">
        <v>985</v>
      </c>
      <c r="H9" s="238"/>
      <c r="I9" s="238"/>
      <c r="J9" s="238"/>
      <c r="K9" s="238"/>
      <c r="L9" s="238"/>
      <c r="M9" s="238"/>
      <c r="AE9" s="485"/>
      <c r="AG9" s="481" t="s">
        <v>980</v>
      </c>
      <c r="AH9" s="481" t="s">
        <v>983</v>
      </c>
      <c r="AI9" s="481" t="s">
        <v>994</v>
      </c>
      <c r="AK9" s="479" t="s">
        <v>980</v>
      </c>
      <c r="AM9" s="479" t="s">
        <v>980</v>
      </c>
      <c r="AN9" s="479" t="s">
        <v>983</v>
      </c>
      <c r="AP9" s="482"/>
      <c r="AQ9" s="481"/>
    </row>
    <row r="10" spans="1:43" x14ac:dyDescent="0.25">
      <c r="A10" s="237"/>
      <c r="B10" s="237"/>
      <c r="C10" s="237"/>
      <c r="D10" s="237"/>
      <c r="E10" s="237"/>
      <c r="F10" s="237"/>
      <c r="G10" s="238"/>
      <c r="H10" s="238"/>
      <c r="I10" s="238"/>
      <c r="J10" s="238"/>
      <c r="K10" s="238"/>
      <c r="L10" s="238"/>
      <c r="M10" s="238"/>
      <c r="AE10" s="483"/>
      <c r="AG10" s="481" t="s">
        <v>980</v>
      </c>
      <c r="AH10" s="481" t="s">
        <v>983</v>
      </c>
      <c r="AI10" s="481" t="s">
        <v>995</v>
      </c>
      <c r="AK10" s="479" t="s">
        <v>981</v>
      </c>
      <c r="AM10" s="479" t="s">
        <v>980</v>
      </c>
      <c r="AN10" s="479" t="s">
        <v>985</v>
      </c>
      <c r="AP10" s="482"/>
      <c r="AQ10" s="481"/>
    </row>
    <row r="11" spans="1:43" x14ac:dyDescent="0.25">
      <c r="A11" s="209"/>
      <c r="B11" s="209"/>
      <c r="C11" s="209"/>
      <c r="D11" s="209"/>
      <c r="E11" s="209"/>
      <c r="F11" s="209"/>
      <c r="G11" s="206"/>
      <c r="H11" s="206"/>
      <c r="I11" s="206"/>
      <c r="J11" s="206"/>
      <c r="K11" s="206"/>
      <c r="L11" s="206"/>
      <c r="M11" s="206"/>
      <c r="AE11" s="484"/>
      <c r="AG11" s="481" t="s">
        <v>980</v>
      </c>
      <c r="AH11" s="481" t="s">
        <v>983</v>
      </c>
      <c r="AI11" s="481" t="s">
        <v>996</v>
      </c>
      <c r="AK11" s="479" t="s">
        <v>982</v>
      </c>
      <c r="AM11" s="479" t="s">
        <v>980</v>
      </c>
      <c r="AN11" s="479" t="s">
        <v>984</v>
      </c>
      <c r="AP11" s="482"/>
      <c r="AQ11" s="481"/>
    </row>
    <row r="12" spans="1:43" x14ac:dyDescent="0.25">
      <c r="A12" s="237" t="s">
        <v>979</v>
      </c>
      <c r="B12" s="237"/>
      <c r="C12" s="237"/>
      <c r="D12" s="237"/>
      <c r="E12" s="237"/>
      <c r="F12" s="237"/>
      <c r="G12" s="238" t="s">
        <v>1053</v>
      </c>
      <c r="H12" s="238"/>
      <c r="I12" s="238"/>
      <c r="J12" s="238"/>
      <c r="K12" s="238"/>
      <c r="L12" s="238"/>
      <c r="M12" s="238"/>
      <c r="AE12" s="486"/>
      <c r="AG12" s="481" t="s">
        <v>980</v>
      </c>
      <c r="AH12" s="481" t="s">
        <v>983</v>
      </c>
      <c r="AI12" s="490" t="s">
        <v>997</v>
      </c>
      <c r="AM12" s="479" t="s">
        <v>981</v>
      </c>
      <c r="AN12" s="479" t="s">
        <v>983</v>
      </c>
      <c r="AP12" s="482"/>
      <c r="AQ12" s="481"/>
    </row>
    <row r="13" spans="1:43" x14ac:dyDescent="0.25">
      <c r="A13" s="237"/>
      <c r="B13" s="237"/>
      <c r="C13" s="237"/>
      <c r="D13" s="237"/>
      <c r="E13" s="237"/>
      <c r="F13" s="237"/>
      <c r="G13" s="238"/>
      <c r="H13" s="238"/>
      <c r="I13" s="238"/>
      <c r="J13" s="238"/>
      <c r="K13" s="238"/>
      <c r="L13" s="238"/>
      <c r="M13" s="238"/>
      <c r="AG13" s="481" t="s">
        <v>980</v>
      </c>
      <c r="AH13" s="481" t="s">
        <v>983</v>
      </c>
      <c r="AI13" s="481" t="s">
        <v>998</v>
      </c>
      <c r="AM13" s="480" t="s">
        <v>981</v>
      </c>
      <c r="AN13" s="480" t="s">
        <v>985</v>
      </c>
      <c r="AP13" s="482"/>
      <c r="AQ13" s="481"/>
    </row>
    <row r="14" spans="1:43" x14ac:dyDescent="0.25">
      <c r="A14" s="208"/>
      <c r="B14" s="208"/>
      <c r="C14" s="208"/>
      <c r="D14" s="208"/>
      <c r="E14" s="208"/>
      <c r="F14" s="208"/>
      <c r="AG14" s="481" t="s">
        <v>980</v>
      </c>
      <c r="AH14" s="481" t="s">
        <v>983</v>
      </c>
      <c r="AI14" s="481" t="s">
        <v>999</v>
      </c>
      <c r="AM14" s="479" t="s">
        <v>981</v>
      </c>
      <c r="AN14" s="479" t="s">
        <v>984</v>
      </c>
      <c r="AP14" s="482"/>
      <c r="AQ14" s="481"/>
    </row>
    <row r="15" spans="1:43" x14ac:dyDescent="0.25">
      <c r="A15" s="242" t="s">
        <v>561</v>
      </c>
      <c r="B15" s="242"/>
      <c r="C15" s="242"/>
      <c r="D15" s="242"/>
      <c r="E15" s="242"/>
      <c r="F15" s="243"/>
      <c r="G15" s="241"/>
      <c r="H15" s="241"/>
      <c r="I15" s="241"/>
      <c r="J15" s="241"/>
      <c r="K15" s="241"/>
      <c r="L15" s="241"/>
      <c r="M15" s="241"/>
      <c r="AG15" s="481" t="s">
        <v>980</v>
      </c>
      <c r="AH15" s="481" t="s">
        <v>983</v>
      </c>
      <c r="AI15" s="481" t="s">
        <v>1000</v>
      </c>
      <c r="AM15" s="479" t="s">
        <v>982</v>
      </c>
      <c r="AN15" s="479" t="s">
        <v>983</v>
      </c>
      <c r="AP15" s="482"/>
      <c r="AQ15" s="481"/>
    </row>
    <row r="16" spans="1:43" x14ac:dyDescent="0.25">
      <c r="A16" s="242"/>
      <c r="B16" s="242"/>
      <c r="C16" s="242"/>
      <c r="D16" s="242"/>
      <c r="E16" s="242"/>
      <c r="F16" s="243"/>
      <c r="G16" s="241"/>
      <c r="H16" s="241"/>
      <c r="I16" s="241"/>
      <c r="J16" s="241"/>
      <c r="K16" s="241"/>
      <c r="L16" s="241"/>
      <c r="M16" s="241"/>
      <c r="AG16" s="481" t="s">
        <v>980</v>
      </c>
      <c r="AH16" s="481" t="s">
        <v>983</v>
      </c>
      <c r="AI16" s="481" t="s">
        <v>1001</v>
      </c>
      <c r="AM16" s="480" t="s">
        <v>982</v>
      </c>
      <c r="AN16" s="480" t="s">
        <v>985</v>
      </c>
      <c r="AP16" s="482"/>
      <c r="AQ16" s="481"/>
    </row>
    <row r="17" spans="1:43" x14ac:dyDescent="0.25">
      <c r="A17" s="242" t="s">
        <v>986</v>
      </c>
      <c r="B17" s="242"/>
      <c r="C17" s="242"/>
      <c r="D17" s="242"/>
      <c r="E17" s="242"/>
      <c r="F17" s="243"/>
      <c r="G17" s="241"/>
      <c r="H17" s="241"/>
      <c r="I17" s="241"/>
      <c r="J17" s="241"/>
      <c r="K17" s="241"/>
      <c r="L17" s="241"/>
      <c r="M17" s="241"/>
      <c r="AG17" s="481" t="s">
        <v>980</v>
      </c>
      <c r="AH17" s="481" t="s">
        <v>983</v>
      </c>
      <c r="AI17" s="481" t="s">
        <v>1002</v>
      </c>
      <c r="AM17" s="479" t="s">
        <v>982</v>
      </c>
      <c r="AN17" s="479" t="s">
        <v>984</v>
      </c>
      <c r="AP17" s="482"/>
      <c r="AQ17" s="481"/>
    </row>
    <row r="18" spans="1:43" x14ac:dyDescent="0.25">
      <c r="A18" s="242"/>
      <c r="B18" s="242"/>
      <c r="C18" s="242"/>
      <c r="D18" s="242"/>
      <c r="E18" s="242"/>
      <c r="F18" s="243"/>
      <c r="G18" s="241"/>
      <c r="H18" s="241"/>
      <c r="I18" s="241"/>
      <c r="J18" s="241"/>
      <c r="K18" s="241"/>
      <c r="L18" s="241"/>
      <c r="M18" s="241"/>
      <c r="AG18" s="481" t="s">
        <v>980</v>
      </c>
      <c r="AH18" s="481" t="s">
        <v>983</v>
      </c>
      <c r="AI18" s="481" t="s">
        <v>1003</v>
      </c>
      <c r="AP18" s="482"/>
      <c r="AQ18" s="481"/>
    </row>
    <row r="19" spans="1:43" x14ac:dyDescent="0.25">
      <c r="A19" s="242" t="s">
        <v>987</v>
      </c>
      <c r="B19" s="242"/>
      <c r="C19" s="242"/>
      <c r="D19" s="242"/>
      <c r="E19" s="242"/>
      <c r="F19" s="243"/>
      <c r="G19" s="241"/>
      <c r="H19" s="241"/>
      <c r="I19" s="241"/>
      <c r="J19" s="241"/>
      <c r="K19" s="241"/>
      <c r="L19" s="241"/>
      <c r="M19" s="241"/>
      <c r="AG19" s="481" t="s">
        <v>980</v>
      </c>
      <c r="AH19" s="481" t="s">
        <v>983</v>
      </c>
      <c r="AI19" s="481" t="s">
        <v>1004</v>
      </c>
      <c r="AP19" s="482"/>
      <c r="AQ19" s="481"/>
    </row>
    <row r="20" spans="1:43" x14ac:dyDescent="0.25">
      <c r="A20" s="242"/>
      <c r="B20" s="242"/>
      <c r="C20" s="242"/>
      <c r="D20" s="242"/>
      <c r="E20" s="242"/>
      <c r="F20" s="243"/>
      <c r="G20" s="241"/>
      <c r="H20" s="241"/>
      <c r="I20" s="241"/>
      <c r="J20" s="241"/>
      <c r="K20" s="241"/>
      <c r="L20" s="241"/>
      <c r="M20" s="241"/>
      <c r="AG20" s="481" t="s">
        <v>980</v>
      </c>
      <c r="AH20" s="481" t="s">
        <v>983</v>
      </c>
      <c r="AI20" s="481" t="s">
        <v>1005</v>
      </c>
      <c r="AP20" s="482"/>
      <c r="AQ20" s="481"/>
    </row>
    <row r="21" spans="1:43" x14ac:dyDescent="0.25">
      <c r="A21" s="242" t="s">
        <v>988</v>
      </c>
      <c r="B21" s="242"/>
      <c r="C21" s="242"/>
      <c r="D21" s="242"/>
      <c r="E21" s="242"/>
      <c r="F21" s="243"/>
      <c r="G21" s="241"/>
      <c r="H21" s="241"/>
      <c r="I21" s="241"/>
      <c r="J21" s="241"/>
      <c r="K21" s="241"/>
      <c r="L21" s="241"/>
      <c r="M21" s="241"/>
      <c r="AG21" s="481" t="s">
        <v>980</v>
      </c>
      <c r="AH21" s="481" t="s">
        <v>983</v>
      </c>
      <c r="AI21" s="481" t="s">
        <v>1006</v>
      </c>
      <c r="AP21" s="482"/>
      <c r="AQ21" s="481"/>
    </row>
    <row r="22" spans="1:43" x14ac:dyDescent="0.25">
      <c r="A22" s="242"/>
      <c r="B22" s="242"/>
      <c r="C22" s="242"/>
      <c r="D22" s="242"/>
      <c r="E22" s="242"/>
      <c r="F22" s="243"/>
      <c r="G22" s="241"/>
      <c r="H22" s="241"/>
      <c r="I22" s="241"/>
      <c r="J22" s="241"/>
      <c r="K22" s="241"/>
      <c r="L22" s="241"/>
      <c r="M22" s="241"/>
      <c r="AG22" s="481" t="s">
        <v>980</v>
      </c>
      <c r="AH22" s="481" t="s">
        <v>983</v>
      </c>
      <c r="AI22" s="481" t="s">
        <v>1007</v>
      </c>
      <c r="AP22" s="482"/>
      <c r="AQ22" s="481"/>
    </row>
    <row r="23" spans="1:43" x14ac:dyDescent="0.25">
      <c r="A23" s="242" t="s">
        <v>563</v>
      </c>
      <c r="B23" s="242"/>
      <c r="C23" s="242"/>
      <c r="D23" s="242"/>
      <c r="E23" s="242"/>
      <c r="F23" s="243"/>
      <c r="G23" s="241"/>
      <c r="H23" s="241"/>
      <c r="I23" s="241"/>
      <c r="J23" s="241"/>
      <c r="K23" s="241"/>
      <c r="L23" s="241"/>
      <c r="M23" s="241"/>
      <c r="AG23" s="481" t="s">
        <v>980</v>
      </c>
      <c r="AH23" s="491" t="s">
        <v>985</v>
      </c>
      <c r="AI23" s="481" t="s">
        <v>1009</v>
      </c>
      <c r="AP23" s="482"/>
      <c r="AQ23" s="481"/>
    </row>
    <row r="24" spans="1:43" x14ac:dyDescent="0.25">
      <c r="A24" s="242"/>
      <c r="B24" s="242"/>
      <c r="C24" s="242"/>
      <c r="D24" s="242"/>
      <c r="E24" s="242"/>
      <c r="F24" s="243"/>
      <c r="G24" s="241"/>
      <c r="H24" s="241"/>
      <c r="I24" s="241"/>
      <c r="J24" s="241"/>
      <c r="K24" s="241"/>
      <c r="L24" s="241"/>
      <c r="M24" s="241"/>
      <c r="AG24" s="481" t="s">
        <v>980</v>
      </c>
      <c r="AH24" s="491" t="s">
        <v>985</v>
      </c>
      <c r="AI24" s="481" t="s">
        <v>1010</v>
      </c>
      <c r="AP24" s="482"/>
      <c r="AQ24" s="481"/>
    </row>
    <row r="25" spans="1:43" x14ac:dyDescent="0.25">
      <c r="A25" s="242" t="s">
        <v>208</v>
      </c>
      <c r="B25" s="242"/>
      <c r="C25" s="242"/>
      <c r="D25" s="242"/>
      <c r="E25" s="242"/>
      <c r="F25" s="243"/>
      <c r="G25" s="241"/>
      <c r="H25" s="241"/>
      <c r="I25" s="241"/>
      <c r="J25" s="241"/>
      <c r="K25" s="241"/>
      <c r="L25" s="241"/>
      <c r="M25" s="241"/>
      <c r="AG25" s="481" t="s">
        <v>980</v>
      </c>
      <c r="AH25" s="491" t="s">
        <v>985</v>
      </c>
      <c r="AI25" s="481" t="s">
        <v>1011</v>
      </c>
      <c r="AP25" s="482"/>
      <c r="AQ25" s="481"/>
    </row>
    <row r="26" spans="1:43" x14ac:dyDescent="0.25">
      <c r="A26" s="242"/>
      <c r="B26" s="242"/>
      <c r="C26" s="242"/>
      <c r="D26" s="242"/>
      <c r="E26" s="242"/>
      <c r="F26" s="243"/>
      <c r="G26" s="241"/>
      <c r="H26" s="241"/>
      <c r="I26" s="241"/>
      <c r="J26" s="241"/>
      <c r="K26" s="241"/>
      <c r="L26" s="241"/>
      <c r="M26" s="241"/>
      <c r="AG26" s="481" t="s">
        <v>980</v>
      </c>
      <c r="AH26" s="491" t="s">
        <v>985</v>
      </c>
      <c r="AI26" s="490" t="s">
        <v>1012</v>
      </c>
      <c r="AP26" s="482"/>
      <c r="AQ26" s="481"/>
    </row>
    <row r="27" spans="1:43" x14ac:dyDescent="0.25">
      <c r="A27" s="242" t="s">
        <v>209</v>
      </c>
      <c r="B27" s="242"/>
      <c r="C27" s="242"/>
      <c r="D27" s="242"/>
      <c r="E27" s="242"/>
      <c r="F27" s="243"/>
      <c r="G27" s="241"/>
      <c r="H27" s="241"/>
      <c r="I27" s="241"/>
      <c r="J27" s="241"/>
      <c r="K27" s="241"/>
      <c r="L27" s="241"/>
      <c r="M27" s="241"/>
      <c r="AG27" s="481" t="s">
        <v>980</v>
      </c>
      <c r="AH27" s="491" t="s">
        <v>985</v>
      </c>
      <c r="AI27" s="481" t="s">
        <v>1013</v>
      </c>
      <c r="AP27" s="482"/>
      <c r="AQ27" s="481"/>
    </row>
    <row r="28" spans="1:43" x14ac:dyDescent="0.25">
      <c r="A28" s="242"/>
      <c r="B28" s="242"/>
      <c r="C28" s="242"/>
      <c r="D28" s="242"/>
      <c r="E28" s="242"/>
      <c r="F28" s="243"/>
      <c r="G28" s="241"/>
      <c r="H28" s="241"/>
      <c r="I28" s="241"/>
      <c r="J28" s="241"/>
      <c r="K28" s="241"/>
      <c r="L28" s="241"/>
      <c r="M28" s="241"/>
      <c r="AG28" s="481" t="s">
        <v>980</v>
      </c>
      <c r="AH28" s="491" t="s">
        <v>985</v>
      </c>
      <c r="AI28" s="481" t="s">
        <v>1014</v>
      </c>
      <c r="AP28" s="482"/>
      <c r="AQ28" s="481"/>
    </row>
    <row r="29" spans="1:43" x14ac:dyDescent="0.25">
      <c r="AG29" s="481" t="s">
        <v>980</v>
      </c>
      <c r="AH29" s="491" t="s">
        <v>985</v>
      </c>
      <c r="AI29" s="481" t="s">
        <v>1015</v>
      </c>
      <c r="AP29" s="482"/>
      <c r="AQ29" s="481"/>
    </row>
    <row r="30" spans="1:43" x14ac:dyDescent="0.25">
      <c r="AG30" s="481" t="s">
        <v>980</v>
      </c>
      <c r="AH30" s="491" t="s">
        <v>985</v>
      </c>
      <c r="AI30" s="481" t="s">
        <v>1016</v>
      </c>
      <c r="AP30" s="488"/>
      <c r="AQ30" s="481"/>
    </row>
    <row r="31" spans="1:43" x14ac:dyDescent="0.25">
      <c r="AG31" s="481" t="s">
        <v>980</v>
      </c>
      <c r="AH31" s="491" t="s">
        <v>985</v>
      </c>
      <c r="AI31" s="481" t="s">
        <v>1017</v>
      </c>
    </row>
    <row r="32" spans="1:43" x14ac:dyDescent="0.25">
      <c r="A32" s="240" t="s">
        <v>989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AG32" s="481" t="s">
        <v>980</v>
      </c>
      <c r="AH32" s="491" t="s">
        <v>985</v>
      </c>
      <c r="AI32" s="481" t="s">
        <v>1018</v>
      </c>
    </row>
    <row r="33" spans="1:35" x14ac:dyDescent="0.25">
      <c r="A33" s="240"/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AG33" s="481" t="s">
        <v>980</v>
      </c>
      <c r="AH33" s="491" t="s">
        <v>985</v>
      </c>
      <c r="AI33" s="481" t="s">
        <v>1019</v>
      </c>
    </row>
    <row r="34" spans="1:35" x14ac:dyDescent="0.25">
      <c r="A34" s="240"/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AG34" s="481" t="s">
        <v>980</v>
      </c>
      <c r="AH34" s="491" t="s">
        <v>985</v>
      </c>
      <c r="AI34" s="481" t="s">
        <v>1020</v>
      </c>
    </row>
    <row r="35" spans="1:35" x14ac:dyDescent="0.25">
      <c r="AG35" s="481" t="s">
        <v>980</v>
      </c>
      <c r="AH35" s="491" t="s">
        <v>985</v>
      </c>
      <c r="AI35" s="481" t="s">
        <v>1021</v>
      </c>
    </row>
    <row r="36" spans="1:35" x14ac:dyDescent="0.25">
      <c r="A36" s="242" t="s">
        <v>990</v>
      </c>
      <c r="B36" s="242"/>
      <c r="C36" s="242"/>
      <c r="D36" s="242"/>
      <c r="E36" s="242"/>
      <c r="F36" s="242"/>
      <c r="G36" s="240"/>
      <c r="H36" s="240"/>
      <c r="I36" s="240"/>
      <c r="J36" s="240"/>
      <c r="K36" s="240"/>
      <c r="L36" s="240"/>
      <c r="M36" s="240"/>
      <c r="AG36" s="481" t="s">
        <v>980</v>
      </c>
      <c r="AH36" s="491" t="s">
        <v>985</v>
      </c>
      <c r="AI36" s="481" t="s">
        <v>1022</v>
      </c>
    </row>
    <row r="37" spans="1:35" x14ac:dyDescent="0.25">
      <c r="A37" s="242"/>
      <c r="B37" s="242"/>
      <c r="C37" s="242"/>
      <c r="D37" s="242"/>
      <c r="E37" s="242"/>
      <c r="F37" s="242"/>
      <c r="G37" s="240"/>
      <c r="H37" s="240"/>
      <c r="I37" s="240"/>
      <c r="J37" s="240"/>
      <c r="K37" s="240"/>
      <c r="L37" s="240"/>
      <c r="M37" s="240"/>
      <c r="AG37" s="481" t="s">
        <v>980</v>
      </c>
      <c r="AH37" s="491" t="s">
        <v>984</v>
      </c>
      <c r="AI37" s="481" t="s">
        <v>1023</v>
      </c>
    </row>
    <row r="38" spans="1:35" x14ac:dyDescent="0.25">
      <c r="AG38" s="481" t="s">
        <v>980</v>
      </c>
      <c r="AH38" s="491" t="s">
        <v>984</v>
      </c>
      <c r="AI38" s="481" t="s">
        <v>1024</v>
      </c>
    </row>
    <row r="39" spans="1:35" x14ac:dyDescent="0.25">
      <c r="A39" s="242" t="s">
        <v>991</v>
      </c>
      <c r="B39" s="242"/>
      <c r="C39" s="242"/>
      <c r="D39" s="242"/>
      <c r="E39" s="242"/>
      <c r="F39" s="242"/>
      <c r="G39" s="240"/>
      <c r="H39" s="240"/>
      <c r="I39" s="240"/>
      <c r="J39" s="240"/>
      <c r="K39" s="240"/>
      <c r="L39" s="240"/>
      <c r="M39" s="240"/>
      <c r="AG39" s="481" t="s">
        <v>980</v>
      </c>
      <c r="AH39" s="491" t="s">
        <v>984</v>
      </c>
      <c r="AI39" s="481" t="s">
        <v>1025</v>
      </c>
    </row>
    <row r="40" spans="1:35" x14ac:dyDescent="0.25">
      <c r="A40" s="242"/>
      <c r="B40" s="242"/>
      <c r="C40" s="242"/>
      <c r="D40" s="242"/>
      <c r="E40" s="242"/>
      <c r="F40" s="242"/>
      <c r="G40" s="240"/>
      <c r="H40" s="240"/>
      <c r="I40" s="240"/>
      <c r="J40" s="240"/>
      <c r="K40" s="240"/>
      <c r="L40" s="240"/>
      <c r="M40" s="240"/>
      <c r="AG40" s="481" t="s">
        <v>980</v>
      </c>
      <c r="AH40" s="491" t="s">
        <v>984</v>
      </c>
      <c r="AI40" s="490" t="s">
        <v>1026</v>
      </c>
    </row>
    <row r="41" spans="1:35" x14ac:dyDescent="0.25">
      <c r="AG41" s="481" t="s">
        <v>980</v>
      </c>
      <c r="AH41" s="491" t="s">
        <v>984</v>
      </c>
      <c r="AI41" s="481" t="s">
        <v>1027</v>
      </c>
    </row>
    <row r="42" spans="1:35" x14ac:dyDescent="0.25">
      <c r="A42" s="242" t="s">
        <v>992</v>
      </c>
      <c r="B42" s="242"/>
      <c r="C42" s="242"/>
      <c r="D42" s="242"/>
      <c r="E42" s="242"/>
      <c r="F42" s="242"/>
      <c r="G42" s="240"/>
      <c r="H42" s="240"/>
      <c r="I42" s="240"/>
      <c r="J42" s="240"/>
      <c r="K42" s="240"/>
      <c r="L42" s="240"/>
      <c r="M42" s="240"/>
      <c r="AG42" s="481" t="s">
        <v>980</v>
      </c>
      <c r="AH42" s="491" t="s">
        <v>984</v>
      </c>
      <c r="AI42" s="481" t="s">
        <v>1028</v>
      </c>
    </row>
    <row r="43" spans="1:35" x14ac:dyDescent="0.25">
      <c r="A43" s="242"/>
      <c r="B43" s="242"/>
      <c r="C43" s="242"/>
      <c r="D43" s="242"/>
      <c r="E43" s="242"/>
      <c r="F43" s="242"/>
      <c r="G43" s="240"/>
      <c r="H43" s="240"/>
      <c r="I43" s="240"/>
      <c r="J43" s="240"/>
      <c r="K43" s="240"/>
      <c r="L43" s="240"/>
      <c r="M43" s="240"/>
      <c r="AG43" s="481" t="s">
        <v>980</v>
      </c>
      <c r="AH43" s="491" t="s">
        <v>984</v>
      </c>
      <c r="AI43" s="481" t="s">
        <v>1029</v>
      </c>
    </row>
    <row r="44" spans="1:35" x14ac:dyDescent="0.25">
      <c r="AG44" s="481" t="s">
        <v>980</v>
      </c>
      <c r="AH44" s="491" t="s">
        <v>984</v>
      </c>
      <c r="AI44" s="481" t="s">
        <v>1030</v>
      </c>
    </row>
    <row r="45" spans="1:35" x14ac:dyDescent="0.25">
      <c r="A45" s="242" t="s">
        <v>993</v>
      </c>
      <c r="B45" s="242"/>
      <c r="C45" s="242"/>
      <c r="D45" s="242"/>
      <c r="E45" s="242"/>
      <c r="F45" s="242"/>
      <c r="G45" s="240"/>
      <c r="H45" s="240"/>
      <c r="I45" s="240"/>
      <c r="J45" s="240"/>
      <c r="K45" s="240"/>
      <c r="L45" s="240"/>
      <c r="M45" s="240"/>
      <c r="AG45" s="481" t="s">
        <v>980</v>
      </c>
      <c r="AH45" s="491" t="s">
        <v>984</v>
      </c>
      <c r="AI45" s="481" t="s">
        <v>1031</v>
      </c>
    </row>
    <row r="46" spans="1:35" x14ac:dyDescent="0.25">
      <c r="A46" s="242"/>
      <c r="B46" s="242"/>
      <c r="C46" s="242"/>
      <c r="D46" s="242"/>
      <c r="E46" s="242"/>
      <c r="F46" s="242"/>
      <c r="G46" s="240"/>
      <c r="H46" s="240"/>
      <c r="I46" s="240"/>
      <c r="J46" s="240"/>
      <c r="K46" s="240"/>
      <c r="L46" s="240"/>
      <c r="M46" s="240"/>
      <c r="AG46" s="481" t="s">
        <v>980</v>
      </c>
      <c r="AH46" s="491" t="s">
        <v>984</v>
      </c>
      <c r="AI46" s="481" t="s">
        <v>1032</v>
      </c>
    </row>
    <row r="47" spans="1:35" x14ac:dyDescent="0.25">
      <c r="AG47" s="481" t="s">
        <v>980</v>
      </c>
      <c r="AH47" s="491" t="s">
        <v>984</v>
      </c>
      <c r="AI47" s="481" t="s">
        <v>1033</v>
      </c>
    </row>
    <row r="48" spans="1:35" x14ac:dyDescent="0.25">
      <c r="AG48" s="481" t="s">
        <v>980</v>
      </c>
      <c r="AH48" s="491" t="s">
        <v>984</v>
      </c>
      <c r="AI48" s="481" t="s">
        <v>1034</v>
      </c>
    </row>
    <row r="49" spans="33:35" x14ac:dyDescent="0.25">
      <c r="AG49" s="481" t="s">
        <v>980</v>
      </c>
      <c r="AH49" s="491" t="s">
        <v>984</v>
      </c>
      <c r="AI49" s="481" t="s">
        <v>1035</v>
      </c>
    </row>
    <row r="50" spans="33:35" x14ac:dyDescent="0.25">
      <c r="AG50" s="481" t="s">
        <v>980</v>
      </c>
      <c r="AH50" s="491" t="s">
        <v>984</v>
      </c>
      <c r="AI50" s="481" t="s">
        <v>1036</v>
      </c>
    </row>
    <row r="51" spans="33:35" x14ac:dyDescent="0.25">
      <c r="AG51" s="482" t="s">
        <v>981</v>
      </c>
      <c r="AH51" s="482" t="s">
        <v>983</v>
      </c>
      <c r="AI51" s="482" t="s">
        <v>1038</v>
      </c>
    </row>
    <row r="52" spans="33:35" x14ac:dyDescent="0.25">
      <c r="AG52" s="482" t="s">
        <v>981</v>
      </c>
      <c r="AH52" s="482" t="s">
        <v>983</v>
      </c>
      <c r="AI52" s="482" t="s">
        <v>1039</v>
      </c>
    </row>
    <row r="53" spans="33:35" x14ac:dyDescent="0.25">
      <c r="AG53" s="482" t="s">
        <v>981</v>
      </c>
      <c r="AH53" s="482" t="s">
        <v>983</v>
      </c>
      <c r="AI53" s="482" t="s">
        <v>1040</v>
      </c>
    </row>
    <row r="54" spans="33:35" x14ac:dyDescent="0.25">
      <c r="AG54" s="482" t="s">
        <v>981</v>
      </c>
      <c r="AH54" s="482" t="s">
        <v>983</v>
      </c>
      <c r="AI54" s="482" t="s">
        <v>1041</v>
      </c>
    </row>
    <row r="55" spans="33:35" x14ac:dyDescent="0.25">
      <c r="AG55" s="482" t="s">
        <v>981</v>
      </c>
      <c r="AH55" s="482" t="s">
        <v>983</v>
      </c>
      <c r="AI55" s="482" t="s">
        <v>1042</v>
      </c>
    </row>
    <row r="56" spans="33:35" x14ac:dyDescent="0.25">
      <c r="AG56" s="482" t="s">
        <v>981</v>
      </c>
      <c r="AH56" s="482" t="s">
        <v>983</v>
      </c>
      <c r="AI56" s="482" t="s">
        <v>1043</v>
      </c>
    </row>
    <row r="57" spans="33:35" x14ac:dyDescent="0.25">
      <c r="AG57" s="482" t="s">
        <v>981</v>
      </c>
      <c r="AH57" s="482" t="s">
        <v>983</v>
      </c>
      <c r="AI57" s="482" t="s">
        <v>1044</v>
      </c>
    </row>
    <row r="58" spans="33:35" x14ac:dyDescent="0.25">
      <c r="AG58" s="482" t="s">
        <v>981</v>
      </c>
      <c r="AH58" s="482" t="s">
        <v>983</v>
      </c>
      <c r="AI58" s="482" t="s">
        <v>1045</v>
      </c>
    </row>
    <row r="59" spans="33:35" x14ac:dyDescent="0.25">
      <c r="AG59" s="482" t="s">
        <v>981</v>
      </c>
      <c r="AH59" s="482" t="s">
        <v>983</v>
      </c>
      <c r="AI59" s="482" t="s">
        <v>1046</v>
      </c>
    </row>
    <row r="60" spans="33:35" x14ac:dyDescent="0.25">
      <c r="AG60" s="482" t="s">
        <v>981</v>
      </c>
      <c r="AH60" s="482" t="s">
        <v>983</v>
      </c>
      <c r="AI60" s="482" t="s">
        <v>1047</v>
      </c>
    </row>
    <row r="61" spans="33:35" x14ac:dyDescent="0.25">
      <c r="AG61" s="482" t="s">
        <v>981</v>
      </c>
      <c r="AH61" s="482" t="s">
        <v>983</v>
      </c>
      <c r="AI61" s="482" t="s">
        <v>1048</v>
      </c>
    </row>
    <row r="62" spans="33:35" x14ac:dyDescent="0.25">
      <c r="AG62" s="482" t="s">
        <v>981</v>
      </c>
      <c r="AH62" s="482" t="s">
        <v>985</v>
      </c>
      <c r="AI62" s="482" t="s">
        <v>1049</v>
      </c>
    </row>
    <row r="63" spans="33:35" x14ac:dyDescent="0.25">
      <c r="AG63" s="482" t="s">
        <v>981</v>
      </c>
      <c r="AH63" s="482" t="s">
        <v>985</v>
      </c>
      <c r="AI63" s="482" t="s">
        <v>1050</v>
      </c>
    </row>
    <row r="64" spans="33:35" x14ac:dyDescent="0.25">
      <c r="AG64" s="482" t="s">
        <v>981</v>
      </c>
      <c r="AH64" s="482" t="s">
        <v>985</v>
      </c>
      <c r="AI64" s="482" t="s">
        <v>1051</v>
      </c>
    </row>
    <row r="65" spans="33:35" x14ac:dyDescent="0.25">
      <c r="AG65" s="482" t="s">
        <v>981</v>
      </c>
      <c r="AH65" s="482" t="s">
        <v>985</v>
      </c>
      <c r="AI65" s="482" t="s">
        <v>1052</v>
      </c>
    </row>
    <row r="66" spans="33:35" x14ac:dyDescent="0.25">
      <c r="AG66" s="482" t="s">
        <v>981</v>
      </c>
      <c r="AH66" s="482" t="s">
        <v>985</v>
      </c>
      <c r="AI66" s="482" t="s">
        <v>1053</v>
      </c>
    </row>
    <row r="67" spans="33:35" x14ac:dyDescent="0.25">
      <c r="AG67" s="482" t="s">
        <v>981</v>
      </c>
      <c r="AH67" s="482" t="s">
        <v>985</v>
      </c>
      <c r="AI67" s="482" t="s">
        <v>1054</v>
      </c>
    </row>
    <row r="68" spans="33:35" x14ac:dyDescent="0.25">
      <c r="AG68" s="482" t="s">
        <v>981</v>
      </c>
      <c r="AH68" s="482" t="s">
        <v>985</v>
      </c>
      <c r="AI68" s="482" t="s">
        <v>1055</v>
      </c>
    </row>
    <row r="69" spans="33:35" x14ac:dyDescent="0.25">
      <c r="AG69" s="482" t="s">
        <v>981</v>
      </c>
      <c r="AH69" s="482" t="s">
        <v>985</v>
      </c>
      <c r="AI69" s="482" t="s">
        <v>1056</v>
      </c>
    </row>
    <row r="70" spans="33:35" x14ac:dyDescent="0.25">
      <c r="AG70" s="482" t="s">
        <v>981</v>
      </c>
      <c r="AH70" s="482" t="s">
        <v>985</v>
      </c>
      <c r="AI70" s="482" t="s">
        <v>1057</v>
      </c>
    </row>
    <row r="71" spans="33:35" x14ac:dyDescent="0.25">
      <c r="AG71" s="482" t="s">
        <v>981</v>
      </c>
      <c r="AH71" s="482" t="s">
        <v>985</v>
      </c>
      <c r="AI71" s="482" t="s">
        <v>1058</v>
      </c>
    </row>
    <row r="72" spans="33:35" x14ac:dyDescent="0.25">
      <c r="AG72" s="482" t="s">
        <v>981</v>
      </c>
      <c r="AH72" s="482" t="s">
        <v>985</v>
      </c>
      <c r="AI72" s="482" t="s">
        <v>1059</v>
      </c>
    </row>
    <row r="73" spans="33:35" x14ac:dyDescent="0.25">
      <c r="AG73" s="482" t="s">
        <v>981</v>
      </c>
      <c r="AH73" s="482" t="s">
        <v>984</v>
      </c>
      <c r="AI73" s="482" t="s">
        <v>1060</v>
      </c>
    </row>
    <row r="74" spans="33:35" x14ac:dyDescent="0.25">
      <c r="AG74" s="482" t="s">
        <v>981</v>
      </c>
      <c r="AH74" s="482" t="s">
        <v>984</v>
      </c>
      <c r="AI74" s="482" t="s">
        <v>1061</v>
      </c>
    </row>
    <row r="75" spans="33:35" x14ac:dyDescent="0.25">
      <c r="AG75" s="482" t="s">
        <v>981</v>
      </c>
      <c r="AH75" s="482" t="s">
        <v>984</v>
      </c>
      <c r="AI75" s="482" t="s">
        <v>1062</v>
      </c>
    </row>
    <row r="76" spans="33:35" x14ac:dyDescent="0.25">
      <c r="AG76" s="482" t="s">
        <v>981</v>
      </c>
      <c r="AH76" s="482" t="s">
        <v>984</v>
      </c>
      <c r="AI76" s="482" t="s">
        <v>1063</v>
      </c>
    </row>
    <row r="77" spans="33:35" x14ac:dyDescent="0.25">
      <c r="AG77" s="482" t="s">
        <v>981</v>
      </c>
      <c r="AH77" s="482" t="s">
        <v>984</v>
      </c>
      <c r="AI77" s="482" t="s">
        <v>1064</v>
      </c>
    </row>
    <row r="78" spans="33:35" x14ac:dyDescent="0.25">
      <c r="AG78" s="482" t="s">
        <v>981</v>
      </c>
      <c r="AH78" s="482" t="s">
        <v>984</v>
      </c>
      <c r="AI78" s="482" t="s">
        <v>1065</v>
      </c>
    </row>
    <row r="79" spans="33:35" x14ac:dyDescent="0.25">
      <c r="AG79" s="482" t="s">
        <v>981</v>
      </c>
      <c r="AH79" s="482" t="s">
        <v>984</v>
      </c>
      <c r="AI79" s="482" t="s">
        <v>1066</v>
      </c>
    </row>
    <row r="80" spans="33:35" x14ac:dyDescent="0.25">
      <c r="AG80" s="482" t="s">
        <v>981</v>
      </c>
      <c r="AH80" s="482" t="s">
        <v>984</v>
      </c>
      <c r="AI80" s="482" t="s">
        <v>1067</v>
      </c>
    </row>
    <row r="81" spans="33:35" x14ac:dyDescent="0.25">
      <c r="AG81" s="482" t="s">
        <v>981</v>
      </c>
      <c r="AH81" s="482" t="s">
        <v>984</v>
      </c>
      <c r="AI81" s="482" t="s">
        <v>1068</v>
      </c>
    </row>
    <row r="82" spans="33:35" x14ac:dyDescent="0.25">
      <c r="AG82" s="482" t="s">
        <v>981</v>
      </c>
      <c r="AH82" s="482" t="s">
        <v>984</v>
      </c>
      <c r="AI82" s="482" t="s">
        <v>1069</v>
      </c>
    </row>
    <row r="83" spans="33:35" x14ac:dyDescent="0.25">
      <c r="AG83" s="482" t="s">
        <v>982</v>
      </c>
      <c r="AH83" s="482" t="s">
        <v>983</v>
      </c>
      <c r="AI83" s="482" t="s">
        <v>1070</v>
      </c>
    </row>
    <row r="84" spans="33:35" x14ac:dyDescent="0.25">
      <c r="AG84" s="482" t="s">
        <v>982</v>
      </c>
      <c r="AH84" s="482" t="s">
        <v>983</v>
      </c>
      <c r="AI84" s="482" t="s">
        <v>1071</v>
      </c>
    </row>
    <row r="85" spans="33:35" x14ac:dyDescent="0.25">
      <c r="AG85" s="482" t="s">
        <v>982</v>
      </c>
      <c r="AH85" s="482" t="s">
        <v>983</v>
      </c>
      <c r="AI85" s="482" t="s">
        <v>1072</v>
      </c>
    </row>
    <row r="86" spans="33:35" x14ac:dyDescent="0.25">
      <c r="AG86" s="482" t="s">
        <v>982</v>
      </c>
      <c r="AH86" s="482" t="s">
        <v>983</v>
      </c>
      <c r="AI86" s="482" t="s">
        <v>1074</v>
      </c>
    </row>
    <row r="87" spans="33:35" x14ac:dyDescent="0.25">
      <c r="AG87" s="482" t="s">
        <v>982</v>
      </c>
      <c r="AH87" s="482" t="s">
        <v>983</v>
      </c>
      <c r="AI87" s="482" t="s">
        <v>1075</v>
      </c>
    </row>
    <row r="88" spans="33:35" x14ac:dyDescent="0.25">
      <c r="AG88" s="482" t="s">
        <v>982</v>
      </c>
      <c r="AH88" s="482" t="s">
        <v>983</v>
      </c>
      <c r="AI88" s="482" t="s">
        <v>1073</v>
      </c>
    </row>
    <row r="89" spans="33:35" x14ac:dyDescent="0.25">
      <c r="AG89" s="482" t="s">
        <v>982</v>
      </c>
      <c r="AH89" s="482" t="s">
        <v>983</v>
      </c>
      <c r="AI89" s="482" t="s">
        <v>1076</v>
      </c>
    </row>
    <row r="90" spans="33:35" x14ac:dyDescent="0.25">
      <c r="AG90" s="482" t="s">
        <v>982</v>
      </c>
      <c r="AH90" s="482" t="s">
        <v>983</v>
      </c>
      <c r="AI90" s="482" t="s">
        <v>1077</v>
      </c>
    </row>
    <row r="91" spans="33:35" x14ac:dyDescent="0.25">
      <c r="AG91" s="482" t="s">
        <v>982</v>
      </c>
      <c r="AH91" s="482" t="s">
        <v>983</v>
      </c>
      <c r="AI91" s="482" t="s">
        <v>1078</v>
      </c>
    </row>
    <row r="92" spans="33:35" x14ac:dyDescent="0.25">
      <c r="AG92" s="482" t="s">
        <v>982</v>
      </c>
      <c r="AH92" s="482" t="s">
        <v>985</v>
      </c>
      <c r="AI92" s="482" t="s">
        <v>1079</v>
      </c>
    </row>
    <row r="93" spans="33:35" x14ac:dyDescent="0.25">
      <c r="AG93" s="482" t="s">
        <v>982</v>
      </c>
      <c r="AH93" s="482" t="s">
        <v>985</v>
      </c>
      <c r="AI93" s="482" t="s">
        <v>1080</v>
      </c>
    </row>
    <row r="94" spans="33:35" x14ac:dyDescent="0.25">
      <c r="AG94" s="482" t="s">
        <v>982</v>
      </c>
      <c r="AH94" s="482" t="s">
        <v>985</v>
      </c>
      <c r="AI94" s="482" t="s">
        <v>1081</v>
      </c>
    </row>
    <row r="95" spans="33:35" x14ac:dyDescent="0.25">
      <c r="AG95" s="482" t="s">
        <v>982</v>
      </c>
      <c r="AH95" s="482" t="s">
        <v>985</v>
      </c>
      <c r="AI95" s="482" t="s">
        <v>1082</v>
      </c>
    </row>
    <row r="96" spans="33:35" x14ac:dyDescent="0.25">
      <c r="AG96" s="482" t="s">
        <v>982</v>
      </c>
      <c r="AH96" s="482" t="s">
        <v>985</v>
      </c>
      <c r="AI96" s="482" t="s">
        <v>1083</v>
      </c>
    </row>
    <row r="97" spans="33:35" x14ac:dyDescent="0.25">
      <c r="AG97" s="482" t="s">
        <v>982</v>
      </c>
      <c r="AH97" s="482" t="s">
        <v>985</v>
      </c>
      <c r="AI97" s="482" t="s">
        <v>1084</v>
      </c>
    </row>
    <row r="98" spans="33:35" x14ac:dyDescent="0.25">
      <c r="AG98" s="482" t="s">
        <v>982</v>
      </c>
      <c r="AH98" s="482" t="s">
        <v>985</v>
      </c>
      <c r="AI98" s="482" t="s">
        <v>1085</v>
      </c>
    </row>
    <row r="99" spans="33:35" x14ac:dyDescent="0.25">
      <c r="AG99" s="482" t="s">
        <v>982</v>
      </c>
      <c r="AH99" s="482" t="s">
        <v>985</v>
      </c>
      <c r="AI99" s="482" t="s">
        <v>1086</v>
      </c>
    </row>
    <row r="100" spans="33:35" x14ac:dyDescent="0.25">
      <c r="AG100" s="482" t="s">
        <v>982</v>
      </c>
      <c r="AH100" s="482" t="s">
        <v>985</v>
      </c>
      <c r="AI100" s="482" t="s">
        <v>1087</v>
      </c>
    </row>
    <row r="101" spans="33:35" x14ac:dyDescent="0.25">
      <c r="AG101" s="482" t="s">
        <v>982</v>
      </c>
      <c r="AH101" s="482" t="s">
        <v>984</v>
      </c>
      <c r="AI101" s="482" t="s">
        <v>1088</v>
      </c>
    </row>
    <row r="102" spans="33:35" x14ac:dyDescent="0.25">
      <c r="AG102" s="482" t="s">
        <v>982</v>
      </c>
      <c r="AH102" s="482" t="s">
        <v>984</v>
      </c>
      <c r="AI102" s="482" t="s">
        <v>1089</v>
      </c>
    </row>
    <row r="103" spans="33:35" x14ac:dyDescent="0.25">
      <c r="AG103" s="482" t="s">
        <v>982</v>
      </c>
      <c r="AH103" s="482" t="s">
        <v>984</v>
      </c>
      <c r="AI103" s="482" t="s">
        <v>1090</v>
      </c>
    </row>
    <row r="104" spans="33:35" x14ac:dyDescent="0.25">
      <c r="AG104" s="482" t="s">
        <v>982</v>
      </c>
      <c r="AH104" s="482" t="s">
        <v>984</v>
      </c>
      <c r="AI104" s="482" t="s">
        <v>1091</v>
      </c>
    </row>
    <row r="105" spans="33:35" x14ac:dyDescent="0.25">
      <c r="AG105" s="482" t="s">
        <v>982</v>
      </c>
      <c r="AH105" s="482" t="s">
        <v>984</v>
      </c>
      <c r="AI105" s="482" t="s">
        <v>1092</v>
      </c>
    </row>
    <row r="106" spans="33:35" x14ac:dyDescent="0.25">
      <c r="AG106" s="482" t="s">
        <v>982</v>
      </c>
      <c r="AH106" s="482" t="s">
        <v>984</v>
      </c>
      <c r="AI106" s="482" t="s">
        <v>1093</v>
      </c>
    </row>
    <row r="107" spans="33:35" x14ac:dyDescent="0.25">
      <c r="AG107" s="482" t="s">
        <v>982</v>
      </c>
      <c r="AH107" s="482" t="s">
        <v>984</v>
      </c>
      <c r="AI107" s="482" t="s">
        <v>1094</v>
      </c>
    </row>
    <row r="108" spans="33:35" x14ac:dyDescent="0.25">
      <c r="AG108" s="482" t="s">
        <v>982</v>
      </c>
      <c r="AH108" s="482" t="s">
        <v>984</v>
      </c>
      <c r="AI108" s="482" t="s">
        <v>1095</v>
      </c>
    </row>
    <row r="109" spans="33:35" x14ac:dyDescent="0.25">
      <c r="AG109" s="488" t="s">
        <v>982</v>
      </c>
      <c r="AH109" s="488" t="s">
        <v>984</v>
      </c>
      <c r="AI109" s="488" t="s">
        <v>1096</v>
      </c>
    </row>
  </sheetData>
  <mergeCells count="33">
    <mergeCell ref="AG7:AI7"/>
    <mergeCell ref="AK7:AM7"/>
    <mergeCell ref="AO2:AQ2"/>
    <mergeCell ref="A36:F37"/>
    <mergeCell ref="G36:M37"/>
    <mergeCell ref="A39:F40"/>
    <mergeCell ref="A42:F43"/>
    <mergeCell ref="A45:F46"/>
    <mergeCell ref="G39:M40"/>
    <mergeCell ref="G42:M43"/>
    <mergeCell ref="G45:M46"/>
    <mergeCell ref="A32:M34"/>
    <mergeCell ref="G15:M16"/>
    <mergeCell ref="G17:M18"/>
    <mergeCell ref="G21:M22"/>
    <mergeCell ref="G23:M24"/>
    <mergeCell ref="G27:M28"/>
    <mergeCell ref="G19:M20"/>
    <mergeCell ref="G25:M26"/>
    <mergeCell ref="A19:F20"/>
    <mergeCell ref="A25:F26"/>
    <mergeCell ref="A15:F16"/>
    <mergeCell ref="A17:F18"/>
    <mergeCell ref="A21:F22"/>
    <mergeCell ref="A23:F24"/>
    <mergeCell ref="A27:F28"/>
    <mergeCell ref="A12:F13"/>
    <mergeCell ref="G12:M13"/>
    <mergeCell ref="A2:M4"/>
    <mergeCell ref="A6:F7"/>
    <mergeCell ref="G6:M7"/>
    <mergeCell ref="A9:F10"/>
    <mergeCell ref="G9:M10"/>
  </mergeCells>
  <dataValidations count="3">
    <dataValidation type="list" allowBlank="1" showInputMessage="1" showErrorMessage="1" sqref="G6:M7" xr:uid="{952F0379-0717-4443-B4DE-89E647FF311A}">
      <formula1>PRODUCENT</formula1>
    </dataValidation>
    <dataValidation type="list" allowBlank="1" showInputMessage="1" showErrorMessage="1" sqref="G9:M10" xr:uid="{9200ED2D-5D22-454C-BE70-BC58AF483742}">
      <formula1>TYP</formula1>
    </dataValidation>
    <dataValidation type="list" allowBlank="1" showInputMessage="1" showErrorMessage="1" sqref="G12:M13" xr:uid="{FAADE031-B4E9-4713-A016-467E227B9599}">
      <formula1>MODEL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CC226"/>
  <sheetViews>
    <sheetView topLeftCell="N1" zoomScale="70" zoomScaleNormal="70" workbookViewId="0">
      <selection activeCell="X5" sqref="X5:AD5"/>
    </sheetView>
  </sheetViews>
  <sheetFormatPr defaultColWidth="4.85546875" defaultRowHeight="15" x14ac:dyDescent="0.25"/>
  <cols>
    <col min="1" max="1" width="5" style="121" bestFit="1" customWidth="1"/>
    <col min="2" max="2" width="4.85546875" style="121" customWidth="1"/>
    <col min="3" max="4" width="5" style="121" bestFit="1" customWidth="1"/>
    <col min="5" max="5" width="5.7109375" style="121" bestFit="1" customWidth="1"/>
    <col min="6" max="6" width="5" style="121" bestFit="1" customWidth="1"/>
    <col min="7" max="7" width="5" style="121" customWidth="1"/>
    <col min="8" max="9" width="5" style="121" bestFit="1" customWidth="1"/>
    <col min="10" max="10" width="4.85546875" style="121" customWidth="1"/>
    <col min="11" max="13" width="5" style="121" bestFit="1" customWidth="1"/>
    <col min="14" max="14" width="7.85546875" style="121" customWidth="1"/>
    <col min="15" max="15" width="5" style="121" bestFit="1" customWidth="1"/>
    <col min="16" max="16" width="5.85546875" style="121" customWidth="1"/>
    <col min="17" max="21" width="5" style="121" bestFit="1" customWidth="1"/>
    <col min="22" max="22" width="7.7109375" style="121" customWidth="1"/>
    <col min="23" max="27" width="5" style="121" bestFit="1" customWidth="1"/>
    <col min="28" max="28" width="6.28515625" style="121" customWidth="1"/>
    <col min="29" max="31" width="5" style="121" bestFit="1" customWidth="1"/>
    <col min="32" max="32" width="7" style="121" customWidth="1"/>
    <col min="33" max="33" width="5" style="121" bestFit="1" customWidth="1"/>
    <col min="34" max="37" width="4.85546875" style="121" customWidth="1"/>
    <col min="38" max="53" width="5" style="121" bestFit="1" customWidth="1"/>
    <col min="54" max="54" width="12" style="121" bestFit="1" customWidth="1"/>
    <col min="55" max="55" width="25.5703125" style="121" customWidth="1"/>
    <col min="56" max="56" width="16.5703125" style="121" bestFit="1" customWidth="1"/>
    <col min="57" max="57" width="10.28515625" style="121" customWidth="1"/>
    <col min="58" max="58" width="6.28515625" style="121" customWidth="1"/>
    <col min="59" max="65" width="5" style="121" bestFit="1" customWidth="1"/>
    <col min="66" max="66" width="6.5703125" style="121" bestFit="1" customWidth="1"/>
    <col min="67" max="71" width="5" style="121" bestFit="1" customWidth="1"/>
    <col min="72" max="72" width="12.7109375" style="121" bestFit="1" customWidth="1"/>
    <col min="73" max="73" width="4.85546875" style="121"/>
    <col min="74" max="74" width="32.85546875" style="121" bestFit="1" customWidth="1"/>
    <col min="75" max="75" width="41.28515625" style="121" bestFit="1" customWidth="1"/>
    <col min="76" max="76" width="36.28515625" style="121" bestFit="1" customWidth="1"/>
    <col min="77" max="77" width="22.5703125" style="121" bestFit="1" customWidth="1"/>
    <col min="78" max="78" width="4.85546875" style="121"/>
    <col min="79" max="79" width="56" style="121" bestFit="1" customWidth="1"/>
    <col min="80" max="80" width="36.28515625" style="121" bestFit="1" customWidth="1"/>
    <col min="81" max="81" width="27.7109375" style="121" bestFit="1" customWidth="1"/>
    <col min="82" max="16384" width="4.85546875" style="121"/>
  </cols>
  <sheetData>
    <row r="1" spans="1:81" ht="15.75" customHeight="1" x14ac:dyDescent="0.25">
      <c r="A1" s="314" t="s">
        <v>376</v>
      </c>
      <c r="B1" s="314"/>
      <c r="C1" s="314"/>
      <c r="D1" s="314"/>
      <c r="E1" s="314"/>
      <c r="F1" s="314"/>
      <c r="G1" s="314"/>
      <c r="I1" s="315" t="s">
        <v>389</v>
      </c>
      <c r="J1" s="315"/>
      <c r="K1" s="315"/>
      <c r="L1" s="315"/>
      <c r="M1" s="315"/>
      <c r="N1" s="315"/>
      <c r="O1" s="316">
        <f>IF(Budynek!H76="Według obliczeń",Budynek!A37,Budynek!A61)</f>
        <v>4.0157314718667516</v>
      </c>
      <c r="P1" s="310"/>
      <c r="Q1" s="292" t="s">
        <v>84</v>
      </c>
      <c r="S1" s="310" t="s">
        <v>573</v>
      </c>
      <c r="T1" s="310"/>
      <c r="U1" s="310"/>
      <c r="V1" s="310"/>
      <c r="W1" s="310"/>
      <c r="X1" s="310"/>
      <c r="Y1" s="310"/>
      <c r="Z1" s="310"/>
      <c r="AB1" s="287">
        <f ca="1">TODAY()</f>
        <v>45308</v>
      </c>
      <c r="AC1" s="280"/>
      <c r="AD1" s="280"/>
      <c r="AE1" s="280"/>
      <c r="AF1" s="288"/>
      <c r="BT1" s="121" t="s">
        <v>608</v>
      </c>
      <c r="BV1" s="121" t="s">
        <v>81</v>
      </c>
      <c r="BW1" s="121" t="s">
        <v>80</v>
      </c>
      <c r="BX1" s="121" t="s">
        <v>78</v>
      </c>
      <c r="BY1" s="121" t="s">
        <v>79</v>
      </c>
      <c r="CA1" s="121" t="s">
        <v>83</v>
      </c>
      <c r="CB1" s="122" t="s">
        <v>638</v>
      </c>
      <c r="CC1" s="121" t="s">
        <v>635</v>
      </c>
    </row>
    <row r="2" spans="1:81" ht="27.75" customHeight="1" x14ac:dyDescent="0.25">
      <c r="A2" s="314"/>
      <c r="B2" s="314"/>
      <c r="C2" s="314"/>
      <c r="D2" s="314"/>
      <c r="E2" s="314"/>
      <c r="F2" s="314"/>
      <c r="G2" s="314"/>
      <c r="I2" s="315"/>
      <c r="J2" s="315"/>
      <c r="K2" s="315"/>
      <c r="L2" s="315"/>
      <c r="M2" s="315"/>
      <c r="N2" s="315"/>
      <c r="O2" s="310"/>
      <c r="P2" s="310"/>
      <c r="Q2" s="292"/>
      <c r="S2" s="310"/>
      <c r="T2" s="310"/>
      <c r="U2" s="310"/>
      <c r="V2" s="310"/>
      <c r="W2" s="310"/>
      <c r="X2" s="310"/>
      <c r="Y2" s="310"/>
      <c r="Z2" s="310"/>
      <c r="BS2" s="121">
        <f>INDEX(SchematyPC!$A$2:$Y$145,MATCH($X$3,SchematyPC!$A$2:$A$145,0),2)</f>
        <v>1</v>
      </c>
      <c r="BT2" s="121" t="s">
        <v>467</v>
      </c>
      <c r="BV2" s="121" t="str">
        <f>SchematyPC!$A$2</f>
        <v>C.O. jeden obieg</v>
      </c>
      <c r="BW2" s="123" t="str">
        <f>PC!A5</f>
        <v>-</v>
      </c>
      <c r="BX2" s="121" t="str">
        <f>CWU[[#All],[Nazwa]]</f>
        <v>Nazwa</v>
      </c>
      <c r="BY2" s="121" t="s">
        <v>77</v>
      </c>
      <c r="CA2" s="121" t="str">
        <f>dodatki[[#All],[inne]]</f>
        <v>inne</v>
      </c>
      <c r="CB2" s="122" t="s">
        <v>639</v>
      </c>
      <c r="CC2" s="202" t="s">
        <v>957</v>
      </c>
    </row>
    <row r="3" spans="1:81" ht="15" customHeight="1" x14ac:dyDescent="0.25">
      <c r="A3" s="308" t="s">
        <v>183</v>
      </c>
      <c r="B3" s="308"/>
      <c r="C3" s="308"/>
      <c r="D3" s="309" t="s">
        <v>119</v>
      </c>
      <c r="E3" s="309"/>
      <c r="F3" s="309"/>
      <c r="G3" s="309"/>
      <c r="H3" s="309"/>
      <c r="I3" s="220" t="s">
        <v>390</v>
      </c>
      <c r="J3" s="220"/>
      <c r="K3" s="220"/>
      <c r="L3" s="220"/>
      <c r="M3" s="220"/>
      <c r="N3" s="220"/>
      <c r="O3" s="310">
        <f>Budynek!A68</f>
        <v>0.5</v>
      </c>
      <c r="P3" s="310"/>
      <c r="Q3" s="292" t="s">
        <v>84</v>
      </c>
      <c r="U3" s="294" t="s">
        <v>69</v>
      </c>
      <c r="V3" s="294"/>
      <c r="W3" s="121">
        <v>3</v>
      </c>
      <c r="X3" s="278" t="s">
        <v>267</v>
      </c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P3" s="289" t="s">
        <v>70</v>
      </c>
      <c r="AQ3" s="280"/>
      <c r="AR3" s="280"/>
      <c r="AS3" s="280"/>
      <c r="AT3" s="280"/>
      <c r="AU3" s="280"/>
      <c r="AV3" s="280"/>
      <c r="AW3" s="280"/>
      <c r="AX3" s="280"/>
      <c r="AY3" s="288"/>
      <c r="BT3" s="121" t="s">
        <v>1008</v>
      </c>
      <c r="BV3" s="121" t="str">
        <f>SchematyPC!$A18</f>
        <v>C.O. dwa obiegi</v>
      </c>
      <c r="BW3" s="123" t="e">
        <f>PC!#REF!</f>
        <v>#REF!</v>
      </c>
      <c r="BX3" s="121" t="str">
        <f>CWU[[#All],[Nazwa]]</f>
        <v>Wbudowany w jednostce wewnetrznej</v>
      </c>
      <c r="BY3" s="121" t="str">
        <f>CO[[#All],[producent]]</f>
        <v>LG do All In One</v>
      </c>
      <c r="CA3" s="121" t="str">
        <f>dodatki[[#All],[inne]]</f>
        <v>---</v>
      </c>
      <c r="CB3" s="122" t="s">
        <v>640</v>
      </c>
      <c r="CC3" s="124">
        <v>0.12</v>
      </c>
    </row>
    <row r="4" spans="1:81" ht="15" customHeight="1" x14ac:dyDescent="0.25">
      <c r="A4" s="308"/>
      <c r="B4" s="308"/>
      <c r="C4" s="308"/>
      <c r="D4" s="309"/>
      <c r="E4" s="309"/>
      <c r="F4" s="309"/>
      <c r="G4" s="309"/>
      <c r="H4" s="309"/>
      <c r="I4" s="220"/>
      <c r="J4" s="220"/>
      <c r="K4" s="220"/>
      <c r="L4" s="220"/>
      <c r="M4" s="220"/>
      <c r="N4" s="220"/>
      <c r="O4" s="310"/>
      <c r="P4" s="310"/>
      <c r="Q4" s="292"/>
      <c r="U4" s="295" t="s">
        <v>15</v>
      </c>
      <c r="V4" s="295"/>
      <c r="W4" s="295"/>
      <c r="AF4" s="121" t="s">
        <v>34</v>
      </c>
      <c r="AP4" s="125" t="s">
        <v>2</v>
      </c>
      <c r="AV4" s="121" t="s">
        <v>30</v>
      </c>
      <c r="AY4" s="126"/>
      <c r="BT4" s="121" t="s">
        <v>85</v>
      </c>
      <c r="BV4" s="121" t="str">
        <f>SchematyPC!$A34</f>
        <v>C.O. dwa obiegi bez bufora+ C.W.U.</v>
      </c>
      <c r="BW4" s="123" t="str">
        <f>PC!A6</f>
        <v>Panasonic 3kW ALLinONE HP</v>
      </c>
      <c r="BX4" s="121" t="str">
        <f>CWU[[#All],[Nazwa]]</f>
        <v>-</v>
      </c>
      <c r="BY4" s="121" t="str">
        <f>CO[[#All],[producent]]</f>
        <v>Biawar 100</v>
      </c>
      <c r="CA4" s="121" t="str">
        <f>dodatki[[#All],[inne]]</f>
        <v>IBO 25-60 + zawór mieszający</v>
      </c>
      <c r="CB4" s="127" t="s">
        <v>637</v>
      </c>
      <c r="CC4" s="124">
        <v>0.32</v>
      </c>
    </row>
    <row r="5" spans="1:81" ht="18.75" customHeight="1" x14ac:dyDescent="0.25">
      <c r="A5" s="292" t="s">
        <v>194</v>
      </c>
      <c r="B5" s="292"/>
      <c r="C5" s="292"/>
      <c r="D5" s="293">
        <f>Budynek!P41</f>
        <v>18</v>
      </c>
      <c r="E5" s="293"/>
      <c r="F5" s="121" t="s">
        <v>195</v>
      </c>
      <c r="I5" s="308" t="str">
        <f>Budynek!D37</f>
        <v>Powierzchnia ogrzewana</v>
      </c>
      <c r="J5" s="308"/>
      <c r="K5" s="308"/>
      <c r="L5" s="308"/>
      <c r="M5" s="308"/>
      <c r="N5" s="308"/>
      <c r="O5" s="293">
        <f>Budynek!J37</f>
        <v>110</v>
      </c>
      <c r="P5" s="293"/>
      <c r="Q5" s="293"/>
      <c r="R5" s="308" t="s">
        <v>362</v>
      </c>
      <c r="S5" s="308"/>
      <c r="W5" s="121">
        <v>1</v>
      </c>
      <c r="X5" s="278" t="s">
        <v>244</v>
      </c>
      <c r="Y5" s="278"/>
      <c r="Z5" s="278"/>
      <c r="AA5" s="278"/>
      <c r="AB5" s="278"/>
      <c r="AC5" s="278"/>
      <c r="AD5" s="278"/>
      <c r="AF5" s="278" t="s">
        <v>13</v>
      </c>
      <c r="AG5" s="278"/>
      <c r="AH5" s="278"/>
      <c r="AI5" s="128">
        <v>32</v>
      </c>
      <c r="AP5" s="290" t="s">
        <v>590</v>
      </c>
      <c r="AQ5" s="279"/>
      <c r="AR5" s="279"/>
      <c r="AS5" s="279"/>
      <c r="AT5" s="279"/>
      <c r="AU5" s="129"/>
      <c r="AV5" s="130" t="s">
        <v>31</v>
      </c>
      <c r="AW5" s="129"/>
      <c r="AX5" s="129"/>
      <c r="AY5" s="131"/>
      <c r="BA5" s="121" t="s">
        <v>507</v>
      </c>
      <c r="BT5" s="121" t="s">
        <v>605</v>
      </c>
      <c r="BV5" s="121" t="str">
        <f>SchematyPC!$A$50</f>
        <v>C.O. jeden obieg + C.W.U.</v>
      </c>
      <c r="BW5" s="123" t="str">
        <f>PC!A7</f>
        <v>Panasonic 5kW ALLinONE HP</v>
      </c>
      <c r="BX5" s="121" t="str">
        <f>CWU[[#All],[Nazwa]]</f>
        <v>Galmet SGW(S) MAXI 250</v>
      </c>
      <c r="BY5" s="121" t="str">
        <f>CO[[#All],[producent]]</f>
        <v>Biawar 220</v>
      </c>
      <c r="CA5" s="121" t="str">
        <f>dodatki[[#All],[inne]]</f>
        <v>Grundfos Alpha 1 25-60 + zawór mieszający</v>
      </c>
      <c r="CB5" s="132" t="s">
        <v>910</v>
      </c>
    </row>
    <row r="6" spans="1:81" x14ac:dyDescent="0.25">
      <c r="A6" s="292"/>
      <c r="B6" s="292"/>
      <c r="C6" s="292"/>
      <c r="D6" s="293"/>
      <c r="E6" s="293"/>
      <c r="I6" s="308"/>
      <c r="J6" s="308"/>
      <c r="K6" s="308"/>
      <c r="L6" s="308"/>
      <c r="M6" s="308"/>
      <c r="N6" s="308"/>
      <c r="O6" s="293"/>
      <c r="P6" s="293"/>
      <c r="Q6" s="293"/>
      <c r="R6" s="308"/>
      <c r="S6" s="308"/>
      <c r="W6" s="121">
        <v>2</v>
      </c>
      <c r="X6" s="278" t="s">
        <v>77</v>
      </c>
      <c r="Y6" s="278"/>
      <c r="Z6" s="278"/>
      <c r="AA6" s="278"/>
      <c r="AB6" s="278"/>
      <c r="AC6" s="278"/>
      <c r="AD6" s="278"/>
      <c r="BA6" s="121" t="s">
        <v>90</v>
      </c>
      <c r="BT6" s="121" t="s">
        <v>265</v>
      </c>
      <c r="BV6" s="121" t="str">
        <f>SchematyPC!$A$66</f>
        <v>C.O. dwa obiegi + C.W.U.</v>
      </c>
      <c r="BW6" s="123" t="str">
        <f>PC!A8</f>
        <v>Panasonic 7kW ALLinONE HP</v>
      </c>
      <c r="BX6" s="121" t="str">
        <f>CWU[[#All],[Nazwa]]</f>
        <v>Galmet SGW(S) MAXI 300</v>
      </c>
      <c r="BY6" s="121" t="str">
        <f>CO[[#All],[producent]]</f>
        <v>Biawar 300</v>
      </c>
      <c r="CA6" s="121" t="str">
        <f>dodatki[[#All],[inne]]</f>
        <v>IBO 25-60</v>
      </c>
      <c r="CB6" s="201" t="s">
        <v>957</v>
      </c>
    </row>
    <row r="7" spans="1:81" x14ac:dyDescent="0.25">
      <c r="A7" s="292" t="s">
        <v>194</v>
      </c>
      <c r="B7" s="292"/>
      <c r="C7" s="292"/>
      <c r="D7" s="293">
        <f>Budynek!P43</f>
        <v>24</v>
      </c>
      <c r="E7" s="293"/>
      <c r="F7" s="121" t="s">
        <v>195</v>
      </c>
      <c r="BB7" s="128" t="s">
        <v>13</v>
      </c>
      <c r="BC7" s="128">
        <v>28</v>
      </c>
      <c r="BT7" s="121" t="s">
        <v>86</v>
      </c>
      <c r="BV7" s="121" t="str">
        <f>SchematyPC!$A$82</f>
        <v>biwalentny 2 układy + CWU</v>
      </c>
      <c r="BW7" s="123" t="str">
        <f>PC!A9</f>
        <v>Panasonic 9kW ALLinONE HP 1F</v>
      </c>
      <c r="BX7" s="121" t="str">
        <f>CWU[[#All],[Nazwa]]</f>
        <v>Galmet SGW(S) MAXI 400</v>
      </c>
      <c r="BY7" s="121" t="str">
        <f>CO[[#All],[producent]]</f>
        <v>Biawar z 1-węż. 300</v>
      </c>
      <c r="CA7" s="121" t="str">
        <f>dodatki[[#All],[inne]]</f>
        <v>Grundfos Alpha 1 25-60</v>
      </c>
    </row>
    <row r="8" spans="1:81" x14ac:dyDescent="0.25">
      <c r="A8" s="292"/>
      <c r="B8" s="292"/>
      <c r="C8" s="292"/>
      <c r="D8" s="293"/>
      <c r="E8" s="293"/>
      <c r="BT8" s="121" t="s">
        <v>87</v>
      </c>
      <c r="BV8" s="121" t="str">
        <f>SchematyPC!$A$98</f>
        <v>biwalentny 1 układy + CWU</v>
      </c>
      <c r="BW8" s="123" t="str">
        <f>PC!A10</f>
        <v>Panasonic 9kW ALLinONE HP 3F</v>
      </c>
      <c r="BX8" s="121" t="str">
        <f>CWU[[#All],[Nazwa]]</f>
        <v>Galmet SGW(S) MAXI 500</v>
      </c>
      <c r="BY8" s="121" t="str">
        <f>CO[[#All],[producent]]</f>
        <v>Biawar z 1-węż. 500</v>
      </c>
      <c r="CA8" s="121" t="str">
        <f>dodatki[[#All],[inne]]</f>
        <v>---</v>
      </c>
    </row>
    <row r="9" spans="1:81" x14ac:dyDescent="0.25">
      <c r="BA9" s="121" t="s">
        <v>32</v>
      </c>
      <c r="BT9" s="121" t="s">
        <v>80</v>
      </c>
      <c r="BV9" s="121" t="str">
        <f>SchematyPC!$A$114</f>
        <v>biwalentny kombinowany + CWU</v>
      </c>
      <c r="BW9" s="123" t="str">
        <f>PC!A11</f>
        <v>Panasonic 12kW ALLinONE HP 1F</v>
      </c>
      <c r="BX9" s="121" t="str">
        <f>CWU[[#All],[Nazwa]]</f>
        <v>Galmet SGW(S) MAXI PLUS 300</v>
      </c>
      <c r="BY9" s="121" t="str">
        <f>CO[[#All],[producent]]</f>
        <v>Cordivari 200</v>
      </c>
      <c r="CA9" s="121" t="str">
        <f>dodatki[[#All],[inne]]</f>
        <v>Zawór 3-drogowy</v>
      </c>
      <c r="CB9" s="121" t="s">
        <v>950</v>
      </c>
    </row>
    <row r="10" spans="1:81" x14ac:dyDescent="0.25">
      <c r="BB10" s="130" t="s">
        <v>31</v>
      </c>
      <c r="BT10" s="121" t="s">
        <v>266</v>
      </c>
      <c r="BV10" s="121" t="str">
        <f>SchematyPC!$A$130</f>
        <v>Inny</v>
      </c>
      <c r="BW10" s="123" t="str">
        <f>PC!A12</f>
        <v>Panasonic 12kW ALLinONE HP 3F</v>
      </c>
      <c r="BX10" s="121" t="str">
        <f>CWU[[#All],[Nazwa]]</f>
        <v>Galmet SGW(S) MAXI PLUS 400</v>
      </c>
      <c r="BY10" s="121" t="str">
        <f>CO[[#All],[producent]]</f>
        <v>Cordivari 300</v>
      </c>
      <c r="CA10" s="121" t="str">
        <f>dodatki[[#All],[inne]]</f>
        <v>Separator Zanieczyszczeń</v>
      </c>
      <c r="CB10" s="147">
        <v>0.08</v>
      </c>
    </row>
    <row r="11" spans="1:81" x14ac:dyDescent="0.25">
      <c r="BT11" s="121" t="s">
        <v>88</v>
      </c>
      <c r="BW11" s="123" t="str">
        <f>PC!A13</f>
        <v>Panasonic 16kW ALLinONE HP 1F</v>
      </c>
      <c r="BX11" s="121" t="str">
        <f>CWU[[#All],[Nazwa]]</f>
        <v>Galmet SGW(S) MAXI PLUS 500</v>
      </c>
      <c r="BY11" s="121" t="str">
        <f>CO[[#All],[producent]]</f>
        <v>Cordivari 500</v>
      </c>
      <c r="CA11" s="121" t="str">
        <f>dodatki[[#All],[inne]]</f>
        <v>Adapter sieciowy Smart Cloud</v>
      </c>
      <c r="CB11" s="147">
        <v>0.23</v>
      </c>
    </row>
    <row r="12" spans="1:81" x14ac:dyDescent="0.25">
      <c r="BT12" s="121" t="s">
        <v>71</v>
      </c>
      <c r="BW12" s="123" t="str">
        <f>PC!A14</f>
        <v>Panasonic 16kW ALLinONE HP 3F</v>
      </c>
      <c r="BX12" s="121" t="str">
        <f>CWU[[#All],[Nazwa]]</f>
        <v>Sunex Fish S15 PC 200</v>
      </c>
      <c r="BY12" s="121" t="str">
        <f>CO[[#All],[producent]]</f>
        <v>Sunex S4 300</v>
      </c>
      <c r="CA12" s="121" t="str">
        <f>dodatki[[#All],[inne]]</f>
        <v>pompa cyrk. Omnigena</v>
      </c>
      <c r="CB12" s="147">
        <v>0</v>
      </c>
    </row>
    <row r="13" spans="1:81" x14ac:dyDescent="0.25">
      <c r="BA13" s="121" t="s">
        <v>91</v>
      </c>
      <c r="BT13" s="121" t="s">
        <v>356</v>
      </c>
      <c r="BW13" s="123" t="str">
        <f>PC!A15</f>
        <v>Panasonic 9kW ALLinONE TCAP 1F</v>
      </c>
      <c r="BX13" s="121" t="str">
        <f>CWU[[#All],[Nazwa]]</f>
        <v>Sunex Fish S15 PC 300</v>
      </c>
      <c r="BY13" s="121" t="str">
        <f>CO[[#All],[producent]]</f>
        <v>Sunex S4 200</v>
      </c>
      <c r="CA13" s="121" t="str">
        <f>dodatki[[#All],[inne]]</f>
        <v>pompa cyrk. Grunfos</v>
      </c>
    </row>
    <row r="14" spans="1:81" x14ac:dyDescent="0.25">
      <c r="BB14" s="128" t="s">
        <v>13</v>
      </c>
      <c r="BC14" s="128">
        <v>28</v>
      </c>
      <c r="BT14" s="121" t="s">
        <v>357</v>
      </c>
      <c r="BW14" s="123" t="str">
        <f>PC!A16</f>
        <v>Panasonic 9kW ALLinONE HP 3F</v>
      </c>
      <c r="BX14" s="121" t="str">
        <f>CWU[[#All],[Nazwa]]</f>
        <v>Sunex Fish S15 PC 400</v>
      </c>
      <c r="BY14" s="121" t="str">
        <f>CO[[#All],[producent]]</f>
        <v>Sunex S4 500</v>
      </c>
      <c r="CA14" s="121" t="str">
        <f>dodatki[[#All],[inne]]</f>
        <v>pompa cyrkulacyjna Wilo</v>
      </c>
    </row>
    <row r="15" spans="1:81" x14ac:dyDescent="0.25">
      <c r="BA15" s="121" t="s">
        <v>16</v>
      </c>
      <c r="BT15" s="121" t="s">
        <v>358</v>
      </c>
      <c r="BW15" s="123" t="str">
        <f>PC!A17</f>
        <v>Panasonic 12kW ALLinONE TCAP 1F</v>
      </c>
      <c r="BX15" s="121" t="str">
        <f>CWU[[#All],[Nazwa]]</f>
        <v>Sunex Fish S16 PC 300</v>
      </c>
      <c r="BY15" s="121" t="str">
        <f>CO[[#All],[producent]]</f>
        <v>Sunex 1W 300</v>
      </c>
      <c r="CA15" s="121" t="str">
        <f>dodatki[[#All],[inne]]</f>
        <v>Wymiennik płytowy 30kW z izolacją</v>
      </c>
    </row>
    <row r="16" spans="1:81" x14ac:dyDescent="0.25">
      <c r="BA16" s="121" t="s">
        <v>92</v>
      </c>
      <c r="BB16" s="278" t="s">
        <v>5</v>
      </c>
      <c r="BC16" s="278"/>
      <c r="BT16" s="121" t="s">
        <v>8</v>
      </c>
      <c r="BW16" s="123" t="str">
        <f>PC!A18</f>
        <v>Panasonic 12kW ALLinONE TCAP 3F</v>
      </c>
      <c r="BX16" s="121" t="str">
        <f>CWU[[#All],[Nazwa]]</f>
        <v>Sunex Fish S16 PC 400</v>
      </c>
      <c r="BY16" s="121" t="str">
        <f>CO[[#All],[producent]]</f>
        <v>Volano Termico PDC</v>
      </c>
      <c r="CA16" s="121" t="str">
        <f>dodatki[[#All],[inne]]</f>
        <v>Zawór schładzający Regulus DBV</v>
      </c>
    </row>
    <row r="17" spans="52:79" x14ac:dyDescent="0.25">
      <c r="BB17" s="121" t="s">
        <v>105</v>
      </c>
      <c r="BC17" s="121">
        <f>VLOOKUP(AP5,CWU[#Data],MATCH("L",CWU[#Headers],0),FALSE)*0.08</f>
        <v>15.36</v>
      </c>
      <c r="BT17" s="121" t="s">
        <v>89</v>
      </c>
      <c r="BW17" s="123" t="str">
        <f>PC!A19</f>
        <v>Panasonic 16kW ALLinONE TCAP</v>
      </c>
      <c r="BX17" s="121" t="str">
        <f>CWU[[#All],[Nazwa]]</f>
        <v>Sunex Fish S15 PC 300lx2</v>
      </c>
      <c r="BY17" s="121" t="str">
        <f>CO[[#All],[producent]]</f>
        <v>Kospel SV-200</v>
      </c>
      <c r="CA17" s="121" t="str">
        <f>dodatki[[#All],[inne]]</f>
        <v>Licznik ciepła SuperCal 739</v>
      </c>
    </row>
    <row r="18" spans="52:79" x14ac:dyDescent="0.25">
      <c r="BT18" s="121" t="s">
        <v>13</v>
      </c>
      <c r="BW18" s="123" t="str">
        <f>PC!A20</f>
        <v>Panasonic 9kW  T-CAP 1F</v>
      </c>
      <c r="BX18" s="121" t="str">
        <f>CWU[[#All],[Nazwa]]</f>
        <v>Sunex Fish S15 PC 300lx3</v>
      </c>
      <c r="BY18" s="121" t="str">
        <f>CO[[#All],[producent]]</f>
        <v>Kospel SWVPC 200/100</v>
      </c>
      <c r="CA18" s="121" t="str">
        <f>dodatki[[#All],[inne]]</f>
        <v>Sprzęgło hydrauliczne Afriso BLH 850</v>
      </c>
    </row>
    <row r="19" spans="52:79" x14ac:dyDescent="0.25">
      <c r="BD19" s="133"/>
      <c r="BT19" s="121" t="s">
        <v>356</v>
      </c>
      <c r="BW19" s="123" t="str">
        <f>PC!A21</f>
        <v>Panasonic 9kW  T-CAP 3F</v>
      </c>
      <c r="BX19" s="121" t="str">
        <f>CWU[[#All],[Nazwa]]</f>
        <v>Cordivari Bolly2 200</v>
      </c>
      <c r="BY19" s="121" t="str">
        <f>CO[[#All],[producent]]</f>
        <v>Biawar BUZ 500/300.93N</v>
      </c>
      <c r="CA19" s="121" t="str">
        <f>dodatki[[#All],[inne]]</f>
        <v>Nacz.Przep. 24l</v>
      </c>
    </row>
    <row r="20" spans="52:79" x14ac:dyDescent="0.25">
      <c r="BT20" s="121" t="s">
        <v>357</v>
      </c>
      <c r="BW20" s="123" t="str">
        <f>PC!A22</f>
        <v>Panasonic 12kW  T-CAP 3F</v>
      </c>
      <c r="BX20" s="121" t="str">
        <f>CWU[[#All],[Nazwa]]</f>
        <v>Cordivari Bolly2 300</v>
      </c>
      <c r="BY20" s="121" t="str">
        <f>CO[[#All],[producent]]</f>
        <v>Mitsubishi PS-200</v>
      </c>
      <c r="CA20" s="121" t="str">
        <f>dodatki[[#All],[inne]]</f>
        <v>Nacz.Przep. 35l</v>
      </c>
    </row>
    <row r="21" spans="52:79" x14ac:dyDescent="0.25">
      <c r="BT21" s="121" t="s">
        <v>358</v>
      </c>
      <c r="BW21" s="123" t="str">
        <f>PC!A23</f>
        <v>Panasonic 16kW T-CAP 3F</v>
      </c>
      <c r="BX21" s="121" t="str">
        <f>CWU[[#All],[Nazwa]]</f>
        <v>Cordivari Bolly1 XL</v>
      </c>
      <c r="BY21" s="121" t="str">
        <f>CO[[#All],[producent]]</f>
        <v xml:space="preserve"> TRINNITY BW 100</v>
      </c>
      <c r="CA21" s="121" t="str">
        <f>dodatki[[#All],[inne]]</f>
        <v>Zawór mieszający z siłownikiem Afriso ARV 384 + ARM 343</v>
      </c>
    </row>
    <row r="22" spans="52:79" x14ac:dyDescent="0.25">
      <c r="BB22" s="121" t="s">
        <v>26</v>
      </c>
      <c r="BC22" s="121" t="s">
        <v>27</v>
      </c>
      <c r="BD22" s="121" t="s">
        <v>28</v>
      </c>
      <c r="BT22" s="121" t="s">
        <v>358</v>
      </c>
      <c r="BW22" s="123" t="str">
        <f>PC!A24</f>
        <v>Panasonic HP 3kW</v>
      </c>
      <c r="BX22" s="121" t="str">
        <f>CWU[[#All],[Nazwa]]</f>
        <v>Galmet SG(B) 400</v>
      </c>
      <c r="BY22" s="121" t="str">
        <f>CO[[#All],[producent]]</f>
        <v xml:space="preserve"> TRINNITY ZB 200</v>
      </c>
      <c r="CA22" s="121" t="str">
        <f>dodatki[[#All],[inne]]</f>
        <v>Zawór mieszający termostatyczny Afriso ATM 561</v>
      </c>
    </row>
    <row r="23" spans="52:79" x14ac:dyDescent="0.25">
      <c r="AZ23" s="121" t="s">
        <v>20</v>
      </c>
      <c r="BB23" s="128" t="s">
        <v>24</v>
      </c>
      <c r="BC23" s="128" t="s">
        <v>74</v>
      </c>
      <c r="BD23" s="128" t="s">
        <v>31</v>
      </c>
      <c r="BE23" s="143"/>
      <c r="BF23" s="143"/>
      <c r="BW23" s="123" t="str">
        <f>PC!A25</f>
        <v>Panasonic HP 5kW</v>
      </c>
      <c r="BX23" s="121" t="str">
        <f>CWU[[#All],[Nazwa]]</f>
        <v>Galmet SGW(S) Tower 200</v>
      </c>
      <c r="BY23" s="121" t="str">
        <f>CO[[#All],[producent]]</f>
        <v xml:space="preserve"> TRINNITY ZB 300</v>
      </c>
      <c r="CA23" s="121" t="str">
        <f>dodatki[[#All],[inne]]</f>
        <v xml:space="preserve">Zawory do pompy monoblok Calefi </v>
      </c>
    </row>
    <row r="24" spans="52:79" x14ac:dyDescent="0.25">
      <c r="AZ24" s="121" t="s">
        <v>21</v>
      </c>
      <c r="BB24" s="128" t="s">
        <v>24</v>
      </c>
      <c r="BC24" s="128" t="s">
        <v>74</v>
      </c>
      <c r="BD24" s="128" t="s">
        <v>31</v>
      </c>
      <c r="BE24" s="143"/>
      <c r="BF24" s="143"/>
      <c r="BW24" s="123" t="str">
        <f>PC!A26</f>
        <v>Panasonic HP 7kW</v>
      </c>
      <c r="BX24" s="121" t="str">
        <f>CWU[[#All],[Nazwa]]</f>
        <v>Galmet SGW(S) Tower 250</v>
      </c>
      <c r="BY24" s="121" t="str">
        <f>CO[[#All],[producent]]</f>
        <v xml:space="preserve"> TRINNITY ZB 500</v>
      </c>
      <c r="CA24" s="121" t="str">
        <f>dodatki[[#All],[inne]]</f>
        <v xml:space="preserve">Zestaw podłączenia 2 strefy Panasonic </v>
      </c>
    </row>
    <row r="25" spans="52:79" x14ac:dyDescent="0.25">
      <c r="AZ25" s="121" t="s">
        <v>22</v>
      </c>
      <c r="BB25" s="128" t="s">
        <v>74</v>
      </c>
      <c r="BC25" s="128" t="s">
        <v>74</v>
      </c>
      <c r="BD25" s="128" t="s">
        <v>74</v>
      </c>
      <c r="BE25" s="143"/>
      <c r="BF25" s="143"/>
      <c r="BW25" s="123" t="str">
        <f>PC!A27</f>
        <v>Panasonic HP 9kW 1F</v>
      </c>
      <c r="BX25" s="121" t="str">
        <f>CWU[[#All],[Nazwa]]</f>
        <v>Galmet SGW(S) Tower 300</v>
      </c>
      <c r="BY25" s="121" t="str">
        <f>CO[[#All],[producent]]</f>
        <v xml:space="preserve">Galmet 300l </v>
      </c>
      <c r="CA25" s="121" t="str">
        <f>dodatki[[#All],[inne]]</f>
        <v>Panasonic CZ-NS4P płyta rozszerzeń</v>
      </c>
    </row>
    <row r="26" spans="52:79" x14ac:dyDescent="0.25">
      <c r="AZ26" s="121" t="s">
        <v>23</v>
      </c>
      <c r="BB26" s="128" t="s">
        <v>74</v>
      </c>
      <c r="BC26" s="128" t="s">
        <v>74</v>
      </c>
      <c r="BD26" s="128" t="s">
        <v>74</v>
      </c>
      <c r="BE26" s="143"/>
      <c r="BF26" s="143"/>
      <c r="BW26" s="123" t="str">
        <f>PC!A28</f>
        <v>Panasonic HP 9kW 3F</v>
      </c>
      <c r="BX26" s="121" t="str">
        <f>CWU[[#All],[Nazwa]]</f>
        <v>Galmet SGW(S) Tower 400</v>
      </c>
      <c r="BY26" s="121" t="str">
        <f>CO[[#All],[producent]]</f>
        <v>Galmet 200l</v>
      </c>
      <c r="CA26" s="121" t="str">
        <f>dodatki[[#All],[inne]]</f>
        <v>Panasonic PAW-A2W-TSOD czujnik temperatury zewnętrznej</v>
      </c>
    </row>
    <row r="27" spans="52:79" x14ac:dyDescent="0.25">
      <c r="BW27" s="123" t="str">
        <f>PC!A29</f>
        <v>Panasonic HP 12kW 1F</v>
      </c>
      <c r="BX27" s="121" t="str">
        <f>CWU[[#All],[Nazwa]]</f>
        <v>Galmet SGW(S) Tower 500</v>
      </c>
      <c r="BY27" s="121" t="str">
        <f>CO[[#All],[producent]]</f>
        <v>OEM CERAMIC 200</v>
      </c>
      <c r="CA27" s="121" t="str">
        <f>dodatki[[#All],[inne]]</f>
        <v>Materiały przyłączeniowe Miedź PRESS</v>
      </c>
    </row>
    <row r="28" spans="52:79" x14ac:dyDescent="0.25">
      <c r="BW28" s="123" t="str">
        <f>PC!A30</f>
        <v>Panasonic HP 12kW 3F</v>
      </c>
      <c r="BX28" s="121" t="str">
        <f>CWU[[#All],[Nazwa]]</f>
        <v>Galmet SGW(S) Mini Tower 100</v>
      </c>
      <c r="BY28" s="121" t="str">
        <f>CO[[#All],[producent]]</f>
        <v>OEM CERAMIC 300</v>
      </c>
      <c r="CA28" s="121" t="str">
        <f>dodatki[[#All],[inne]]</f>
        <v>Materiały przyłączeniowe Stal PRESS</v>
      </c>
    </row>
    <row r="29" spans="52:79" x14ac:dyDescent="0.25">
      <c r="BB29" s="291" t="s">
        <v>82</v>
      </c>
      <c r="BC29" s="291"/>
      <c r="BD29" s="291"/>
      <c r="BE29" s="121" t="s">
        <v>0</v>
      </c>
      <c r="BW29" s="123" t="str">
        <f>PC!A31</f>
        <v>Panasonic HP 16kW 1F</v>
      </c>
      <c r="BX29" s="121" t="str">
        <f>CWU[[#All],[Nazwa]]</f>
        <v>Galmet SGW(S) Mini Tower 120</v>
      </c>
      <c r="BY29" s="121" t="str">
        <f>CO[[#All],[producent]]</f>
        <v>OEM CERAMIC 400</v>
      </c>
      <c r="CA29" s="121" t="str">
        <f>dodatki[[#All],[inne]]</f>
        <v>Materiały przyłączeniowe PP</v>
      </c>
    </row>
    <row r="30" spans="52:79" x14ac:dyDescent="0.25">
      <c r="BA30" s="121">
        <v>1</v>
      </c>
      <c r="BB30" s="278" t="s">
        <v>975</v>
      </c>
      <c r="BC30" s="278"/>
      <c r="BD30" s="278"/>
      <c r="BE30" s="128">
        <v>1</v>
      </c>
      <c r="BW30" s="123" t="str">
        <f>PC!A32</f>
        <v>Panasonic HP 16kW 3F</v>
      </c>
      <c r="BX30" s="121" t="str">
        <f>CWU[[#All],[Nazwa]]</f>
        <v>Galmet SGW(S) Mini Tower 140</v>
      </c>
      <c r="BY30" s="121" t="str">
        <f>CO[[#All],[producent]]</f>
        <v>OEM CERAMIC 500</v>
      </c>
      <c r="CA30" s="121" t="str">
        <f>dodatki[[#All],[inne]]</f>
        <v>Podstawa pompy ciepła Big Foot</v>
      </c>
    </row>
    <row r="31" spans="52:79" x14ac:dyDescent="0.25">
      <c r="BA31" s="121">
        <v>2</v>
      </c>
      <c r="BB31" s="278" t="s">
        <v>74</v>
      </c>
      <c r="BC31" s="278"/>
      <c r="BD31" s="278"/>
      <c r="BE31" s="128">
        <v>0</v>
      </c>
      <c r="BW31" s="123" t="str">
        <f>PC!A33</f>
        <v>Panasonic HP 3kW "seria K"</v>
      </c>
      <c r="BX31" s="121" t="str">
        <f>CWU[[#All],[Nazwa]]</f>
        <v>Galmet SGW(S)B Tower Biwal 200</v>
      </c>
      <c r="BY31" s="121" t="str">
        <f>CO[[#All],[producent]]</f>
        <v>Panasonic 50l</v>
      </c>
      <c r="CA31" s="121" t="str">
        <f>dodatki[[#All],[inne]]</f>
        <v>Podstawa pompy ciepła betonowa</v>
      </c>
    </row>
    <row r="32" spans="52:79" x14ac:dyDescent="0.25">
      <c r="BA32" s="121">
        <v>3</v>
      </c>
      <c r="BB32" s="278" t="s">
        <v>74</v>
      </c>
      <c r="BC32" s="278"/>
      <c r="BD32" s="278"/>
      <c r="BE32" s="128">
        <v>0</v>
      </c>
      <c r="BW32" s="123" t="str">
        <f>PC!A34</f>
        <v>Panasonic HP 5kW "seria K"</v>
      </c>
      <c r="BX32" s="121" t="str">
        <f>CWU[[#All],[Nazwa]]</f>
        <v>Galmet SGW(S)B Tower Biwal 250</v>
      </c>
      <c r="BY32" s="121" t="str">
        <f>CO[[#All],[producent]]</f>
        <v>Panasonic 100l</v>
      </c>
      <c r="CA32" s="121">
        <f>dodatki[[#All],[inne]]</f>
        <v>0</v>
      </c>
    </row>
    <row r="33" spans="1:79" x14ac:dyDescent="0.25">
      <c r="BA33" s="121">
        <v>4</v>
      </c>
      <c r="BB33" s="278" t="s">
        <v>74</v>
      </c>
      <c r="BC33" s="278"/>
      <c r="BD33" s="278"/>
      <c r="BE33" s="128">
        <v>0</v>
      </c>
      <c r="BW33" s="123" t="str">
        <f>PC!A35</f>
        <v>Panasonic HP 7kW "seria K"</v>
      </c>
      <c r="BX33" s="121" t="str">
        <f>CWU[[#All],[Nazwa]]</f>
        <v>Galmet SGW(S)B Tower Biwal 300</v>
      </c>
      <c r="BY33" s="121" t="str">
        <f>CO[[#All],[producent]]</f>
        <v>Panasonic 200l</v>
      </c>
      <c r="CA33" s="121">
        <f>dodatki[[#All],[inne]]</f>
        <v>0</v>
      </c>
    </row>
    <row r="34" spans="1:79" x14ac:dyDescent="0.25">
      <c r="AH34" s="121" t="s">
        <v>17</v>
      </c>
      <c r="AI34" s="121" t="s">
        <v>16</v>
      </c>
      <c r="AN34" s="121" t="s">
        <v>19</v>
      </c>
      <c r="AO34" s="121" t="s">
        <v>18</v>
      </c>
      <c r="BA34" s="121">
        <v>5</v>
      </c>
      <c r="BB34" s="278" t="s">
        <v>74</v>
      </c>
      <c r="BC34" s="278"/>
      <c r="BD34" s="278"/>
      <c r="BE34" s="128">
        <v>0</v>
      </c>
      <c r="BW34" s="123" t="str">
        <f>PC!A36</f>
        <v>Panasonic HP 9kW "seria K"</v>
      </c>
      <c r="BX34" s="121" t="str">
        <f>CWU[[#All],[Nazwa]]</f>
        <v>Galmet SGW(S)B Tower Biwal 400</v>
      </c>
      <c r="BY34" s="121" t="str">
        <f>CO[[#All],[producent]]</f>
        <v>Panasonic 300l</v>
      </c>
      <c r="CA34" s="121">
        <f>dodatki[[#All],[inne]]</f>
        <v>0</v>
      </c>
    </row>
    <row r="35" spans="1:79" x14ac:dyDescent="0.25">
      <c r="AI35" s="278" t="s">
        <v>5</v>
      </c>
      <c r="AJ35" s="278"/>
      <c r="AK35" s="278"/>
      <c r="AL35" s="278"/>
      <c r="AO35" s="278" t="s">
        <v>77</v>
      </c>
      <c r="AP35" s="278"/>
      <c r="AQ35" s="278"/>
      <c r="AR35" s="278"/>
      <c r="BW35" s="123" t="str">
        <f>PC!A37</f>
        <v>Panasonic HP 3kW "seria K" All in One</v>
      </c>
      <c r="BX35" s="121" t="str">
        <f>CWU[[#All],[Nazwa]]</f>
        <v>Joule Cyclone INOX 2W 200l</v>
      </c>
      <c r="BY35" s="121" t="str">
        <f>CO[[#All],[producent]]</f>
        <v>Galmet (wiszący) 60</v>
      </c>
      <c r="CA35" s="121">
        <f>dodatki[[#All],[inne]]</f>
        <v>0</v>
      </c>
    </row>
    <row r="36" spans="1:79" x14ac:dyDescent="0.25">
      <c r="B36" s="121" t="s">
        <v>198</v>
      </c>
      <c r="G36" s="317">
        <f>SUM(wykres!B37:B48)*E40</f>
        <v>1820.7033359643799</v>
      </c>
      <c r="H36" s="317"/>
      <c r="I36" s="134" t="s">
        <v>199</v>
      </c>
      <c r="J36" s="317">
        <f>SUM(wykres!B37:B48)</f>
        <v>1979.0253651786738</v>
      </c>
      <c r="K36" s="317"/>
      <c r="L36" s="121" t="s">
        <v>196</v>
      </c>
      <c r="AI36" s="121" t="s">
        <v>105</v>
      </c>
      <c r="AJ36" s="121">
        <f>VLOOKUP(AO35,CO[#Data],MATCH("l",CO[#Headers],0),FALSE)*0.08</f>
        <v>0</v>
      </c>
      <c r="AK36" s="121" t="s">
        <v>107</v>
      </c>
      <c r="BW36" s="123" t="str">
        <f>PC!A38</f>
        <v>Panasonic HP 5kW "seria K" All in One</v>
      </c>
      <c r="BX36" s="121" t="str">
        <f>CWU[[#All],[Nazwa]]</f>
        <v>Joule Cyclone INOX 2W 250l</v>
      </c>
      <c r="BY36" s="121" t="str">
        <f>CO[[#All],[producent]]</f>
        <v>Galmet (wiszący) 100</v>
      </c>
      <c r="CA36" s="121">
        <f>dodatki[[#All],[inne]]</f>
        <v>0</v>
      </c>
    </row>
    <row r="37" spans="1:79" x14ac:dyDescent="0.25">
      <c r="B37" s="121" t="s">
        <v>200</v>
      </c>
      <c r="G37" s="317">
        <f>SUM(wykres!B51:B62)*E40</f>
        <v>0</v>
      </c>
      <c r="H37" s="317"/>
      <c r="I37" s="134" t="s">
        <v>199</v>
      </c>
      <c r="J37" s="317">
        <f>SUM(wykres!B51:B62)</f>
        <v>0</v>
      </c>
      <c r="K37" s="317"/>
      <c r="L37" s="121" t="s">
        <v>196</v>
      </c>
      <c r="BW37" s="123" t="str">
        <f>PC!A39</f>
        <v>Panasonic HP 7kW "seria K"  All in One</v>
      </c>
      <c r="BX37" s="121" t="str">
        <f>CWU[[#All],[Nazwa]]</f>
        <v>Joule Cyclone INOX 2W 300l</v>
      </c>
      <c r="BY37" s="121" t="str">
        <f>CO[[#All],[producent]]</f>
        <v>Galmet 200l</v>
      </c>
      <c r="CA37" s="121">
        <f>dodatki[[#All],[inne]]</f>
        <v>0</v>
      </c>
    </row>
    <row r="38" spans="1:79" x14ac:dyDescent="0.25">
      <c r="B38" s="121" t="s">
        <v>394</v>
      </c>
      <c r="G38" s="317">
        <f>SUM(wykres!B65:B76)*E40</f>
        <v>211.37473827107448</v>
      </c>
      <c r="H38" s="317"/>
      <c r="I38" s="134" t="s">
        <v>199</v>
      </c>
      <c r="J38" s="317">
        <f>SUM(wykres!B65:B76)</f>
        <v>229.75515029464617</v>
      </c>
      <c r="K38" s="317"/>
      <c r="L38" s="121" t="s">
        <v>196</v>
      </c>
      <c r="BW38" s="123" t="str">
        <f>PC!A40</f>
        <v>Panasonic HP 9kW "seria K"  All in One</v>
      </c>
      <c r="BX38" s="121" t="str">
        <f>CWU[[#All],[Nazwa]]</f>
        <v>Joule Cyclone INOX 1W 200l</v>
      </c>
      <c r="BY38" s="121" t="str">
        <f>CO[[#All],[producent]]</f>
        <v>Galmet 300l</v>
      </c>
      <c r="CA38" s="121" t="e">
        <f>dodatki[[#All],[inne]]</f>
        <v>#VALUE!</v>
      </c>
    </row>
    <row r="39" spans="1:79" x14ac:dyDescent="0.25">
      <c r="B39" s="121" t="s">
        <v>201</v>
      </c>
      <c r="G39" s="317">
        <f>SUM(G36:H38)</f>
        <v>2032.0780742354543</v>
      </c>
      <c r="H39" s="317"/>
      <c r="I39" s="134" t="s">
        <v>199</v>
      </c>
      <c r="J39" s="317">
        <f>SUM(J36:K38)</f>
        <v>2208.7805154733201</v>
      </c>
      <c r="K39" s="317"/>
      <c r="L39" s="121" t="s">
        <v>196</v>
      </c>
      <c r="M39" s="291" t="s">
        <v>208</v>
      </c>
      <c r="N39" s="291"/>
      <c r="O39" s="318">
        <f>wykres!B82</f>
        <v>3.649475508160922</v>
      </c>
      <c r="P39" s="318"/>
      <c r="BW39" s="123" t="str">
        <f>PC!A41</f>
        <v>Panasonic HP 5kW "seria L"</v>
      </c>
      <c r="BX39" s="121" t="str">
        <f>CWU[[#All],[Nazwa]]</f>
        <v>Joule Cyclone INOX 1W 250l</v>
      </c>
      <c r="BY39" s="121" t="str">
        <f>CO[[#All],[producent]]</f>
        <v>Galmet 400l</v>
      </c>
      <c r="CA39" s="121" t="e">
        <f>dodatki[[#All],[inne]]</f>
        <v>#VALUE!</v>
      </c>
    </row>
    <row r="40" spans="1:79" x14ac:dyDescent="0.25">
      <c r="B40" s="121" t="s">
        <v>388</v>
      </c>
      <c r="E40" s="123">
        <v>0.92</v>
      </c>
      <c r="F40" s="121" t="s">
        <v>199</v>
      </c>
      <c r="BW40" s="123" t="str">
        <f>PC!A42</f>
        <v>Panasonic HP 7kW "seria L"</v>
      </c>
      <c r="BX40" s="121" t="str">
        <f>CWU[[#All],[Nazwa]]</f>
        <v>Joule Cyclone INOX 1W 300l</v>
      </c>
      <c r="BY40" s="121" t="str">
        <f>CO[[#All],[producent]]</f>
        <v>Galmet 500l</v>
      </c>
      <c r="CA40" s="121" t="e">
        <f>dodatki[[#All],[inne]]</f>
        <v>#VALUE!</v>
      </c>
    </row>
    <row r="41" spans="1:79" x14ac:dyDescent="0.25">
      <c r="A41" s="121">
        <v>1</v>
      </c>
      <c r="B41" s="121">
        <v>2</v>
      </c>
      <c r="C41" s="121">
        <v>3</v>
      </c>
      <c r="D41" s="121">
        <v>4</v>
      </c>
      <c r="E41" s="121">
        <v>5</v>
      </c>
      <c r="F41" s="121">
        <v>6</v>
      </c>
      <c r="G41" s="121">
        <v>7</v>
      </c>
      <c r="H41" s="121">
        <v>8</v>
      </c>
      <c r="I41" s="121">
        <v>9</v>
      </c>
      <c r="J41" s="121">
        <v>10</v>
      </c>
      <c r="K41" s="121">
        <v>11</v>
      </c>
      <c r="L41" s="121">
        <v>12</v>
      </c>
      <c r="M41" s="121">
        <v>13</v>
      </c>
      <c r="N41" s="121">
        <v>14</v>
      </c>
      <c r="O41" s="121">
        <v>15</v>
      </c>
      <c r="P41" s="121">
        <v>16</v>
      </c>
      <c r="Q41" s="121">
        <v>17</v>
      </c>
      <c r="R41" s="121">
        <v>18</v>
      </c>
      <c r="S41" s="121">
        <v>19</v>
      </c>
      <c r="T41" s="121">
        <v>20</v>
      </c>
      <c r="U41" s="121">
        <v>21</v>
      </c>
      <c r="V41" s="121">
        <v>22</v>
      </c>
      <c r="W41" s="121">
        <v>23</v>
      </c>
      <c r="X41" s="121">
        <v>24</v>
      </c>
      <c r="Y41" s="121">
        <v>25</v>
      </c>
      <c r="Z41" s="121">
        <v>26</v>
      </c>
      <c r="AA41" s="121">
        <v>27</v>
      </c>
      <c r="AB41" s="121">
        <v>28</v>
      </c>
      <c r="AC41" s="121">
        <v>29</v>
      </c>
      <c r="AD41" s="121">
        <v>30</v>
      </c>
      <c r="AE41" s="121">
        <v>31</v>
      </c>
      <c r="AF41" s="121">
        <v>32</v>
      </c>
      <c r="AG41" s="121">
        <v>33</v>
      </c>
      <c r="AH41" s="121">
        <v>34</v>
      </c>
      <c r="AI41" s="121">
        <v>35</v>
      </c>
      <c r="AJ41" s="121">
        <v>36</v>
      </c>
      <c r="AK41" s="121">
        <v>37</v>
      </c>
      <c r="AL41" s="121">
        <v>38</v>
      </c>
      <c r="AM41" s="121">
        <v>39</v>
      </c>
      <c r="AN41" s="121">
        <v>40</v>
      </c>
      <c r="AO41" s="121">
        <v>41</v>
      </c>
      <c r="AP41" s="121">
        <v>42</v>
      </c>
      <c r="AQ41" s="121">
        <v>43</v>
      </c>
      <c r="AR41" s="121">
        <v>44</v>
      </c>
      <c r="AS41" s="121">
        <v>45</v>
      </c>
      <c r="AT41" s="121">
        <v>46</v>
      </c>
      <c r="AU41" s="121">
        <v>47</v>
      </c>
      <c r="AV41" s="121">
        <v>48</v>
      </c>
      <c r="AW41" s="121">
        <v>49</v>
      </c>
      <c r="AX41" s="121">
        <v>50</v>
      </c>
      <c r="AY41" s="121">
        <v>51</v>
      </c>
      <c r="AZ41" s="121">
        <v>52</v>
      </c>
      <c r="BA41" s="121">
        <v>53</v>
      </c>
      <c r="BB41" s="121">
        <v>54</v>
      </c>
      <c r="BC41" s="121">
        <v>55</v>
      </c>
      <c r="BD41" s="121">
        <v>56</v>
      </c>
      <c r="BE41" s="121">
        <v>57</v>
      </c>
      <c r="BF41" s="121">
        <v>58</v>
      </c>
      <c r="BG41" s="121">
        <v>59</v>
      </c>
      <c r="BH41" s="121">
        <v>60</v>
      </c>
      <c r="BI41" s="121">
        <v>61</v>
      </c>
      <c r="BJ41" s="121">
        <v>62</v>
      </c>
      <c r="BK41" s="121">
        <v>63</v>
      </c>
      <c r="BL41" s="121">
        <v>64</v>
      </c>
      <c r="BM41" s="121">
        <v>65</v>
      </c>
      <c r="BN41" s="121">
        <v>66</v>
      </c>
      <c r="BO41" s="121">
        <v>67</v>
      </c>
      <c r="BP41" s="121">
        <v>68</v>
      </c>
      <c r="BQ41" s="121">
        <v>69</v>
      </c>
      <c r="BR41" s="121">
        <v>70</v>
      </c>
      <c r="BS41" s="121">
        <v>71</v>
      </c>
      <c r="BT41" s="121">
        <v>72</v>
      </c>
      <c r="BW41" s="123" t="str">
        <f>PC!A43</f>
        <v>Panasonic HP 9kW "seria L"</v>
      </c>
      <c r="BX41" s="121" t="str">
        <f>CWU[[#All],[Nazwa]]</f>
        <v>Joule Cyclone INOX 1W 300l NFC</v>
      </c>
      <c r="BY41" s="121" t="str">
        <f>CO[[#All],[producent]]</f>
        <v>Kospel SVK-100</v>
      </c>
      <c r="CA41" s="121" t="e">
        <f>dodatki[[#All],[inne]]</f>
        <v>#VALUE!</v>
      </c>
    </row>
    <row r="42" spans="1:79" x14ac:dyDescent="0.25">
      <c r="G42" s="277" t="s">
        <v>377</v>
      </c>
      <c r="H42" s="277"/>
      <c r="I42" s="277"/>
      <c r="J42" s="278">
        <v>20</v>
      </c>
      <c r="K42" s="278"/>
      <c r="BW42" s="123" t="str">
        <f>PC!A44</f>
        <v>Panasonic T-CAP 9kW "seria K" 1f</v>
      </c>
      <c r="BX42" s="121" t="str">
        <f>CWU[[#All],[Nazwa]]</f>
        <v>EXPLORER AI COIL 270</v>
      </c>
      <c r="BY42" s="121" t="str">
        <f>CO[[#All],[producent]]</f>
        <v>Kospel SV-200</v>
      </c>
      <c r="CA42" s="121" t="e">
        <f>dodatki[[#All],[inne]]</f>
        <v>#VALUE!</v>
      </c>
    </row>
    <row r="43" spans="1:79" x14ac:dyDescent="0.25">
      <c r="G43" s="277"/>
      <c r="H43" s="277"/>
      <c r="I43" s="277"/>
      <c r="J43" s="279"/>
      <c r="K43" s="279"/>
      <c r="BW43" s="123" t="str">
        <f>PC!A45</f>
        <v>Panasonic T-CAP 12kW "seria K" 1f</v>
      </c>
      <c r="BX43" s="121" t="str">
        <f>CWU[[#All],[Nazwa]]</f>
        <v>Elektromet WGJ_PC 300L</v>
      </c>
      <c r="BY43" s="121" t="str">
        <f>CO[[#All],[producent]]</f>
        <v>Kospel SV-300</v>
      </c>
    </row>
    <row r="44" spans="1:79" x14ac:dyDescent="0.25">
      <c r="G44" s="302" t="s">
        <v>365</v>
      </c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303"/>
      <c r="Y44" s="303"/>
      <c r="Z44" s="303"/>
      <c r="AA44" s="303"/>
      <c r="AB44" s="303"/>
      <c r="AC44" s="303"/>
      <c r="AD44" s="304"/>
      <c r="BW44" s="123" t="str">
        <f>PC!A46</f>
        <v>Panasonic T-CAP 9kW "seria K" 3f</v>
      </c>
      <c r="BX44" s="121" t="str">
        <f>CWU[[#All],[Nazwa]]</f>
        <v xml:space="preserve"> TRINNITY PC1 200</v>
      </c>
      <c r="BY44" s="121" t="str">
        <f>CO[[#All],[producent]]</f>
        <v>Sunex S4 300l</v>
      </c>
    </row>
    <row r="45" spans="1:79" x14ac:dyDescent="0.25">
      <c r="G45" s="305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6"/>
      <c r="T45" s="306"/>
      <c r="U45" s="306"/>
      <c r="V45" s="306"/>
      <c r="W45" s="306"/>
      <c r="X45" s="306"/>
      <c r="Y45" s="306"/>
      <c r="Z45" s="306"/>
      <c r="AA45" s="306"/>
      <c r="AB45" s="306"/>
      <c r="AC45" s="306"/>
      <c r="AD45" s="307"/>
      <c r="BW45" s="123" t="str">
        <f>PC!A47</f>
        <v>Panasonic T-CAP 12kW "seria K" 3f</v>
      </c>
      <c r="BX45" s="121" t="str">
        <f>CWU[[#All],[Nazwa]]</f>
        <v xml:space="preserve"> TRINNITY PC1 300</v>
      </c>
      <c r="BY45" s="121" t="str">
        <f>CO[[#All],[producent]]</f>
        <v>Cordivari Puffer VB 200</v>
      </c>
    </row>
    <row r="46" spans="1:79" x14ac:dyDescent="0.25">
      <c r="G46" s="125"/>
      <c r="V46" s="259" t="s">
        <v>366</v>
      </c>
      <c r="W46" s="259"/>
      <c r="X46" s="259" t="s">
        <v>367</v>
      </c>
      <c r="Y46" s="259"/>
      <c r="Z46" s="259"/>
      <c r="AA46" s="259" t="s">
        <v>368</v>
      </c>
      <c r="AB46" s="259"/>
      <c r="AC46" s="259"/>
      <c r="AD46" s="259"/>
      <c r="BW46" s="123" t="str">
        <f>PC!A48</f>
        <v>Panasonic T-CAP 16kW "seria K" 3f</v>
      </c>
      <c r="BX46" s="121" t="str">
        <f>CWU[[#All],[Nazwa]]</f>
        <v xml:space="preserve"> TRINNITY PC1 500</v>
      </c>
      <c r="BY46" s="121" t="str">
        <f>CO[[#All],[producent]]</f>
        <v>Cordivari Puffer VB 300</v>
      </c>
    </row>
    <row r="47" spans="1:79" ht="15" customHeight="1" x14ac:dyDescent="0.25">
      <c r="G47" s="125"/>
      <c r="V47" s="259"/>
      <c r="W47" s="259"/>
      <c r="X47" s="259"/>
      <c r="Y47" s="259"/>
      <c r="Z47" s="259"/>
      <c r="AA47" s="273" t="s">
        <v>369</v>
      </c>
      <c r="AB47" s="273"/>
      <c r="AC47" s="274">
        <f>IF(Budynek!$B$9="firma",Budynek!$AF$3,Budynek!$AF$2)</f>
        <v>0.08</v>
      </c>
      <c r="AD47" s="274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BW47" s="123" t="str">
        <f>PC!A49</f>
        <v>Panasonic Mono 5kW HP</v>
      </c>
      <c r="BX47" s="121" t="str">
        <f>CWU[[#All],[Nazwa]]</f>
        <v>Panasonic 200l emaliowany</v>
      </c>
      <c r="BY47" s="121" t="str">
        <f>CO[[#All],[producent]]</f>
        <v>Cordivari Volano wiszący 100</v>
      </c>
    </row>
    <row r="48" spans="1:79" ht="15" customHeight="1" x14ac:dyDescent="0.25">
      <c r="G48" s="296" t="s">
        <v>15</v>
      </c>
      <c r="H48" s="297"/>
      <c r="I48" s="297"/>
      <c r="J48" s="297"/>
      <c r="K48" s="298"/>
      <c r="L48" s="280" t="str">
        <f>X5</f>
        <v>Panasonic 9kW  T-CAP 3F</v>
      </c>
      <c r="M48" s="280"/>
      <c r="N48" s="280"/>
      <c r="O48" s="280"/>
      <c r="P48" s="280"/>
      <c r="Q48" s="280"/>
      <c r="R48" s="280"/>
      <c r="S48" s="280"/>
      <c r="T48" s="136">
        <f>VLOOKUP(L48,PC[#Data],MATCH("fazy",PC[#Headers],0),FALSE)</f>
        <v>3</v>
      </c>
      <c r="U48" s="137" t="s">
        <v>370</v>
      </c>
      <c r="V48" s="281">
        <f>IF(X5=0,0,1)</f>
        <v>1</v>
      </c>
      <c r="W48" s="282"/>
      <c r="X48" s="251">
        <f>VLOOKUP(L48,PC[#Data],MATCH("c.zak",PC[#Headers],0),FALSE)*(1+marża/100)*V48</f>
        <v>22740.960000000003</v>
      </c>
      <c r="Y48" s="252"/>
      <c r="Z48" s="253"/>
      <c r="AA48" s="251">
        <f>X48*(1+$AC$47)*V48</f>
        <v>24560.236800000006</v>
      </c>
      <c r="AB48" s="252"/>
      <c r="AC48" s="252"/>
      <c r="AD48" s="253"/>
      <c r="AK48" s="138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BW48" s="123" t="str">
        <f>PC!A50</f>
        <v>Panasonic Mono 7kW HP</v>
      </c>
      <c r="BX48" s="121" t="str">
        <f>CWU[[#All],[Nazwa]]</f>
        <v>Panasonic 300l emaliowany</v>
      </c>
      <c r="BY48" s="121" t="str">
        <f>CO[[#All],[producent]]</f>
        <v>Cordivari Volano stojący 100</v>
      </c>
    </row>
    <row r="49" spans="7:77" x14ac:dyDescent="0.25">
      <c r="G49" s="299"/>
      <c r="H49" s="300"/>
      <c r="I49" s="300"/>
      <c r="J49" s="300"/>
      <c r="K49" s="301"/>
      <c r="L49" s="280" t="str">
        <f>X6</f>
        <v>-</v>
      </c>
      <c r="M49" s="280"/>
      <c r="N49" s="280"/>
      <c r="O49" s="280"/>
      <c r="P49" s="280"/>
      <c r="Q49" s="280"/>
      <c r="R49" s="280"/>
      <c r="S49" s="280"/>
      <c r="T49" s="136">
        <f>VLOOKUP(L49,PC[#Data],MATCH("fazy",PC[#Headers],0),FALSE)</f>
        <v>0</v>
      </c>
      <c r="U49" s="137" t="s">
        <v>370</v>
      </c>
      <c r="V49" s="281">
        <v>0</v>
      </c>
      <c r="W49" s="282"/>
      <c r="X49" s="251">
        <f>VLOOKUP(L49,PC[#Data],MATCH("c.zak",PC[#Headers],0),FALSE)*(1+marża/100)*V49</f>
        <v>0</v>
      </c>
      <c r="Y49" s="252"/>
      <c r="Z49" s="253"/>
      <c r="AA49" s="251">
        <f t="shared" ref="AA49:AA63" si="0">X49*(1+$AC$47)*V49</f>
        <v>0</v>
      </c>
      <c r="AB49" s="252"/>
      <c r="AC49" s="252"/>
      <c r="AD49" s="253"/>
      <c r="BW49" s="123" t="str">
        <f>PC!A51</f>
        <v>Panasonic Mono HP 9kW 1F</v>
      </c>
      <c r="BX49" s="121" t="str">
        <f>CWU[[#All],[Nazwa]]</f>
        <v>Panasonic 200l nierdzewny</v>
      </c>
      <c r="BY49" s="121" t="str">
        <f>CO[[#All],[producent]]</f>
        <v>Cordivari Volano stojący 200</v>
      </c>
    </row>
    <row r="50" spans="7:77" x14ac:dyDescent="0.25">
      <c r="G50" s="268" t="s">
        <v>371</v>
      </c>
      <c r="H50" s="269"/>
      <c r="I50" s="269"/>
      <c r="J50" s="269"/>
      <c r="K50" s="269"/>
      <c r="L50" s="269" t="str">
        <f>AO35</f>
        <v>-</v>
      </c>
      <c r="M50" s="269"/>
      <c r="N50" s="269"/>
      <c r="O50" s="269"/>
      <c r="P50" s="269"/>
      <c r="Q50" s="269"/>
      <c r="R50" s="269"/>
      <c r="S50" s="269"/>
      <c r="T50" s="269"/>
      <c r="U50" s="139" t="s">
        <v>107</v>
      </c>
      <c r="V50" s="248">
        <v>0</v>
      </c>
      <c r="W50" s="248"/>
      <c r="X50" s="257">
        <f>VLOOKUP(L50,ZbiornikCO!A1:N53,5,FALSE)*(1+marża/100)*V50</f>
        <v>0</v>
      </c>
      <c r="Y50" s="257"/>
      <c r="Z50" s="258"/>
      <c r="AA50" s="251">
        <f t="shared" si="0"/>
        <v>0</v>
      </c>
      <c r="AB50" s="252"/>
      <c r="AC50" s="252"/>
      <c r="AD50" s="253"/>
      <c r="AF50" s="140"/>
      <c r="BW50" s="123" t="str">
        <f>PC!A52</f>
        <v>Panasonic Mono HP 12kW 3F</v>
      </c>
      <c r="BX50" s="121" t="str">
        <f>CWU[[#All],[Nazwa]]</f>
        <v>Panasonic 300l nierdzewny</v>
      </c>
      <c r="BY50" s="121" t="str">
        <f>CO[[#All],[producent]]</f>
        <v>Cordivari Volano stojący 300</v>
      </c>
    </row>
    <row r="51" spans="7:77" x14ac:dyDescent="0.25">
      <c r="G51" s="268" t="s">
        <v>372</v>
      </c>
      <c r="H51" s="269"/>
      <c r="I51" s="269"/>
      <c r="J51" s="269"/>
      <c r="K51" s="269"/>
      <c r="L51" s="269" t="str">
        <f>AP5</f>
        <v>Panasonic 200l nierdzewny</v>
      </c>
      <c r="M51" s="269"/>
      <c r="N51" s="269"/>
      <c r="O51" s="269"/>
      <c r="P51" s="269"/>
      <c r="Q51" s="269"/>
      <c r="R51" s="269"/>
      <c r="S51" s="269"/>
      <c r="T51" s="207">
        <v>180</v>
      </c>
      <c r="U51" s="139" t="s">
        <v>107</v>
      </c>
      <c r="V51" s="248">
        <v>1</v>
      </c>
      <c r="W51" s="248"/>
      <c r="X51" s="286">
        <f>VLOOKUP(L51,ZbiornikCWU!$A$2:$S$82,10,FALSE)*(1+marża/100)*V51</f>
        <v>4620</v>
      </c>
      <c r="Y51" s="257"/>
      <c r="Z51" s="258"/>
      <c r="AA51" s="251">
        <f>X51*(1+$AC$47)*V51</f>
        <v>4989.6000000000004</v>
      </c>
      <c r="AB51" s="252"/>
      <c r="AC51" s="252"/>
      <c r="AD51" s="253"/>
      <c r="BW51" s="123" t="str">
        <f>PC!A53</f>
        <v>Panasonic Mono HP 16kW 3F</v>
      </c>
      <c r="BX51" s="121" t="str">
        <f>CWU[[#All],[Nazwa]]</f>
        <v>Panasonic Kombinowany 230l + 60l</v>
      </c>
      <c r="BY51" s="121" t="str">
        <f>CO[[#All],[producent]]</f>
        <v>Weber W4 100 (wiszący)</v>
      </c>
    </row>
    <row r="52" spans="7:77" x14ac:dyDescent="0.25">
      <c r="G52" s="283" t="s">
        <v>898</v>
      </c>
      <c r="H52" s="284"/>
      <c r="I52" s="284"/>
      <c r="J52" s="284"/>
      <c r="K52" s="284"/>
      <c r="L52" s="284"/>
      <c r="M52" s="284"/>
      <c r="N52" s="284"/>
      <c r="O52" s="284"/>
      <c r="P52" s="284"/>
      <c r="Q52" s="284"/>
      <c r="R52" s="284"/>
      <c r="S52" s="284"/>
      <c r="T52" s="284"/>
      <c r="U52" s="285"/>
      <c r="V52" s="248">
        <v>1</v>
      </c>
      <c r="W52" s="248"/>
      <c r="X52" s="257">
        <f>VLOOKUP(Schemat!G52,'Baza danych'!J2:K37,2,FALSE)*(1+marża/100)*V52</f>
        <v>1200</v>
      </c>
      <c r="Y52" s="257"/>
      <c r="Z52" s="258"/>
      <c r="AA52" s="251">
        <f t="shared" si="0"/>
        <v>1296</v>
      </c>
      <c r="AB52" s="252"/>
      <c r="AC52" s="252"/>
      <c r="AD52" s="253"/>
      <c r="BW52" s="123" t="str">
        <f>PC!A54</f>
        <v>Panasonic Mono 9kW TCAP 1F</v>
      </c>
      <c r="BX52" s="121" t="str">
        <f>CWU[[#All],[Nazwa]]</f>
        <v>Galmet Tower Grand 200</v>
      </c>
      <c r="BY52" s="121" t="str">
        <f>CO[[#All],[producent]]</f>
        <v>Weber W4 200</v>
      </c>
    </row>
    <row r="53" spans="7:77" x14ac:dyDescent="0.25">
      <c r="G53" s="254" t="s">
        <v>587</v>
      </c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6"/>
      <c r="V53" s="248">
        <v>1</v>
      </c>
      <c r="W53" s="248"/>
      <c r="X53" s="257">
        <f>VLOOKUP(Schemat!G53,'Baza danych'!J2:K31,2,FALSE)*V53*(1+marża/100)</f>
        <v>5760</v>
      </c>
      <c r="Y53" s="257"/>
      <c r="Z53" s="258"/>
      <c r="AA53" s="251">
        <f t="shared" si="0"/>
        <v>6220.8</v>
      </c>
      <c r="AB53" s="252"/>
      <c r="AC53" s="252"/>
      <c r="AD53" s="253"/>
      <c r="BW53" s="123" t="str">
        <f>PC!A55</f>
        <v>Panasonic Mono 9kW TCAP 3F</v>
      </c>
      <c r="BX53" s="121" t="str">
        <f>CWU[[#All],[Nazwa]]</f>
        <v>Galmet Tower Grand 250</v>
      </c>
    </row>
    <row r="54" spans="7:77" x14ac:dyDescent="0.25">
      <c r="G54" s="259" t="s">
        <v>399</v>
      </c>
      <c r="H54" s="259"/>
      <c r="I54" s="259"/>
      <c r="J54" s="259"/>
      <c r="K54" s="259"/>
      <c r="L54" s="141">
        <v>1</v>
      </c>
      <c r="M54" s="248" t="str">
        <f>BC23&amp;IF(BD23="TAK"," + "&amp;$BD$22,"")</f>
        <v>---</v>
      </c>
      <c r="N54" s="248"/>
      <c r="O54" s="248"/>
      <c r="P54" s="248"/>
      <c r="Q54" s="248"/>
      <c r="R54" s="248"/>
      <c r="S54" s="248"/>
      <c r="T54" s="248"/>
      <c r="U54" s="248"/>
      <c r="V54" s="248">
        <v>0</v>
      </c>
      <c r="W54" s="248"/>
      <c r="X54" s="257">
        <f>VLOOKUP(M54,dodatki[],2,FALSE)*V54*(1+marża/100)</f>
        <v>0</v>
      </c>
      <c r="Y54" s="257"/>
      <c r="Z54" s="258"/>
      <c r="AA54" s="251">
        <f t="shared" si="0"/>
        <v>0</v>
      </c>
      <c r="AB54" s="252"/>
      <c r="AC54" s="252"/>
      <c r="AD54" s="253"/>
      <c r="BW54" s="123" t="str">
        <f>PC!A56</f>
        <v>Panasonic Mono 12kW TCAP 1F</v>
      </c>
      <c r="BX54" s="121" t="str">
        <f>CWU[[#All],[Nazwa]]</f>
        <v>Galmet Tower Grand 300</v>
      </c>
    </row>
    <row r="55" spans="7:77" x14ac:dyDescent="0.25">
      <c r="G55" s="259"/>
      <c r="H55" s="259"/>
      <c r="I55" s="259"/>
      <c r="J55" s="259"/>
      <c r="K55" s="259"/>
      <c r="L55" s="141">
        <v>2</v>
      </c>
      <c r="M55" s="248" t="str">
        <f t="shared" ref="M55:M57" si="1">BC24&amp;IF(BD24="TAK"," + "&amp;$BD$22,"")</f>
        <v>---</v>
      </c>
      <c r="N55" s="248"/>
      <c r="O55" s="248"/>
      <c r="P55" s="248"/>
      <c r="Q55" s="248"/>
      <c r="R55" s="248"/>
      <c r="S55" s="248"/>
      <c r="T55" s="248"/>
      <c r="U55" s="248"/>
      <c r="V55" s="248">
        <v>0</v>
      </c>
      <c r="W55" s="248"/>
      <c r="X55" s="257">
        <f>VLOOKUP(BC24,dodatki[],2,FALSE)*V55*(1+marża/100)</f>
        <v>0</v>
      </c>
      <c r="Y55" s="257"/>
      <c r="Z55" s="258"/>
      <c r="AA55" s="251">
        <f t="shared" si="0"/>
        <v>0</v>
      </c>
      <c r="AB55" s="252"/>
      <c r="AC55" s="252"/>
      <c r="AD55" s="253"/>
      <c r="BW55" s="123" t="str">
        <f>PC!A57</f>
        <v>Panasonic Mono 12kW TCAP 3F</v>
      </c>
      <c r="BX55" s="121" t="str">
        <f>CWU[[#All],[Nazwa]]</f>
        <v>Galmet MAXI 250</v>
      </c>
    </row>
    <row r="56" spans="7:77" x14ac:dyDescent="0.25">
      <c r="G56" s="259"/>
      <c r="H56" s="259"/>
      <c r="I56" s="259"/>
      <c r="J56" s="259"/>
      <c r="K56" s="259"/>
      <c r="L56" s="141">
        <v>3</v>
      </c>
      <c r="M56" s="248" t="str">
        <f t="shared" si="1"/>
        <v>---</v>
      </c>
      <c r="N56" s="248"/>
      <c r="O56" s="248"/>
      <c r="P56" s="248"/>
      <c r="Q56" s="248"/>
      <c r="R56" s="248"/>
      <c r="S56" s="248"/>
      <c r="T56" s="248"/>
      <c r="U56" s="248"/>
      <c r="V56" s="248">
        <v>0</v>
      </c>
      <c r="W56" s="248"/>
      <c r="X56" s="257">
        <f>VLOOKUP(BC25,dodatki[],2,FALSE)*V56*(1+marża/100)</f>
        <v>0</v>
      </c>
      <c r="Y56" s="257"/>
      <c r="Z56" s="258"/>
      <c r="AA56" s="251">
        <f t="shared" si="0"/>
        <v>0</v>
      </c>
      <c r="AB56" s="252"/>
      <c r="AC56" s="252"/>
      <c r="AD56" s="253"/>
      <c r="BW56" s="123" t="str">
        <f>PC!A58</f>
        <v>Panasonic Mono 16kW TCAP</v>
      </c>
      <c r="BX56" s="121" t="str">
        <f>CWU[[#All],[Nazwa]]</f>
        <v>Galmet MAXI 300</v>
      </c>
    </row>
    <row r="57" spans="7:77" x14ac:dyDescent="0.25">
      <c r="G57" s="259"/>
      <c r="H57" s="259"/>
      <c r="I57" s="259"/>
      <c r="J57" s="259"/>
      <c r="K57" s="259"/>
      <c r="L57" s="141">
        <v>4</v>
      </c>
      <c r="M57" s="248" t="str">
        <f t="shared" si="1"/>
        <v>---</v>
      </c>
      <c r="N57" s="248"/>
      <c r="O57" s="248"/>
      <c r="P57" s="248"/>
      <c r="Q57" s="248"/>
      <c r="R57" s="248"/>
      <c r="S57" s="248"/>
      <c r="T57" s="248"/>
      <c r="U57" s="248"/>
      <c r="V57" s="248">
        <v>0</v>
      </c>
      <c r="W57" s="248"/>
      <c r="X57" s="257">
        <f>VLOOKUP(BC26,dodatki[],2,FALSE)*V57*(1+marża/100)</f>
        <v>0</v>
      </c>
      <c r="Y57" s="257"/>
      <c r="Z57" s="258"/>
      <c r="AA57" s="251">
        <f t="shared" si="0"/>
        <v>0</v>
      </c>
      <c r="AB57" s="252"/>
      <c r="AC57" s="252"/>
      <c r="AD57" s="253"/>
      <c r="BW57" s="123" t="str">
        <f>PC!A59</f>
        <v>LG 5,5kW</v>
      </c>
      <c r="BX57" s="121" t="str">
        <f>CWU[[#All],[Nazwa]]</f>
        <v>Galmet MAXI 400</v>
      </c>
    </row>
    <row r="58" spans="7:77" x14ac:dyDescent="0.25">
      <c r="G58" s="259" t="s">
        <v>82</v>
      </c>
      <c r="H58" s="259"/>
      <c r="I58" s="259"/>
      <c r="J58" s="259"/>
      <c r="K58" s="259"/>
      <c r="L58" s="248" t="str">
        <f>BB30</f>
        <v>pompa cyrkulacyjna Wilo</v>
      </c>
      <c r="M58" s="248"/>
      <c r="N58" s="248"/>
      <c r="O58" s="248"/>
      <c r="P58" s="248"/>
      <c r="Q58" s="248"/>
      <c r="R58" s="248"/>
      <c r="S58" s="248"/>
      <c r="T58" s="248"/>
      <c r="U58" s="248"/>
      <c r="V58" s="248">
        <f t="shared" ref="V58" si="2">BE30</f>
        <v>1</v>
      </c>
      <c r="W58" s="248"/>
      <c r="X58" s="257">
        <f>VLOOKUP(L58,dodatki[#Data],2,FALSE)*V58*(1+marża/100)</f>
        <v>600</v>
      </c>
      <c r="Y58" s="257"/>
      <c r="Z58" s="258"/>
      <c r="AA58" s="251">
        <f t="shared" si="0"/>
        <v>648</v>
      </c>
      <c r="AB58" s="252"/>
      <c r="AC58" s="252"/>
      <c r="AD58" s="253"/>
      <c r="BW58" s="123" t="str">
        <f>PC!A60</f>
        <v>LG 7kW</v>
      </c>
      <c r="BX58" s="121" t="str">
        <f>CWU[[#All],[Nazwa]]</f>
        <v>Galmet MAXI PLUS 300</v>
      </c>
    </row>
    <row r="59" spans="7:77" x14ac:dyDescent="0.25">
      <c r="G59" s="259"/>
      <c r="H59" s="259"/>
      <c r="I59" s="259"/>
      <c r="J59" s="259"/>
      <c r="K59" s="259"/>
      <c r="L59" s="248" t="str">
        <f>BB31</f>
        <v>---</v>
      </c>
      <c r="M59" s="248"/>
      <c r="N59" s="248"/>
      <c r="O59" s="248"/>
      <c r="P59" s="248"/>
      <c r="Q59" s="248"/>
      <c r="R59" s="248"/>
      <c r="S59" s="248"/>
      <c r="T59" s="248"/>
      <c r="U59" s="248"/>
      <c r="V59" s="248">
        <f t="shared" ref="V59:V62" si="3">BE31</f>
        <v>0</v>
      </c>
      <c r="W59" s="248"/>
      <c r="X59" s="257">
        <f>VLOOKUP(L59,dodatki[#Data],2,FALSE)*V59*(1+marża/100)</f>
        <v>0</v>
      </c>
      <c r="Y59" s="257"/>
      <c r="Z59" s="258"/>
      <c r="AA59" s="251">
        <f t="shared" si="0"/>
        <v>0</v>
      </c>
      <c r="AB59" s="252"/>
      <c r="AC59" s="252"/>
      <c r="AD59" s="253"/>
      <c r="BW59" s="123" t="str">
        <f>PC!A61</f>
        <v>LG 9kW</v>
      </c>
      <c r="BX59" s="121" t="str">
        <f>CWU[[#All],[Nazwa]]</f>
        <v>Galmet MAXI PLUS 400</v>
      </c>
    </row>
    <row r="60" spans="7:77" x14ac:dyDescent="0.25">
      <c r="G60" s="259"/>
      <c r="H60" s="259"/>
      <c r="I60" s="259"/>
      <c r="J60" s="259"/>
      <c r="K60" s="259"/>
      <c r="L60" s="260" t="str">
        <f>BB32</f>
        <v>---</v>
      </c>
      <c r="M60" s="248"/>
      <c r="N60" s="248"/>
      <c r="O60" s="248"/>
      <c r="P60" s="248"/>
      <c r="Q60" s="248"/>
      <c r="R60" s="248"/>
      <c r="S60" s="248"/>
      <c r="T60" s="248"/>
      <c r="U60" s="248"/>
      <c r="V60" s="248">
        <f t="shared" si="3"/>
        <v>0</v>
      </c>
      <c r="W60" s="248"/>
      <c r="X60" s="257">
        <f>VLOOKUP(L60,'Baza danych'!J2:K37,2,FALSE)*(1+marża/100)*V60</f>
        <v>0</v>
      </c>
      <c r="Y60" s="257"/>
      <c r="Z60" s="258"/>
      <c r="AA60" s="251">
        <f t="shared" si="0"/>
        <v>0</v>
      </c>
      <c r="AB60" s="252"/>
      <c r="AC60" s="252"/>
      <c r="AD60" s="253"/>
      <c r="BW60" s="123" t="str">
        <f>PC!A62</f>
        <v>LG 12kW 1F</v>
      </c>
      <c r="BX60" s="121" t="str">
        <f>CWU[[#All],[Nazwa]]</f>
        <v>Galmet Complete (z buforem 135l)</v>
      </c>
    </row>
    <row r="61" spans="7:77" x14ac:dyDescent="0.25">
      <c r="G61" s="259"/>
      <c r="H61" s="259"/>
      <c r="I61" s="259"/>
      <c r="J61" s="259"/>
      <c r="K61" s="259"/>
      <c r="L61" s="248" t="str">
        <f>BB33</f>
        <v>---</v>
      </c>
      <c r="M61" s="248"/>
      <c r="N61" s="248"/>
      <c r="O61" s="248"/>
      <c r="P61" s="248"/>
      <c r="Q61" s="248"/>
      <c r="R61" s="248"/>
      <c r="S61" s="248"/>
      <c r="T61" s="248"/>
      <c r="U61" s="248"/>
      <c r="V61" s="248">
        <f t="shared" si="3"/>
        <v>0</v>
      </c>
      <c r="W61" s="248"/>
      <c r="X61" s="257">
        <f>VLOOKUP(L61,dodatki[#Data],2,FALSE)*V61*(1+marża/100)</f>
        <v>0</v>
      </c>
      <c r="Y61" s="257"/>
      <c r="Z61" s="258"/>
      <c r="AA61" s="251">
        <f t="shared" si="0"/>
        <v>0</v>
      </c>
      <c r="AB61" s="252"/>
      <c r="AC61" s="252"/>
      <c r="AD61" s="253"/>
      <c r="BW61" s="123" t="str">
        <f>PC!A63</f>
        <v>LG 12kW 3F</v>
      </c>
      <c r="BX61" s="121" t="str">
        <f>CWU[[#All],[Nazwa]]</f>
        <v>Onnline Mega 220</v>
      </c>
    </row>
    <row r="62" spans="7:77" x14ac:dyDescent="0.25">
      <c r="G62" s="259"/>
      <c r="H62" s="259"/>
      <c r="I62" s="259"/>
      <c r="J62" s="259"/>
      <c r="K62" s="259"/>
      <c r="L62" s="248" t="str">
        <f>BB34</f>
        <v>---</v>
      </c>
      <c r="M62" s="248"/>
      <c r="N62" s="248"/>
      <c r="O62" s="248"/>
      <c r="P62" s="248"/>
      <c r="Q62" s="248"/>
      <c r="R62" s="248"/>
      <c r="S62" s="248"/>
      <c r="T62" s="248"/>
      <c r="U62" s="248"/>
      <c r="V62" s="248">
        <f t="shared" si="3"/>
        <v>0</v>
      </c>
      <c r="W62" s="248"/>
      <c r="X62" s="257">
        <f>VLOOKUP(L62,dodatki[#Data],2,FALSE)*V62*(1+marża/100)</f>
        <v>0</v>
      </c>
      <c r="Y62" s="257"/>
      <c r="Z62" s="258"/>
      <c r="AA62" s="251">
        <f t="shared" si="0"/>
        <v>0</v>
      </c>
      <c r="AB62" s="252"/>
      <c r="AC62" s="252"/>
      <c r="AD62" s="253"/>
      <c r="BW62" s="123" t="str">
        <f>PC!A64</f>
        <v>LG 14kW 1F</v>
      </c>
      <c r="BX62" s="121" t="str">
        <f>CWU[[#All],[Nazwa]]</f>
        <v>Onnline Mega 300</v>
      </c>
    </row>
    <row r="63" spans="7:77" x14ac:dyDescent="0.25">
      <c r="G63" s="268" t="s">
        <v>373</v>
      </c>
      <c r="H63" s="269"/>
      <c r="I63" s="269"/>
      <c r="J63" s="269"/>
      <c r="K63" s="269"/>
      <c r="L63" s="269"/>
      <c r="M63" s="269"/>
      <c r="N63" s="269"/>
      <c r="O63" s="269"/>
      <c r="P63" s="269"/>
      <c r="Q63" s="269"/>
      <c r="R63" s="269"/>
      <c r="S63" s="269"/>
      <c r="T63" s="269"/>
      <c r="U63" s="270"/>
      <c r="V63" s="248">
        <v>1</v>
      </c>
      <c r="W63" s="248"/>
      <c r="X63" s="257">
        <v>6000</v>
      </c>
      <c r="Y63" s="257"/>
      <c r="Z63" s="258"/>
      <c r="AA63" s="251">
        <f t="shared" si="0"/>
        <v>6480</v>
      </c>
      <c r="AB63" s="252"/>
      <c r="AC63" s="252"/>
      <c r="AD63" s="253"/>
      <c r="BW63" s="123" t="str">
        <f>PC!A65</f>
        <v>LG 14kW 3F</v>
      </c>
      <c r="BX63" s="121" t="str">
        <f>CWU[[#All],[Nazwa]]</f>
        <v>Weber WS15 200</v>
      </c>
    </row>
    <row r="64" spans="7:77" x14ac:dyDescent="0.25">
      <c r="G64" s="268" t="s">
        <v>596</v>
      </c>
      <c r="H64" s="269"/>
      <c r="I64" s="269"/>
      <c r="J64" s="269"/>
      <c r="K64" s="269"/>
      <c r="L64" s="269"/>
      <c r="M64" s="269"/>
      <c r="N64" s="269"/>
      <c r="O64" s="269"/>
      <c r="P64" s="269"/>
      <c r="Q64" s="269"/>
      <c r="R64" s="269"/>
      <c r="S64" s="269"/>
      <c r="T64" s="269"/>
      <c r="U64" s="270"/>
      <c r="V64" s="254">
        <v>0</v>
      </c>
      <c r="W64" s="256"/>
      <c r="X64" s="258">
        <v>10</v>
      </c>
      <c r="Y64" s="271"/>
      <c r="Z64" s="272"/>
      <c r="AA64" s="251">
        <f>(X64*(1+$AC$47))*V64</f>
        <v>0</v>
      </c>
      <c r="AB64" s="252"/>
      <c r="AC64" s="252"/>
      <c r="AD64" s="253"/>
      <c r="AF64" s="311" t="s">
        <v>597</v>
      </c>
      <c r="AG64" s="311"/>
      <c r="AH64" s="311"/>
      <c r="AI64" s="311"/>
      <c r="AJ64" s="311"/>
      <c r="AK64" s="311"/>
      <c r="AL64" s="311"/>
      <c r="AM64" s="311"/>
      <c r="AN64" s="311"/>
      <c r="BW64" s="123" t="str">
        <f>PC!A66</f>
        <v>LG 16kW 1F</v>
      </c>
      <c r="BX64" s="121" t="str">
        <f>CWU[[#All],[Nazwa]]</f>
        <v>Weber WS15 300</v>
      </c>
    </row>
    <row r="65" spans="7:76" x14ac:dyDescent="0.25">
      <c r="G65" s="248" t="s">
        <v>559</v>
      </c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U65" s="248"/>
      <c r="V65" s="248">
        <v>1</v>
      </c>
      <c r="W65" s="248"/>
      <c r="X65" s="257">
        <f>AA65/(1+AC47)</f>
        <v>0</v>
      </c>
      <c r="Y65" s="257"/>
      <c r="Z65" s="257"/>
      <c r="AA65" s="251">
        <v>0</v>
      </c>
      <c r="AB65" s="252"/>
      <c r="AC65" s="252"/>
      <c r="AD65" s="253"/>
      <c r="BW65" s="123" t="str">
        <f>PC!A67</f>
        <v>LG 16kW 3F</v>
      </c>
      <c r="BX65" s="121" t="str">
        <f>CWU[[#All],[Nazwa]]</f>
        <v>Weber WS15 400</v>
      </c>
    </row>
    <row r="66" spans="7:76" x14ac:dyDescent="0.25">
      <c r="G66" s="248" t="s">
        <v>632</v>
      </c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9">
        <v>1</v>
      </c>
      <c r="W66" s="249"/>
      <c r="X66" s="250">
        <f>AA66/(1+AC47)</f>
        <v>-56.481481481481481</v>
      </c>
      <c r="Y66" s="250"/>
      <c r="Z66" s="250"/>
      <c r="AA66" s="265">
        <v>-61</v>
      </c>
      <c r="AB66" s="266"/>
      <c r="AC66" s="266"/>
      <c r="AD66" s="267"/>
      <c r="BW66" s="123" t="str">
        <f>PC!A68</f>
        <v>LG All in One 5,5kW</v>
      </c>
      <c r="BX66" s="121" t="str">
        <f>CWU[[#All],[Nazwa]]</f>
        <v>Weber WS15 500</v>
      </c>
    </row>
    <row r="67" spans="7:76" x14ac:dyDescent="0.25">
      <c r="G67" s="136"/>
      <c r="X67" s="261">
        <f>AA67/(1+AC47)</f>
        <v>40976.851851851847</v>
      </c>
      <c r="Y67" s="261"/>
      <c r="Z67" s="261"/>
      <c r="AA67" s="263">
        <f>INT(SUM(AA48:AC65)-AA66)</f>
        <v>44255</v>
      </c>
      <c r="AB67" s="263"/>
      <c r="AC67" s="263"/>
      <c r="AD67" s="263"/>
      <c r="BW67" s="123" t="str">
        <f>PC!A69</f>
        <v>LG All in One 7kW</v>
      </c>
      <c r="BX67" s="121" t="str">
        <f>CWU[[#All],[Nazwa]]</f>
        <v>Weber W16 300</v>
      </c>
    </row>
    <row r="68" spans="7:76" x14ac:dyDescent="0.25">
      <c r="X68" s="262"/>
      <c r="Y68" s="262"/>
      <c r="Z68" s="262"/>
      <c r="AA68" s="264"/>
      <c r="AB68" s="264"/>
      <c r="AC68" s="264"/>
      <c r="AD68" s="264"/>
      <c r="BW68" s="123" t="str">
        <f>PC!A70</f>
        <v>LG All in One 9kW</v>
      </c>
      <c r="BX68" s="121" t="str">
        <f>CWU[[#All],[Nazwa]]</f>
        <v>Weber W16 500</v>
      </c>
    </row>
    <row r="69" spans="7:76" x14ac:dyDescent="0.25"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 t="s">
        <v>374</v>
      </c>
      <c r="Y69" s="142"/>
      <c r="Z69" s="142"/>
      <c r="AA69" s="275">
        <f ca="1">TODAY()+7</f>
        <v>45315</v>
      </c>
      <c r="AB69" s="244"/>
      <c r="AC69" s="244"/>
      <c r="AD69" s="276"/>
      <c r="BW69" s="123" t="str">
        <f>PC!A71</f>
        <v>LG Silence Supreme 5kW monoblok</v>
      </c>
      <c r="BX69" s="121" t="str">
        <f>CWU[[#All],[Nazwa]]</f>
        <v>Kospel SWP-200</v>
      </c>
    </row>
    <row r="70" spans="7:76" x14ac:dyDescent="0.25">
      <c r="BW70" s="123" t="str">
        <f>PC!A72</f>
        <v>LG Silence Supreme 7kW monoblok</v>
      </c>
      <c r="BX70" s="121" t="str">
        <f>CWU[[#All],[Nazwa]]</f>
        <v>Kospel SWP-300</v>
      </c>
    </row>
    <row r="71" spans="7:76" x14ac:dyDescent="0.25">
      <c r="G71" s="244" t="s">
        <v>634</v>
      </c>
      <c r="H71" s="244"/>
      <c r="I71" s="244"/>
      <c r="J71" s="244"/>
      <c r="K71" s="244"/>
      <c r="L71" s="244"/>
      <c r="M71" s="245" t="s">
        <v>957</v>
      </c>
      <c r="N71" s="245"/>
      <c r="O71" s="245"/>
      <c r="P71" s="245"/>
      <c r="Q71" s="245"/>
      <c r="R71" s="245"/>
      <c r="S71" s="245"/>
      <c r="T71" s="245"/>
      <c r="U71" s="246">
        <f>VLOOKUP(M71,'Baza danych'!M2:N8,2,FALSE)</f>
        <v>0</v>
      </c>
      <c r="V71" s="247"/>
      <c r="W71" s="247"/>
      <c r="X71" s="247"/>
      <c r="Y71" s="247"/>
      <c r="Z71" s="247"/>
      <c r="BW71" s="123" t="str">
        <f>PC!A73</f>
        <v>LG Silence Supreme 9kW monoblok</v>
      </c>
      <c r="BX71" s="121" t="str">
        <f>CWU[[#All],[Nazwa]]</f>
        <v>Kospel SWPC-300</v>
      </c>
    </row>
    <row r="72" spans="7:76" x14ac:dyDescent="0.25">
      <c r="G72" s="244"/>
      <c r="H72" s="244"/>
      <c r="I72" s="244"/>
      <c r="J72" s="244"/>
      <c r="K72" s="244"/>
      <c r="L72" s="244"/>
      <c r="M72" s="245"/>
      <c r="N72" s="245"/>
      <c r="O72" s="245"/>
      <c r="P72" s="245"/>
      <c r="Q72" s="245"/>
      <c r="R72" s="245"/>
      <c r="S72" s="245"/>
      <c r="T72" s="245"/>
      <c r="U72" s="247"/>
      <c r="V72" s="247"/>
      <c r="W72" s="247"/>
      <c r="X72" s="247"/>
      <c r="Y72" s="247"/>
      <c r="Z72" s="247"/>
      <c r="BW72" s="123" t="str">
        <f>PC!A74</f>
        <v>LG Silence Supreme 12kW monoblok 1F</v>
      </c>
      <c r="BX72" s="121" t="str">
        <f>CWU[[#All],[Nazwa]]</f>
        <v>Kospel SWVPC-250/60 (z buforem)</v>
      </c>
    </row>
    <row r="73" spans="7:76" x14ac:dyDescent="0.25">
      <c r="G73" s="244" t="s">
        <v>635</v>
      </c>
      <c r="H73" s="244"/>
      <c r="I73" s="244"/>
      <c r="J73" s="244"/>
      <c r="K73" s="244"/>
      <c r="L73" s="244"/>
      <c r="M73" s="312">
        <v>0.12</v>
      </c>
      <c r="N73" s="312"/>
      <c r="O73" s="312"/>
      <c r="P73" s="312"/>
      <c r="Q73" s="312"/>
      <c r="R73" s="312"/>
      <c r="S73" s="312"/>
      <c r="T73" s="312"/>
      <c r="U73" s="247">
        <f>IF($M$73="----------",0,(AA67-U71)*M73)</f>
        <v>5310.5999999999995</v>
      </c>
      <c r="V73" s="247"/>
      <c r="W73" s="247"/>
      <c r="X73" s="247"/>
      <c r="Y73" s="247"/>
      <c r="Z73" s="247"/>
      <c r="BW73" s="123" t="str">
        <f>PC!A75</f>
        <v>LG Silence Supreme 12kW monoblok 3F</v>
      </c>
      <c r="BX73" s="121" t="str">
        <f>CWU[[#All],[Nazwa]]</f>
        <v>Cordivari Bolly 1 XL 200</v>
      </c>
    </row>
    <row r="74" spans="7:76" x14ac:dyDescent="0.25">
      <c r="G74" s="244"/>
      <c r="H74" s="244"/>
      <c r="I74" s="244"/>
      <c r="J74" s="244"/>
      <c r="K74" s="244"/>
      <c r="L74" s="244"/>
      <c r="M74" s="312"/>
      <c r="N74" s="312"/>
      <c r="O74" s="312"/>
      <c r="P74" s="312"/>
      <c r="Q74" s="312"/>
      <c r="R74" s="312"/>
      <c r="S74" s="312"/>
      <c r="T74" s="312"/>
      <c r="U74" s="247"/>
      <c r="V74" s="247"/>
      <c r="W74" s="247"/>
      <c r="X74" s="247"/>
      <c r="Y74" s="247"/>
      <c r="Z74" s="247"/>
      <c r="BW74" s="123" t="str">
        <f>PC!A76</f>
        <v>LG Silence Supreme 14kW monoblok 1F</v>
      </c>
      <c r="BX74" s="121" t="str">
        <f>CWU[[#All],[Nazwa]]</f>
        <v>Cordivari Bolly 1 XL 300</v>
      </c>
    </row>
    <row r="75" spans="7:76" x14ac:dyDescent="0.25">
      <c r="G75" s="244" t="s">
        <v>641</v>
      </c>
      <c r="H75" s="244"/>
      <c r="I75" s="244"/>
      <c r="J75" s="244"/>
      <c r="K75" s="244"/>
      <c r="L75" s="244"/>
      <c r="M75" s="244"/>
      <c r="N75" s="244"/>
      <c r="O75" s="244"/>
      <c r="P75" s="244"/>
      <c r="Q75" s="244"/>
      <c r="R75" s="244"/>
      <c r="S75" s="244"/>
      <c r="T75" s="244"/>
      <c r="U75" s="313">
        <f>AA67-U71-U73</f>
        <v>38944.400000000001</v>
      </c>
      <c r="V75" s="291"/>
      <c r="W75" s="291"/>
      <c r="X75" s="291"/>
      <c r="Y75" s="291"/>
      <c r="Z75" s="291"/>
      <c r="BW75" s="123" t="str">
        <f>PC!A77</f>
        <v>LG Silence Supreme 14kW monoblok 3F</v>
      </c>
      <c r="BX75" s="121" t="str">
        <f>CWU[[#All],[Nazwa]]</f>
        <v>Sunex FISH S15 200l</v>
      </c>
    </row>
    <row r="76" spans="7:76" x14ac:dyDescent="0.25">
      <c r="G76" s="244"/>
      <c r="H76" s="244"/>
      <c r="I76" s="244"/>
      <c r="J76" s="244"/>
      <c r="K76" s="244"/>
      <c r="L76" s="244"/>
      <c r="M76" s="244"/>
      <c r="N76" s="244"/>
      <c r="O76" s="244"/>
      <c r="P76" s="244"/>
      <c r="Q76" s="244"/>
      <c r="R76" s="244"/>
      <c r="S76" s="244"/>
      <c r="T76" s="244"/>
      <c r="U76" s="291"/>
      <c r="V76" s="291"/>
      <c r="W76" s="291"/>
      <c r="X76" s="291"/>
      <c r="Y76" s="291"/>
      <c r="Z76" s="291"/>
      <c r="BW76" s="123" t="str">
        <f>PC!A78</f>
        <v>LG Silence Supreme 16kW monoblok 1F</v>
      </c>
      <c r="BX76" s="121" t="str">
        <f>CWU[[#All],[Nazwa]]</f>
        <v>Sunex  FISH S15 300l</v>
      </c>
    </row>
    <row r="77" spans="7:76" x14ac:dyDescent="0.25">
      <c r="BW77" s="123" t="str">
        <f>PC!A79</f>
        <v>LG Silence Supreme 16kW monoblok 3F</v>
      </c>
      <c r="BX77" s="121" t="str">
        <f>CWU[[#All],[Nazwa]]</f>
        <v>Sunex FISH S16 300l</v>
      </c>
    </row>
    <row r="78" spans="7:76" x14ac:dyDescent="0.25">
      <c r="BW78" s="123" t="str">
        <f>PC!A80</f>
        <v>Samsung EHS SPLIT 4,4kW</v>
      </c>
      <c r="BX78" s="121" t="str">
        <f>CWU[[#All],[Nazwa]]</f>
        <v>Sunex FISH S16 400l</v>
      </c>
    </row>
    <row r="79" spans="7:76" x14ac:dyDescent="0.25">
      <c r="BW79" s="123" t="str">
        <f>PC!A81</f>
        <v>Samsung EHS SPLIT 6kW</v>
      </c>
      <c r="BX79" s="121" t="str">
        <f>CWU[[#All],[Nazwa]]</f>
        <v>Termica Economy 200</v>
      </c>
    </row>
    <row r="80" spans="7:76" x14ac:dyDescent="0.25">
      <c r="BW80" s="123" t="str">
        <f>PC!A82</f>
        <v>Samsung EHS SPLIT 9kW 1F</v>
      </c>
      <c r="BX80" s="121" t="str">
        <f>CWU[[#All],[Nazwa]]</f>
        <v>Termica Economy 250</v>
      </c>
    </row>
    <row r="81" spans="75:76" x14ac:dyDescent="0.25">
      <c r="BW81" s="123" t="str">
        <f>PC!A83</f>
        <v>Samsung EHS SPLIT 9kW 3F</v>
      </c>
      <c r="BX81" s="121" t="str">
        <f>CWU[[#All],[Nazwa]]</f>
        <v>Termica Economy 300</v>
      </c>
    </row>
    <row r="82" spans="75:76" x14ac:dyDescent="0.25">
      <c r="BW82" s="123" t="str">
        <f>PC!A84</f>
        <v>Samsung EHS SPLIT 12kW 1F</v>
      </c>
      <c r="BX82" s="121" t="str">
        <f>CWU[[#All],[Nazwa]]</f>
        <v>Daikin EKHWSP200D3V3</v>
      </c>
    </row>
    <row r="83" spans="75:76" x14ac:dyDescent="0.25">
      <c r="BW83" s="123" t="str">
        <f>PC!A85</f>
        <v>Samsung EHS SPLIT 12kW 3F</v>
      </c>
    </row>
    <row r="84" spans="75:76" x14ac:dyDescent="0.25">
      <c r="BW84" s="123" t="str">
        <f>PC!A86</f>
        <v>Samsung EHS SPLIT 16kW 1F</v>
      </c>
    </row>
    <row r="85" spans="75:76" x14ac:dyDescent="0.25">
      <c r="BW85" s="123" t="str">
        <f>PC!A87</f>
        <v>Samsung EHS SPLIT 16kW 3F</v>
      </c>
    </row>
    <row r="86" spans="75:76" x14ac:dyDescent="0.25">
      <c r="BW86" s="123" t="str">
        <f>PC!A88</f>
        <v>Samsung EHS SPLIT 4,4kW ClimateHub 200</v>
      </c>
    </row>
    <row r="87" spans="75:76" x14ac:dyDescent="0.25">
      <c r="BW87" s="123" t="str">
        <f>PC!A89</f>
        <v>Samsung EHS SPLIT 6kW ClimateHub 200</v>
      </c>
    </row>
    <row r="88" spans="75:76" x14ac:dyDescent="0.25">
      <c r="BW88" s="123" t="str">
        <f>PC!A90</f>
        <v>Samsung EHS SPLIT 9kW ClimateHub 200</v>
      </c>
    </row>
    <row r="89" spans="75:76" x14ac:dyDescent="0.25">
      <c r="BW89" s="123" t="str">
        <f>PC!A91</f>
        <v>Samsung EHS SPLIT 4,4kW ClimateHub 260</v>
      </c>
    </row>
    <row r="90" spans="75:76" x14ac:dyDescent="0.25">
      <c r="BW90" s="123" t="str">
        <f>PC!A92</f>
        <v xml:space="preserve">Samsung EHS SPLIT 6kW ClimateHub 260 </v>
      </c>
    </row>
    <row r="91" spans="75:76" x14ac:dyDescent="0.25">
      <c r="BW91" s="123" t="str">
        <f>PC!A93</f>
        <v>Samsung EHS SPLIT 9kW ClimateHub 260 1F</v>
      </c>
    </row>
    <row r="92" spans="75:76" x14ac:dyDescent="0.25">
      <c r="BW92" s="123" t="str">
        <f>PC!A94</f>
        <v>Samsung EHS SPLIT 9kW ClimateHub 260 3F</v>
      </c>
    </row>
    <row r="93" spans="75:76" x14ac:dyDescent="0.25">
      <c r="BW93" s="123" t="str">
        <f>PC!A95</f>
        <v>Samsung EHS Mono Standard 5kW</v>
      </c>
    </row>
    <row r="94" spans="75:76" x14ac:dyDescent="0.25">
      <c r="BW94" s="123" t="str">
        <f>PC!A96</f>
        <v>Samsung EHS Mono Standard 8kW 1F</v>
      </c>
    </row>
    <row r="95" spans="75:76" x14ac:dyDescent="0.25">
      <c r="BW95" s="123" t="str">
        <f>PC!A97</f>
        <v>Samsung EHS Mono Standard 12kW 1F</v>
      </c>
    </row>
    <row r="96" spans="75:76" x14ac:dyDescent="0.25">
      <c r="BW96" s="123" t="str">
        <f>PC!A98</f>
        <v>Samsung EHS Mono Standard 16kW 1F</v>
      </c>
    </row>
    <row r="97" spans="75:75" x14ac:dyDescent="0.25">
      <c r="BW97" s="123" t="str">
        <f>PC!A99</f>
        <v>Samsung EHS Mono Standard 8kW 3F</v>
      </c>
    </row>
    <row r="98" spans="75:75" x14ac:dyDescent="0.25">
      <c r="BW98" s="123" t="str">
        <f>PC!A100</f>
        <v>Samsung EHS Mono Standard 12kW 3F</v>
      </c>
    </row>
    <row r="99" spans="75:75" x14ac:dyDescent="0.25">
      <c r="BW99" s="123" t="str">
        <f>PC!A101</f>
        <v>Samsung EHS Mono Standard 16kW 3F</v>
      </c>
    </row>
    <row r="100" spans="75:75" x14ac:dyDescent="0.25">
      <c r="BW100" s="123" t="str">
        <f>PC!A102</f>
        <v>Samsung EHS Mono ClimateHub 200 5kW</v>
      </c>
    </row>
    <row r="101" spans="75:75" x14ac:dyDescent="0.25">
      <c r="BW101" s="123" t="str">
        <f>PC!A103</f>
        <v>Samsung EHS Mono ClimateHub 200 8kW</v>
      </c>
    </row>
    <row r="102" spans="75:75" x14ac:dyDescent="0.25">
      <c r="BW102" s="123" t="str">
        <f>PC!A104</f>
        <v>Samsung EHS Mono ClimateHub 200 12kW</v>
      </c>
    </row>
    <row r="103" spans="75:75" x14ac:dyDescent="0.25">
      <c r="BW103" s="123" t="str">
        <f>PC!A105</f>
        <v>Samsung EHS Mono ClimateHub 200 16kW</v>
      </c>
    </row>
    <row r="104" spans="75:75" x14ac:dyDescent="0.25">
      <c r="BW104" s="123" t="str">
        <f>PC!A106</f>
        <v>Samsung EHS Mono ClimateHub 260 8kW 1F</v>
      </c>
    </row>
    <row r="105" spans="75:75" x14ac:dyDescent="0.25">
      <c r="BW105" s="123" t="str">
        <f>PC!A107</f>
        <v>Samsung EHS Mono ClimateHub 260 12kW 1F</v>
      </c>
    </row>
    <row r="106" spans="75:75" x14ac:dyDescent="0.25">
      <c r="BW106" s="123" t="str">
        <f>PC!A108</f>
        <v>Samsung EHS Mono ClimateHub 260 16kW 1F</v>
      </c>
    </row>
    <row r="107" spans="75:75" x14ac:dyDescent="0.25">
      <c r="BW107" s="123" t="str">
        <f>PC!A109</f>
        <v>Samsung EHS Mono ClimateHub 260 8kW 3F</v>
      </c>
    </row>
    <row r="108" spans="75:75" x14ac:dyDescent="0.25">
      <c r="BW108" s="123" t="str">
        <f>PC!A110</f>
        <v>Samsung EHS Mono ClimateHub 260 12kW 3F</v>
      </c>
    </row>
    <row r="109" spans="75:75" x14ac:dyDescent="0.25">
      <c r="BW109" s="123" t="str">
        <f>PC!A111</f>
        <v>Samsung EHS Mono ClimateHub 260 16kW 3F</v>
      </c>
    </row>
    <row r="110" spans="75:75" x14ac:dyDescent="0.25">
      <c r="BW110" s="123" t="str">
        <f>PC!A112</f>
        <v>Samsung HT QUIET ClimateHub 200 8kW 1F</v>
      </c>
    </row>
    <row r="111" spans="75:75" x14ac:dyDescent="0.25">
      <c r="BW111" s="123" t="str">
        <f>PC!A113</f>
        <v>Samsung HT QUIET ClimateHub 200 12kW 1F</v>
      </c>
    </row>
    <row r="112" spans="75:75" x14ac:dyDescent="0.25">
      <c r="BW112" s="123" t="str">
        <f>PC!A114</f>
        <v>Samsung HT QUIET ClimateHub 200 14kW 1F</v>
      </c>
    </row>
    <row r="113" spans="75:75" x14ac:dyDescent="0.25">
      <c r="BW113" s="123" t="str">
        <f>PC!A115</f>
        <v>Samsung HT QUIET ClimateHub 260 8kW 1F</v>
      </c>
    </row>
    <row r="114" spans="75:75" x14ac:dyDescent="0.25">
      <c r="BW114" s="123" t="str">
        <f>PC!A116</f>
        <v>Samsung HT QUIET ClimateHub 260 12kW 1F</v>
      </c>
    </row>
    <row r="115" spans="75:75" x14ac:dyDescent="0.25">
      <c r="BW115" s="123" t="str">
        <f>PC!A117</f>
        <v>Samsung HT QUIET ClimateHub 260 14kW 1F</v>
      </c>
    </row>
    <row r="116" spans="75:75" x14ac:dyDescent="0.25">
      <c r="BW116" s="123" t="str">
        <f>PC!A118</f>
        <v>Samsung HT QUIET ClimateHub 260 8kW 3F</v>
      </c>
    </row>
    <row r="117" spans="75:75" x14ac:dyDescent="0.25">
      <c r="BW117" s="123" t="str">
        <f>PC!A119</f>
        <v>Samsung HT QUIET ClimateHub 260 12kW 3F</v>
      </c>
    </row>
    <row r="118" spans="75:75" x14ac:dyDescent="0.25">
      <c r="BW118" s="123" t="str">
        <f>PC!A120</f>
        <v>Samsung HT QUIET ClimateHub 260 14kW 3F</v>
      </c>
    </row>
    <row r="119" spans="75:75" x14ac:dyDescent="0.25">
      <c r="BW119" s="123" t="str">
        <f>PC!A121</f>
        <v>Samsung HT QUIET 8kW 1F</v>
      </c>
    </row>
    <row r="120" spans="75:75" x14ac:dyDescent="0.25">
      <c r="BW120" s="123" t="str">
        <f>PC!A122</f>
        <v>Samsung HT QUIET 8kW 3F</v>
      </c>
    </row>
    <row r="121" spans="75:75" x14ac:dyDescent="0.25">
      <c r="BW121" s="123" t="str">
        <f>PC!A123</f>
        <v>Samsung HT QUIET 12kW 1F</v>
      </c>
    </row>
    <row r="122" spans="75:75" x14ac:dyDescent="0.25">
      <c r="BW122" s="123" t="str">
        <f>PC!A124</f>
        <v>Samsung HT QUIET 12kW 3F</v>
      </c>
    </row>
    <row r="123" spans="75:75" x14ac:dyDescent="0.25">
      <c r="BW123" s="123" t="str">
        <f>PC!A125</f>
        <v>Samsung HT QUIET 14kW 1F</v>
      </c>
    </row>
    <row r="124" spans="75:75" x14ac:dyDescent="0.25">
      <c r="BW124" s="123" t="str">
        <f>PC!A126</f>
        <v>Samsung HT QUIET 14kW 3F</v>
      </c>
    </row>
    <row r="125" spans="75:75" x14ac:dyDescent="0.25">
      <c r="BW125" s="123" t="str">
        <f>PC!A127</f>
        <v>Toshiba ESTIA 4kW</v>
      </c>
    </row>
    <row r="126" spans="75:75" x14ac:dyDescent="0.25">
      <c r="BW126" s="123" t="str">
        <f>PC!A128</f>
        <v>Toshiba ESTIA 6kW</v>
      </c>
    </row>
    <row r="127" spans="75:75" x14ac:dyDescent="0.25">
      <c r="BW127" s="123" t="str">
        <f>PC!A129</f>
        <v>Toshiba ESTIA 8kW</v>
      </c>
    </row>
    <row r="128" spans="75:75" x14ac:dyDescent="0.25">
      <c r="BW128" s="123" t="str">
        <f>PC!A130</f>
        <v>Toshiba ESTIA 11kW</v>
      </c>
    </row>
    <row r="129" spans="75:75" x14ac:dyDescent="0.25">
      <c r="BW129" s="123" t="str">
        <f>PC!A131</f>
        <v>Toshiba ESTIA 14kW 1F</v>
      </c>
    </row>
    <row r="130" spans="75:75" x14ac:dyDescent="0.25">
      <c r="BW130" s="123" t="str">
        <f>PC!A132</f>
        <v>Toshiba ESTIA 14kW 3F</v>
      </c>
    </row>
    <row r="131" spans="75:75" x14ac:dyDescent="0.25">
      <c r="BW131" s="123" t="str">
        <f>PC!A133</f>
        <v>Toshiba ESTIA 14kW POWERFULL 3F</v>
      </c>
    </row>
    <row r="132" spans="75:75" x14ac:dyDescent="0.25">
      <c r="BW132" s="123" t="str">
        <f>PC!A134</f>
        <v>Mitsubishi Eco Inverter 4kW</v>
      </c>
    </row>
    <row r="133" spans="75:75" x14ac:dyDescent="0.25">
      <c r="BW133" s="123" t="str">
        <f>PC!A135</f>
        <v>Mitsubishi Eco Inverter 6kW</v>
      </c>
    </row>
    <row r="134" spans="75:75" x14ac:dyDescent="0.25">
      <c r="BW134" s="123" t="str">
        <f>PC!A136</f>
        <v>Mitsubishi Eco Inverter 8kW</v>
      </c>
    </row>
    <row r="135" spans="75:75" x14ac:dyDescent="0.25">
      <c r="BW135" s="123" t="str">
        <f>PC!A137</f>
        <v>Mitsubishi Eco Inverter 10kW</v>
      </c>
    </row>
    <row r="136" spans="75:75" x14ac:dyDescent="0.25">
      <c r="BW136" s="123" t="str">
        <f>PC!A138</f>
        <v>Mitsubishi Zubadan Inverter 6kW</v>
      </c>
    </row>
    <row r="137" spans="75:75" x14ac:dyDescent="0.25">
      <c r="BW137" s="123" t="str">
        <f>PC!A139</f>
        <v>Mitsubishi Zubadan Inverter 8kW 1F</v>
      </c>
    </row>
    <row r="138" spans="75:75" x14ac:dyDescent="0.25">
      <c r="BW138" s="123" t="str">
        <f>PC!A140</f>
        <v>Mitsubishi Zubadan Inverter 8kW 3F</v>
      </c>
    </row>
    <row r="139" spans="75:75" x14ac:dyDescent="0.25">
      <c r="BW139" s="123" t="str">
        <f>PC!A141</f>
        <v>Mitsubishi Zubadan Inverter 10kW 1F</v>
      </c>
    </row>
    <row r="140" spans="75:75" x14ac:dyDescent="0.25">
      <c r="BW140" s="123" t="str">
        <f>PC!A142</f>
        <v>Mitsubishi Zubadan Inverter 10kW 3F</v>
      </c>
    </row>
    <row r="141" spans="75:75" x14ac:dyDescent="0.25">
      <c r="BW141" s="123" t="str">
        <f>PC!A143</f>
        <v>Mitsubishi Zubadan Inverter 12kW 3F</v>
      </c>
    </row>
    <row r="142" spans="75:75" x14ac:dyDescent="0.25">
      <c r="BW142" s="123" t="str">
        <f>PC!A144</f>
        <v>Mitsubishi Zubadan Inverter 14kW 3F</v>
      </c>
    </row>
    <row r="143" spans="75:75" x14ac:dyDescent="0.25">
      <c r="BW143" s="123" t="str">
        <f>PC!A145</f>
        <v>Mitsubishi Zubadan Inverter 23kW 3F</v>
      </c>
    </row>
    <row r="144" spans="75:75" x14ac:dyDescent="0.25">
      <c r="BW144" s="123" t="str">
        <f>PC!A146</f>
        <v>Daikin Altherma 3 R 4kW All in One 180l</v>
      </c>
    </row>
    <row r="145" spans="75:75" x14ac:dyDescent="0.25">
      <c r="BW145" s="123" t="str">
        <f>PC!A147</f>
        <v>Daikin Altherma 3 R 6kW All in One 180l</v>
      </c>
    </row>
    <row r="146" spans="75:75" x14ac:dyDescent="0.25">
      <c r="BW146" s="123" t="str">
        <f>PC!A148</f>
        <v>Daikin Altherma 3 R 4kW Split</v>
      </c>
    </row>
    <row r="147" spans="75:75" x14ac:dyDescent="0.25">
      <c r="BW147" s="123" t="str">
        <f>PC!A149</f>
        <v>Daikin Altherma 3 R 6kW Split</v>
      </c>
    </row>
    <row r="148" spans="75:75" x14ac:dyDescent="0.25">
      <c r="BW148" s="123" t="str">
        <f>PC!A150</f>
        <v>Obecne źródło ciepła</v>
      </c>
    </row>
    <row r="149" spans="75:75" x14ac:dyDescent="0.25">
      <c r="BW149" s="123">
        <f>PC!A151</f>
        <v>0</v>
      </c>
    </row>
    <row r="150" spans="75:75" x14ac:dyDescent="0.25">
      <c r="BW150" s="123">
        <f>PC!A152</f>
        <v>0</v>
      </c>
    </row>
    <row r="151" spans="75:75" x14ac:dyDescent="0.25">
      <c r="BW151" s="123">
        <f>PC!A153</f>
        <v>0</v>
      </c>
    </row>
    <row r="152" spans="75:75" x14ac:dyDescent="0.25">
      <c r="BW152" s="123">
        <f>PC!A154</f>
        <v>0</v>
      </c>
    </row>
    <row r="153" spans="75:75" x14ac:dyDescent="0.25">
      <c r="BW153" s="123">
        <f>PC!A155</f>
        <v>0</v>
      </c>
    </row>
    <row r="154" spans="75:75" x14ac:dyDescent="0.25">
      <c r="BW154" s="123">
        <f>PC!A156</f>
        <v>0</v>
      </c>
    </row>
    <row r="155" spans="75:75" x14ac:dyDescent="0.25">
      <c r="BW155" s="123">
        <f>PC!A157</f>
        <v>0</v>
      </c>
    </row>
    <row r="156" spans="75:75" x14ac:dyDescent="0.25">
      <c r="BW156" s="123">
        <f>PC!A158</f>
        <v>0</v>
      </c>
    </row>
    <row r="157" spans="75:75" x14ac:dyDescent="0.25">
      <c r="BW157" s="123">
        <f>PC!A159</f>
        <v>0</v>
      </c>
    </row>
    <row r="158" spans="75:75" x14ac:dyDescent="0.25">
      <c r="BW158" s="123">
        <f>PC!A160</f>
        <v>0</v>
      </c>
    </row>
    <row r="159" spans="75:75" x14ac:dyDescent="0.25">
      <c r="BW159" s="123">
        <f>PC!A161</f>
        <v>0</v>
      </c>
    </row>
    <row r="160" spans="75:75" x14ac:dyDescent="0.25">
      <c r="BW160" s="123">
        <f>PC!A162</f>
        <v>0</v>
      </c>
    </row>
    <row r="161" spans="75:75" x14ac:dyDescent="0.25">
      <c r="BW161" s="123">
        <f>PC!A163</f>
        <v>0</v>
      </c>
    </row>
    <row r="162" spans="75:75" x14ac:dyDescent="0.25">
      <c r="BW162" s="123">
        <f>PC!A164</f>
        <v>0</v>
      </c>
    </row>
    <row r="163" spans="75:75" x14ac:dyDescent="0.25">
      <c r="BW163" s="123">
        <f>PC!A165</f>
        <v>0</v>
      </c>
    </row>
    <row r="164" spans="75:75" x14ac:dyDescent="0.25">
      <c r="BW164" s="123">
        <f>PC!A166</f>
        <v>0</v>
      </c>
    </row>
    <row r="165" spans="75:75" x14ac:dyDescent="0.25">
      <c r="BW165" s="123">
        <f>PC!A167</f>
        <v>0</v>
      </c>
    </row>
    <row r="166" spans="75:75" x14ac:dyDescent="0.25">
      <c r="BW166" s="123">
        <f>PC!A168</f>
        <v>0</v>
      </c>
    </row>
    <row r="167" spans="75:75" x14ac:dyDescent="0.25">
      <c r="BW167" s="123">
        <f>PC!A169</f>
        <v>0</v>
      </c>
    </row>
    <row r="168" spans="75:75" x14ac:dyDescent="0.25">
      <c r="BW168" s="123">
        <f>PC!A170</f>
        <v>0</v>
      </c>
    </row>
    <row r="169" spans="75:75" x14ac:dyDescent="0.25">
      <c r="BW169" s="123">
        <f>PC!A171</f>
        <v>0</v>
      </c>
    </row>
    <row r="170" spans="75:75" x14ac:dyDescent="0.25">
      <c r="BW170" s="123">
        <f>PC!A172</f>
        <v>0</v>
      </c>
    </row>
    <row r="171" spans="75:75" x14ac:dyDescent="0.25">
      <c r="BW171" s="123">
        <f>PC!A173</f>
        <v>0</v>
      </c>
    </row>
    <row r="172" spans="75:75" x14ac:dyDescent="0.25">
      <c r="BW172" s="123">
        <f>PC!A174</f>
        <v>0</v>
      </c>
    </row>
    <row r="173" spans="75:75" x14ac:dyDescent="0.25">
      <c r="BW173" s="123">
        <f>PC!A175</f>
        <v>0</v>
      </c>
    </row>
    <row r="174" spans="75:75" x14ac:dyDescent="0.25">
      <c r="BW174" s="123">
        <f>PC!A176</f>
        <v>0</v>
      </c>
    </row>
    <row r="175" spans="75:75" x14ac:dyDescent="0.25">
      <c r="BW175" s="123">
        <f>PC!A177</f>
        <v>0</v>
      </c>
    </row>
    <row r="176" spans="75:75" x14ac:dyDescent="0.25">
      <c r="BW176" s="123">
        <f>PC!A178</f>
        <v>0</v>
      </c>
    </row>
    <row r="177" spans="75:75" x14ac:dyDescent="0.25">
      <c r="BW177" s="123">
        <f>PC!A179</f>
        <v>0</v>
      </c>
    </row>
    <row r="178" spans="75:75" x14ac:dyDescent="0.25">
      <c r="BW178" s="123">
        <f>PC!A180</f>
        <v>0</v>
      </c>
    </row>
    <row r="179" spans="75:75" x14ac:dyDescent="0.25">
      <c r="BW179" s="123">
        <f>PC!A181</f>
        <v>0</v>
      </c>
    </row>
    <row r="180" spans="75:75" x14ac:dyDescent="0.25">
      <c r="BW180" s="123">
        <f>PC!A182</f>
        <v>0</v>
      </c>
    </row>
    <row r="181" spans="75:75" x14ac:dyDescent="0.25">
      <c r="BW181" s="123">
        <f>PC!A183</f>
        <v>0</v>
      </c>
    </row>
    <row r="182" spans="75:75" x14ac:dyDescent="0.25">
      <c r="BW182" s="123">
        <f>PC!A184</f>
        <v>0</v>
      </c>
    </row>
    <row r="183" spans="75:75" x14ac:dyDescent="0.25">
      <c r="BW183" s="123">
        <f>PC!A185</f>
        <v>0</v>
      </c>
    </row>
    <row r="184" spans="75:75" x14ac:dyDescent="0.25">
      <c r="BW184" s="123">
        <f>PC!A186</f>
        <v>0</v>
      </c>
    </row>
    <row r="185" spans="75:75" x14ac:dyDescent="0.25">
      <c r="BW185" s="123">
        <f>PC!A187</f>
        <v>0</v>
      </c>
    </row>
    <row r="186" spans="75:75" x14ac:dyDescent="0.25">
      <c r="BW186" s="123">
        <f>PC!A188</f>
        <v>0</v>
      </c>
    </row>
    <row r="187" spans="75:75" x14ac:dyDescent="0.25">
      <c r="BW187" s="123">
        <f>PC!A189</f>
        <v>0</v>
      </c>
    </row>
    <row r="188" spans="75:75" x14ac:dyDescent="0.25">
      <c r="BW188" s="123">
        <f>PC!A190</f>
        <v>0</v>
      </c>
    </row>
    <row r="189" spans="75:75" x14ac:dyDescent="0.25">
      <c r="BW189" s="123">
        <f>PC!A191</f>
        <v>0</v>
      </c>
    </row>
    <row r="190" spans="75:75" x14ac:dyDescent="0.25">
      <c r="BW190" s="123">
        <f>PC!A192</f>
        <v>0</v>
      </c>
    </row>
    <row r="191" spans="75:75" x14ac:dyDescent="0.25">
      <c r="BW191" s="123">
        <f>PC!A193</f>
        <v>0</v>
      </c>
    </row>
    <row r="192" spans="75:75" x14ac:dyDescent="0.25">
      <c r="BW192" s="123">
        <f>PC!A194</f>
        <v>0</v>
      </c>
    </row>
    <row r="193" spans="75:75" x14ac:dyDescent="0.25">
      <c r="BW193" s="123">
        <f>PC!A195</f>
        <v>0</v>
      </c>
    </row>
    <row r="194" spans="75:75" x14ac:dyDescent="0.25">
      <c r="BW194" s="123">
        <f>PC!A196</f>
        <v>0</v>
      </c>
    </row>
    <row r="195" spans="75:75" x14ac:dyDescent="0.25">
      <c r="BW195" s="123">
        <f>PC!A197</f>
        <v>0</v>
      </c>
    </row>
    <row r="196" spans="75:75" x14ac:dyDescent="0.25">
      <c r="BW196" s="123">
        <f>PC!A198</f>
        <v>0</v>
      </c>
    </row>
    <row r="197" spans="75:75" x14ac:dyDescent="0.25">
      <c r="BW197" s="123">
        <f>PC!A199</f>
        <v>0</v>
      </c>
    </row>
    <row r="198" spans="75:75" x14ac:dyDescent="0.25">
      <c r="BW198" s="123">
        <f>PC!A200</f>
        <v>0</v>
      </c>
    </row>
    <row r="199" spans="75:75" x14ac:dyDescent="0.25">
      <c r="BW199" s="123">
        <f>PC!A201</f>
        <v>0</v>
      </c>
    </row>
    <row r="200" spans="75:75" x14ac:dyDescent="0.25">
      <c r="BW200" s="123">
        <f>PC!A202</f>
        <v>0</v>
      </c>
    </row>
    <row r="201" spans="75:75" x14ac:dyDescent="0.25">
      <c r="BW201" s="123">
        <f>PC!A203</f>
        <v>0</v>
      </c>
    </row>
    <row r="202" spans="75:75" x14ac:dyDescent="0.25">
      <c r="BW202" s="123">
        <f>PC!A204</f>
        <v>0</v>
      </c>
    </row>
    <row r="203" spans="75:75" x14ac:dyDescent="0.25">
      <c r="BW203" s="123">
        <f>PC!A205</f>
        <v>0</v>
      </c>
    </row>
    <row r="204" spans="75:75" x14ac:dyDescent="0.25">
      <c r="BW204" s="123">
        <f>PC!A206</f>
        <v>0</v>
      </c>
    </row>
    <row r="205" spans="75:75" x14ac:dyDescent="0.25">
      <c r="BW205" s="123">
        <f>PC!A207</f>
        <v>0</v>
      </c>
    </row>
    <row r="206" spans="75:75" x14ac:dyDescent="0.25">
      <c r="BW206" s="123">
        <f>PC!A208</f>
        <v>0</v>
      </c>
    </row>
    <row r="207" spans="75:75" x14ac:dyDescent="0.25">
      <c r="BW207" s="123">
        <f>PC!A216</f>
        <v>0</v>
      </c>
    </row>
    <row r="208" spans="75:75" x14ac:dyDescent="0.25">
      <c r="BW208" s="123">
        <f>PC!A217</f>
        <v>0</v>
      </c>
    </row>
    <row r="209" spans="75:75" x14ac:dyDescent="0.25">
      <c r="BW209" s="123">
        <f>PC!A218</f>
        <v>0</v>
      </c>
    </row>
    <row r="210" spans="75:75" x14ac:dyDescent="0.25">
      <c r="BW210" s="123">
        <f>PC!A219</f>
        <v>0</v>
      </c>
    </row>
    <row r="211" spans="75:75" x14ac:dyDescent="0.25">
      <c r="BW211" s="123">
        <f>PC!A220</f>
        <v>0</v>
      </c>
    </row>
    <row r="212" spans="75:75" x14ac:dyDescent="0.25">
      <c r="BW212" s="123">
        <f>PC!A221</f>
        <v>0</v>
      </c>
    </row>
    <row r="213" spans="75:75" x14ac:dyDescent="0.25">
      <c r="BW213" s="123">
        <f>PC!A222</f>
        <v>0</v>
      </c>
    </row>
    <row r="214" spans="75:75" x14ac:dyDescent="0.25">
      <c r="BW214" s="123">
        <f>PC!A223</f>
        <v>0</v>
      </c>
    </row>
    <row r="215" spans="75:75" x14ac:dyDescent="0.25">
      <c r="BW215" s="123">
        <f>PC!A224</f>
        <v>0</v>
      </c>
    </row>
    <row r="216" spans="75:75" x14ac:dyDescent="0.25">
      <c r="BW216" s="123">
        <f>PC!A225</f>
        <v>0</v>
      </c>
    </row>
    <row r="217" spans="75:75" x14ac:dyDescent="0.25">
      <c r="BW217" s="123">
        <f>PC!A226</f>
        <v>0</v>
      </c>
    </row>
    <row r="218" spans="75:75" x14ac:dyDescent="0.25">
      <c r="BW218" s="123">
        <f>PC!A236</f>
        <v>0</v>
      </c>
    </row>
    <row r="219" spans="75:75" x14ac:dyDescent="0.25">
      <c r="BW219" s="123">
        <f>PC!A237</f>
        <v>0</v>
      </c>
    </row>
    <row r="220" spans="75:75" x14ac:dyDescent="0.25">
      <c r="BW220" s="123">
        <f>PC!A238</f>
        <v>0</v>
      </c>
    </row>
    <row r="221" spans="75:75" x14ac:dyDescent="0.25">
      <c r="BW221" s="123">
        <f>PC!A239</f>
        <v>0</v>
      </c>
    </row>
    <row r="222" spans="75:75" x14ac:dyDescent="0.25">
      <c r="BW222" s="123">
        <f>PC!A240</f>
        <v>0</v>
      </c>
    </row>
    <row r="223" spans="75:75" x14ac:dyDescent="0.25">
      <c r="BW223" s="123">
        <f>PC!A241</f>
        <v>0</v>
      </c>
    </row>
    <row r="224" spans="75:75" x14ac:dyDescent="0.25">
      <c r="BW224" s="123">
        <f>PC!A242</f>
        <v>0</v>
      </c>
    </row>
    <row r="225" spans="75:75" x14ac:dyDescent="0.25">
      <c r="BW225" s="123">
        <f>PC!A243</f>
        <v>0</v>
      </c>
    </row>
    <row r="226" spans="75:75" x14ac:dyDescent="0.25">
      <c r="BW226" s="123">
        <f>PC!A244</f>
        <v>0</v>
      </c>
    </row>
  </sheetData>
  <protectedRanges>
    <protectedRange sqref="X3" name="Rozstęp1"/>
    <protectedRange sqref="R50:T50" name="Rozstęp7"/>
    <protectedRange sqref="R65 L58:L62 V48:W57 V63:W65 V58:V62" name="Rozstęp1_1"/>
  </protectedRanges>
  <mergeCells count="146">
    <mergeCell ref="AF64:AN64"/>
    <mergeCell ref="G73:L74"/>
    <mergeCell ref="M73:T74"/>
    <mergeCell ref="U73:Z74"/>
    <mergeCell ref="U75:Z76"/>
    <mergeCell ref="G75:T76"/>
    <mergeCell ref="A1:G2"/>
    <mergeCell ref="I1:N2"/>
    <mergeCell ref="O1:P2"/>
    <mergeCell ref="Q1:Q2"/>
    <mergeCell ref="S1:Z2"/>
    <mergeCell ref="G36:H36"/>
    <mergeCell ref="G37:H37"/>
    <mergeCell ref="J36:K36"/>
    <mergeCell ref="J37:K37"/>
    <mergeCell ref="G39:H39"/>
    <mergeCell ref="J39:K39"/>
    <mergeCell ref="G38:H38"/>
    <mergeCell ref="J38:K38"/>
    <mergeCell ref="O39:P39"/>
    <mergeCell ref="M39:N39"/>
    <mergeCell ref="M57:U57"/>
    <mergeCell ref="G50:K50"/>
    <mergeCell ref="L50:T50"/>
    <mergeCell ref="A7:C8"/>
    <mergeCell ref="D7:E8"/>
    <mergeCell ref="U3:V3"/>
    <mergeCell ref="U4:W4"/>
    <mergeCell ref="X50:Z50"/>
    <mergeCell ref="G48:K49"/>
    <mergeCell ref="L48:S48"/>
    <mergeCell ref="G44:AD45"/>
    <mergeCell ref="V46:W47"/>
    <mergeCell ref="X46:Z47"/>
    <mergeCell ref="AA46:AD46"/>
    <mergeCell ref="A3:C4"/>
    <mergeCell ref="A5:C6"/>
    <mergeCell ref="D5:E6"/>
    <mergeCell ref="D3:H4"/>
    <mergeCell ref="I3:N4"/>
    <mergeCell ref="O3:P4"/>
    <mergeCell ref="Q3:Q4"/>
    <mergeCell ref="O5:Q6"/>
    <mergeCell ref="R5:S6"/>
    <mergeCell ref="I5:N6"/>
    <mergeCell ref="G51:K51"/>
    <mergeCell ref="V51:W51"/>
    <mergeCell ref="X51:Z51"/>
    <mergeCell ref="AB1:AF1"/>
    <mergeCell ref="BB34:BD34"/>
    <mergeCell ref="X6:AD6"/>
    <mergeCell ref="AP3:AY3"/>
    <mergeCell ref="X3:AI3"/>
    <mergeCell ref="X5:AD5"/>
    <mergeCell ref="AF5:AH5"/>
    <mergeCell ref="BB16:BC16"/>
    <mergeCell ref="AP5:AT5"/>
    <mergeCell ref="BB29:BD29"/>
    <mergeCell ref="BB30:BD30"/>
    <mergeCell ref="BB31:BD31"/>
    <mergeCell ref="BB32:BD32"/>
    <mergeCell ref="BB33:BD33"/>
    <mergeCell ref="V50:W50"/>
    <mergeCell ref="AO35:AR35"/>
    <mergeCell ref="AI35:AL35"/>
    <mergeCell ref="L51:S51"/>
    <mergeCell ref="G64:U64"/>
    <mergeCell ref="V64:W64"/>
    <mergeCell ref="X64:Z64"/>
    <mergeCell ref="G65:U65"/>
    <mergeCell ref="AA47:AB47"/>
    <mergeCell ref="AC47:AD47"/>
    <mergeCell ref="AA69:AD69"/>
    <mergeCell ref="G42:I43"/>
    <mergeCell ref="J42:K43"/>
    <mergeCell ref="L49:S49"/>
    <mergeCell ref="X48:Z48"/>
    <mergeCell ref="V48:W48"/>
    <mergeCell ref="V49:W49"/>
    <mergeCell ref="X49:Z49"/>
    <mergeCell ref="V60:W60"/>
    <mergeCell ref="V61:W61"/>
    <mergeCell ref="V65:W65"/>
    <mergeCell ref="X65:Z65"/>
    <mergeCell ref="G63:U63"/>
    <mergeCell ref="G52:U52"/>
    <mergeCell ref="V52:W52"/>
    <mergeCell ref="X52:Z52"/>
    <mergeCell ref="X61:Z61"/>
    <mergeCell ref="X62:Z62"/>
    <mergeCell ref="X67:Z68"/>
    <mergeCell ref="AA67:AD68"/>
    <mergeCell ref="V63:W63"/>
    <mergeCell ref="X63:Z63"/>
    <mergeCell ref="V59:W59"/>
    <mergeCell ref="X59:Z59"/>
    <mergeCell ref="V58:W58"/>
    <mergeCell ref="X58:Z58"/>
    <mergeCell ref="V62:W62"/>
    <mergeCell ref="X60:Z60"/>
    <mergeCell ref="AA66:AD66"/>
    <mergeCell ref="G53:U53"/>
    <mergeCell ref="V53:W53"/>
    <mergeCell ref="X53:Z53"/>
    <mergeCell ref="G58:K62"/>
    <mergeCell ref="L58:U58"/>
    <mergeCell ref="L59:U59"/>
    <mergeCell ref="L60:U60"/>
    <mergeCell ref="L61:U61"/>
    <mergeCell ref="L62:U62"/>
    <mergeCell ref="V55:W55"/>
    <mergeCell ref="V56:W56"/>
    <mergeCell ref="V57:W57"/>
    <mergeCell ref="X54:Z54"/>
    <mergeCell ref="X55:Z55"/>
    <mergeCell ref="X56:Z56"/>
    <mergeCell ref="X57:Z57"/>
    <mergeCell ref="M54:U54"/>
    <mergeCell ref="M55:U55"/>
    <mergeCell ref="M56:U56"/>
    <mergeCell ref="G54:K57"/>
    <mergeCell ref="V54:W54"/>
    <mergeCell ref="G71:L72"/>
    <mergeCell ref="M71:T72"/>
    <mergeCell ref="U71:Z72"/>
    <mergeCell ref="G66:U66"/>
    <mergeCell ref="V66:W66"/>
    <mergeCell ref="X66:Z66"/>
    <mergeCell ref="AA48:AD48"/>
    <mergeCell ref="AA49:AD49"/>
    <mergeCell ref="AA50:AD50"/>
    <mergeCell ref="AA51:AD51"/>
    <mergeCell ref="AA52:AD52"/>
    <mergeCell ref="AA53:AD53"/>
    <mergeCell ref="AA54:AD54"/>
    <mergeCell ref="AA55:AD55"/>
    <mergeCell ref="AA56:AD56"/>
    <mergeCell ref="AA57:AD57"/>
    <mergeCell ref="AA58:AD58"/>
    <mergeCell ref="AA59:AD59"/>
    <mergeCell ref="AA60:AD60"/>
    <mergeCell ref="AA61:AD61"/>
    <mergeCell ref="AA62:AD62"/>
    <mergeCell ref="AA63:AD63"/>
    <mergeCell ref="AA64:AD64"/>
    <mergeCell ref="AA65:AD65"/>
  </mergeCells>
  <phoneticPr fontId="1" type="noConversion"/>
  <dataValidations count="13">
    <dataValidation type="list" allowBlank="1" showInputMessage="1" showErrorMessage="1" sqref="X3:AI3" xr:uid="{00000000-0002-0000-0100-000000000000}">
      <formula1>$BV$2:$BV$10</formula1>
    </dataValidation>
    <dataValidation type="list" allowBlank="1" showInputMessage="1" showErrorMessage="1" sqref="AO35:AR35" xr:uid="{00000000-0002-0000-0100-000003000000}">
      <formula1>$BY$2:$BY$52</formula1>
    </dataValidation>
    <dataValidation type="list" allowBlank="1" showInputMessage="1" showErrorMessage="1" sqref="AF5:AH5 BB14 BB7" xr:uid="{00000000-0002-0000-0100-000004000000}">
      <formula1>$BT$10:$BT$17</formula1>
    </dataValidation>
    <dataValidation type="list" allowBlank="1" showInputMessage="1" showErrorMessage="1" sqref="BE23:BE26" xr:uid="{00000000-0002-0000-0100-000005000000}">
      <formula1>$BT$2:$BT$17</formula1>
    </dataValidation>
    <dataValidation type="list" allowBlank="1" showInputMessage="1" showErrorMessage="1" sqref="BB31:BD34" xr:uid="{00000000-0002-0000-0100-000007000000}">
      <formula1>$CA$2:$CA$50</formula1>
    </dataValidation>
    <dataValidation type="list" allowBlank="1" showInputMessage="1" showErrorMessage="1" sqref="X6:AD6" xr:uid="{00000000-0002-0000-0100-000008000000}">
      <formula1>$BW$2:$BW$132</formula1>
    </dataValidation>
    <dataValidation type="list" allowBlank="1" showInputMessage="1" showErrorMessage="1" sqref="G52:U52" xr:uid="{73B5D3AC-AB82-4286-8CF7-AA147B2D179E}">
      <formula1>$CA$30:$CA$31</formula1>
    </dataValidation>
    <dataValidation type="list" allowBlank="1" showInputMessage="1" showErrorMessage="1" sqref="AP5:AT5" xr:uid="{6BAC58E2-CCF0-40DB-8378-2B71A6A3C3CC}">
      <formula1>$BX$3:$BX$82</formula1>
    </dataValidation>
    <dataValidation type="list" allowBlank="1" showInputMessage="1" showErrorMessage="1" sqref="M73:T74" xr:uid="{34525B3D-8147-4257-B912-C5B42BA2DD34}">
      <formula1>$CC$2:$CC$4</formula1>
    </dataValidation>
    <dataValidation type="list" allowBlank="1" showInputMessage="1" showErrorMessage="1" sqref="G53:U53" xr:uid="{21828B88-2A3C-44C7-94E6-64FEB4C1F62D}">
      <formula1>$CA$27:$CA$29</formula1>
    </dataValidation>
    <dataValidation type="list" allowBlank="1" showInputMessage="1" showErrorMessage="1" sqref="BB30:BD30" xr:uid="{21F4D470-1567-435D-A9A4-C48F4F2B78E7}">
      <formula1>$CA$8:$CA$26</formula1>
    </dataValidation>
    <dataValidation type="list" allowBlank="1" showInputMessage="1" showErrorMessage="1" sqref="M71:T72" xr:uid="{32E8F6C0-BF55-41DA-A716-5D41A700EA4A}">
      <formula1>$CB$1:$CB$6</formula1>
    </dataValidation>
    <dataValidation type="list" allowBlank="1" showInputMessage="1" showErrorMessage="1" sqref="X5:AD5" xr:uid="{5743AAF3-5EE3-4240-BB21-AA6F273B1278}">
      <formula1>$BW$2:$BW$147</formula1>
    </dataValidation>
  </dataValidations>
  <hyperlinks>
    <hyperlink ref="A1:E1" r:id="rId1" display="Oblicz Moc Pompy Ciepła" xr:uid="{00000000-0004-0000-01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0" r:id="rId5" name="Button 246">
              <controlPr defaultSize="0" print="0" autoFill="0" autoPict="0" macro="[0]!oferta">
                <anchor moveWithCells="1" sizeWithCells="1">
                  <from>
                    <xdr:col>14</xdr:col>
                    <xdr:colOff>161925</xdr:colOff>
                    <xdr:row>35</xdr:row>
                    <xdr:rowOff>28575</xdr:rowOff>
                  </from>
                  <to>
                    <xdr:col>22</xdr:col>
                    <xdr:colOff>323850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6" name="Button 715">
              <controlPr defaultSize="0" print="0" autoFill="0" autoPict="0" macro="[0]!Oblicz_K">
                <anchor moveWithCells="1" sizeWithCells="1">
                  <from>
                    <xdr:col>10</xdr:col>
                    <xdr:colOff>161925</xdr:colOff>
                    <xdr:row>7</xdr:row>
                    <xdr:rowOff>28575</xdr:rowOff>
                  </from>
                  <to>
                    <xdr:col>19</xdr:col>
                    <xdr:colOff>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9000000}">
          <x14:formula1>
            <xm:f>'Baza danych'!$A$1:$A$4</xm:f>
          </x14:formula1>
          <xm:sqref>BB23:BB26</xm:sqref>
        </x14:dataValidation>
        <x14:dataValidation type="list" allowBlank="1" showInputMessage="1" showErrorMessage="1" xr:uid="{00000000-0002-0000-0100-00000A000000}">
          <x14:formula1>
            <xm:f>'Baza danych'!$B$1:$B$3</xm:f>
          </x14:formula1>
          <xm:sqref>BD23:BD26 AV5 BB10</xm:sqref>
        </x14:dataValidation>
        <x14:dataValidation type="list" allowBlank="1" showInputMessage="1" showErrorMessage="1" xr:uid="{00000000-0002-0000-0100-00000B000000}">
          <x14:formula1>
            <xm:f>'Baza danych'!$A$18:$A$19</xm:f>
          </x14:formula1>
          <xm:sqref>BB16:BC16 AI35:AL35</xm:sqref>
        </x14:dataValidation>
        <x14:dataValidation type="list" allowBlank="1" showInputMessage="1" showErrorMessage="1" xr:uid="{00000000-0002-0000-0100-00000D000000}">
          <x14:formula1>
            <xm:f>'Baza danych'!$A$30:$A$52</xm:f>
          </x14:formula1>
          <xm:sqref>S1:Z2</xm:sqref>
        </x14:dataValidation>
        <x14:dataValidation type="list" allowBlank="1" showInputMessage="1" showErrorMessage="1" xr:uid="{AB6A86FC-E5C0-4658-9F72-4EB6A36F4001}">
          <x14:formula1>
            <xm:f>'Baza danych'!$J$6:$J$8</xm:f>
          </x14:formula1>
          <xm:sqref>BC23:BC26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9F69D-1068-4B32-86CF-EA53F0869ECF}">
  <sheetPr codeName="Arkusz21"/>
  <dimension ref="A1:AH181"/>
  <sheetViews>
    <sheetView showGridLines="0" topLeftCell="A20" zoomScale="85" zoomScaleNormal="85" workbookViewId="0">
      <selection activeCell="Q81" sqref="Q81"/>
    </sheetView>
  </sheetViews>
  <sheetFormatPr defaultRowHeight="19.5" x14ac:dyDescent="0.3"/>
  <cols>
    <col min="1" max="1" width="49.7109375" style="171" customWidth="1"/>
    <col min="2" max="13" width="5.7109375" style="171" customWidth="1"/>
    <col min="14" max="14" width="9.140625" style="171"/>
    <col min="15" max="15" width="19.28515625" style="171" customWidth="1"/>
    <col min="16" max="21" width="18.28515625" style="171" customWidth="1"/>
    <col min="22" max="22" width="9.140625" style="171"/>
    <col min="23" max="23" width="28.140625" style="171" bestFit="1" customWidth="1"/>
    <col min="24" max="24" width="6.42578125" style="171" customWidth="1"/>
    <col min="25" max="25" width="50.7109375" style="171" customWidth="1"/>
    <col min="26" max="26" width="7" style="171" customWidth="1"/>
    <col min="27" max="27" width="24.7109375" style="171" customWidth="1"/>
    <col min="28" max="28" width="9.5703125" style="172" customWidth="1"/>
    <col min="29" max="29" width="46.28515625" style="171" customWidth="1"/>
    <col min="30" max="30" width="30.28515625" style="171" customWidth="1"/>
    <col min="31" max="31" width="19.5703125" style="171" customWidth="1"/>
    <col min="32" max="32" width="37.7109375" style="171" customWidth="1"/>
    <col min="33" max="33" width="10.42578125" style="171" bestFit="1" customWidth="1"/>
    <col min="34" max="34" width="52.42578125" style="171" customWidth="1"/>
    <col min="35" max="35" width="16.85546875" style="171" customWidth="1"/>
    <col min="36" max="36" width="3.42578125" style="171" customWidth="1"/>
    <col min="37" max="37" width="47.7109375" style="171" bestFit="1" customWidth="1"/>
    <col min="38" max="16384" width="9.140625" style="171"/>
  </cols>
  <sheetData>
    <row r="1" spans="1:29" ht="33.75" customHeight="1" x14ac:dyDescent="0.3">
      <c r="A1" s="178" t="s">
        <v>463</v>
      </c>
      <c r="B1" s="337" t="str">
        <f>Budynek!$F$33</f>
        <v>piętrowy</v>
      </c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4"/>
      <c r="AA1" s="199" t="s">
        <v>956</v>
      </c>
      <c r="AB1" s="199">
        <f>marża</f>
        <v>20</v>
      </c>
      <c r="AC1" s="200" t="s">
        <v>955</v>
      </c>
    </row>
    <row r="2" spans="1:29" ht="33.75" customHeight="1" x14ac:dyDescent="0.3">
      <c r="A2" s="179" t="s">
        <v>481</v>
      </c>
      <c r="B2" s="341">
        <f>Budynek!$J$35</f>
        <v>10</v>
      </c>
      <c r="C2" s="341"/>
      <c r="D2" s="341"/>
      <c r="E2" s="341"/>
      <c r="F2" s="162" t="s">
        <v>410</v>
      </c>
      <c r="G2" s="161" t="s">
        <v>543</v>
      </c>
      <c r="H2" s="162">
        <f>Budynek!$N$35</f>
        <v>7</v>
      </c>
      <c r="I2" s="339" t="s">
        <v>410</v>
      </c>
      <c r="J2" s="339"/>
      <c r="K2" s="339"/>
      <c r="L2" s="339"/>
      <c r="M2" s="340"/>
    </row>
    <row r="3" spans="1:29" ht="33.75" customHeight="1" x14ac:dyDescent="0.3">
      <c r="A3" s="179" t="s">
        <v>408</v>
      </c>
      <c r="B3" s="341">
        <f>Schemat!O5</f>
        <v>110</v>
      </c>
      <c r="C3" s="341"/>
      <c r="D3" s="341"/>
      <c r="E3" s="341"/>
      <c r="F3" s="341"/>
      <c r="G3" s="341"/>
      <c r="H3" s="339" t="s">
        <v>410</v>
      </c>
      <c r="I3" s="339"/>
      <c r="J3" s="339"/>
      <c r="K3" s="339"/>
      <c r="L3" s="339"/>
      <c r="M3" s="340"/>
    </row>
    <row r="4" spans="1:29" ht="33.75" customHeight="1" x14ac:dyDescent="0.3">
      <c r="A4" s="179" t="s">
        <v>482</v>
      </c>
      <c r="B4" s="341">
        <f>Budynek!$J$39</f>
        <v>2.5</v>
      </c>
      <c r="C4" s="341"/>
      <c r="D4" s="341"/>
      <c r="E4" s="341"/>
      <c r="F4" s="341"/>
      <c r="G4" s="341"/>
      <c r="H4" s="339" t="s">
        <v>410</v>
      </c>
      <c r="I4" s="339"/>
      <c r="J4" s="339"/>
      <c r="K4" s="339"/>
      <c r="L4" s="339"/>
      <c r="M4" s="340"/>
    </row>
    <row r="5" spans="1:29" ht="33.75" customHeight="1" x14ac:dyDescent="0.3">
      <c r="A5" s="179" t="s">
        <v>544</v>
      </c>
      <c r="B5" s="341">
        <f>Budynek!$J$41</f>
        <v>23</v>
      </c>
      <c r="C5" s="341"/>
      <c r="D5" s="341"/>
      <c r="E5" s="341"/>
      <c r="F5" s="341"/>
      <c r="G5" s="341"/>
      <c r="H5" s="339" t="s">
        <v>607</v>
      </c>
      <c r="I5" s="339"/>
      <c r="J5" s="339"/>
      <c r="K5" s="339"/>
      <c r="L5" s="339"/>
      <c r="M5" s="340"/>
    </row>
    <row r="6" spans="1:29" ht="33.75" customHeight="1" x14ac:dyDescent="0.3">
      <c r="A6" s="180" t="s">
        <v>546</v>
      </c>
      <c r="B6" s="353" t="str">
        <f>Budynek!$J$45</f>
        <v>NIE</v>
      </c>
      <c r="C6" s="353"/>
      <c r="D6" s="353"/>
      <c r="E6" s="353"/>
      <c r="F6" s="353"/>
      <c r="G6" s="353"/>
      <c r="H6" s="353"/>
      <c r="I6" s="353"/>
      <c r="J6" s="353"/>
      <c r="K6" s="353"/>
      <c r="L6" s="353"/>
      <c r="M6" s="354"/>
    </row>
    <row r="7" spans="1:29" ht="33.75" customHeight="1" x14ac:dyDescent="0.3">
      <c r="A7" s="180" t="s">
        <v>547</v>
      </c>
      <c r="B7" s="353" t="str">
        <f>Budynek!J47</f>
        <v>Porotherm</v>
      </c>
      <c r="C7" s="353"/>
      <c r="D7" s="353"/>
      <c r="E7" s="353"/>
      <c r="F7" s="353"/>
      <c r="G7" s="353"/>
      <c r="H7" s="353"/>
      <c r="I7" s="352">
        <f>Budynek!$R$47</f>
        <v>24</v>
      </c>
      <c r="J7" s="352"/>
      <c r="K7" s="357" t="s">
        <v>438</v>
      </c>
      <c r="L7" s="357"/>
      <c r="M7" s="358"/>
    </row>
    <row r="8" spans="1:29" ht="33.75" customHeight="1" x14ac:dyDescent="0.3">
      <c r="A8" s="180" t="s">
        <v>548</v>
      </c>
      <c r="B8" s="353" t="str">
        <f>Budynek!J49</f>
        <v>Styropian</v>
      </c>
      <c r="C8" s="353"/>
      <c r="D8" s="353"/>
      <c r="E8" s="353"/>
      <c r="F8" s="353"/>
      <c r="G8" s="353"/>
      <c r="H8" s="353"/>
      <c r="I8" s="352">
        <f>Budynek!$R$49</f>
        <v>20</v>
      </c>
      <c r="J8" s="352"/>
      <c r="K8" s="357" t="s">
        <v>438</v>
      </c>
      <c r="L8" s="357"/>
      <c r="M8" s="358"/>
    </row>
    <row r="9" spans="1:29" ht="33.75" customHeight="1" x14ac:dyDescent="0.3">
      <c r="A9" s="180" t="s">
        <v>549</v>
      </c>
      <c r="B9" s="353" t="str">
        <f>Budynek!J51</f>
        <v>piana pur</v>
      </c>
      <c r="C9" s="353"/>
      <c r="D9" s="353"/>
      <c r="E9" s="353"/>
      <c r="F9" s="353"/>
      <c r="G9" s="353"/>
      <c r="H9" s="353"/>
      <c r="I9" s="352">
        <f>Budynek!$R$51</f>
        <v>25</v>
      </c>
      <c r="J9" s="352"/>
      <c r="K9" s="357" t="s">
        <v>438</v>
      </c>
      <c r="L9" s="357"/>
      <c r="M9" s="358"/>
    </row>
    <row r="10" spans="1:29" ht="33.75" customHeight="1" x14ac:dyDescent="0.3">
      <c r="A10" s="179" t="s">
        <v>550</v>
      </c>
      <c r="B10" s="353" t="str">
        <f>Budynek!J53</f>
        <v>Styropian</v>
      </c>
      <c r="C10" s="353"/>
      <c r="D10" s="353"/>
      <c r="E10" s="353"/>
      <c r="F10" s="353"/>
      <c r="G10" s="353"/>
      <c r="H10" s="353"/>
      <c r="I10" s="352">
        <f>Budynek!$R$53</f>
        <v>10</v>
      </c>
      <c r="J10" s="352"/>
      <c r="K10" s="357" t="s">
        <v>438</v>
      </c>
      <c r="L10" s="357"/>
      <c r="M10" s="358"/>
    </row>
    <row r="11" spans="1:29" ht="33.75" customHeight="1" x14ac:dyDescent="0.3">
      <c r="A11" s="179" t="s">
        <v>954</v>
      </c>
      <c r="B11" s="337" t="str">
        <f>Budynek!J55</f>
        <v>trójszybowa</v>
      </c>
      <c r="C11" s="337"/>
      <c r="D11" s="337"/>
      <c r="E11" s="337"/>
      <c r="F11" s="337"/>
      <c r="G11" s="337"/>
      <c r="H11" s="337"/>
      <c r="I11" s="341">
        <f>Budynek!$R$55</f>
        <v>6</v>
      </c>
      <c r="J11" s="341"/>
      <c r="K11" s="339" t="s">
        <v>366</v>
      </c>
      <c r="L11" s="339"/>
      <c r="M11" s="340"/>
    </row>
    <row r="12" spans="1:29" ht="33.75" customHeight="1" x14ac:dyDescent="0.3">
      <c r="A12" s="179" t="s">
        <v>552</v>
      </c>
      <c r="B12" s="341">
        <f>Budynek!$R$57</f>
        <v>1</v>
      </c>
      <c r="C12" s="341"/>
      <c r="D12" s="341"/>
      <c r="E12" s="341"/>
      <c r="F12" s="341"/>
      <c r="G12" s="341"/>
      <c r="H12" s="341"/>
      <c r="I12" s="341"/>
      <c r="J12" s="341"/>
      <c r="K12" s="339" t="s">
        <v>366</v>
      </c>
      <c r="L12" s="339"/>
      <c r="M12" s="340"/>
    </row>
    <row r="13" spans="1:29" ht="33.75" customHeight="1" x14ac:dyDescent="0.3">
      <c r="A13" s="179" t="s">
        <v>553</v>
      </c>
      <c r="B13" s="337" t="str">
        <f>Budynek!$J$59</f>
        <v>grawitacyjna</v>
      </c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4"/>
    </row>
    <row r="14" spans="1:29" ht="33.75" customHeight="1" x14ac:dyDescent="0.3">
      <c r="A14" s="179" t="s">
        <v>554</v>
      </c>
      <c r="B14" s="341">
        <f>Budynek!G68</f>
        <v>4</v>
      </c>
      <c r="C14" s="341"/>
      <c r="D14" s="341"/>
      <c r="E14" s="339" t="s">
        <v>606</v>
      </c>
      <c r="F14" s="339"/>
      <c r="G14" s="339"/>
      <c r="H14" s="330">
        <f>Budynek!$I$72</f>
        <v>200</v>
      </c>
      <c r="I14" s="341"/>
      <c r="J14" s="341"/>
      <c r="K14" s="339" t="s">
        <v>107</v>
      </c>
      <c r="L14" s="339"/>
      <c r="M14" s="340"/>
    </row>
    <row r="15" spans="1:29" ht="33.75" customHeight="1" x14ac:dyDescent="0.3">
      <c r="A15" s="179" t="s">
        <v>565</v>
      </c>
      <c r="B15" s="337" t="str">
        <f>Budynek!$J$61</f>
        <v>ekogroszek</v>
      </c>
      <c r="C15" s="337"/>
      <c r="D15" s="337"/>
      <c r="E15" s="337"/>
      <c r="F15" s="337"/>
      <c r="G15" s="334"/>
      <c r="H15" s="336">
        <f>Budynek!$J$63</f>
        <v>6000</v>
      </c>
      <c r="I15" s="337"/>
      <c r="J15" s="337"/>
      <c r="K15" s="337"/>
      <c r="L15" s="337"/>
      <c r="M15" s="334"/>
    </row>
    <row r="16" spans="1:29" ht="33.75" customHeight="1" x14ac:dyDescent="0.3">
      <c r="A16" s="181" t="s">
        <v>555</v>
      </c>
      <c r="B16" s="344" t="s">
        <v>384</v>
      </c>
      <c r="C16" s="344"/>
      <c r="D16" s="344"/>
      <c r="E16" s="355">
        <f>Budynek!$A$37</f>
        <v>4.0157314718667516</v>
      </c>
      <c r="F16" s="355"/>
      <c r="G16" s="182" t="s">
        <v>84</v>
      </c>
      <c r="H16" s="344" t="s">
        <v>385</v>
      </c>
      <c r="I16" s="344"/>
      <c r="J16" s="344"/>
      <c r="K16" s="356">
        <f>Budynek!$A$68</f>
        <v>0.5</v>
      </c>
      <c r="L16" s="356"/>
      <c r="M16" s="183" t="s">
        <v>84</v>
      </c>
    </row>
    <row r="17" spans="15:21" ht="30" customHeight="1" x14ac:dyDescent="0.3">
      <c r="O17" s="319" t="s">
        <v>609</v>
      </c>
      <c r="P17" s="319" t="s">
        <v>610</v>
      </c>
      <c r="Q17" s="319"/>
      <c r="R17" s="319" t="s">
        <v>611</v>
      </c>
      <c r="S17" s="319"/>
      <c r="T17" s="319" t="s">
        <v>210</v>
      </c>
      <c r="U17" s="319"/>
    </row>
    <row r="18" spans="15:21" ht="30" customHeight="1" x14ac:dyDescent="0.3">
      <c r="O18" s="319"/>
      <c r="P18" s="164" t="s">
        <v>196</v>
      </c>
      <c r="Q18" s="164" t="s">
        <v>199</v>
      </c>
      <c r="R18" s="164" t="s">
        <v>196</v>
      </c>
      <c r="S18" s="164" t="s">
        <v>199</v>
      </c>
      <c r="T18" s="164" t="s">
        <v>196</v>
      </c>
      <c r="U18" s="164" t="s">
        <v>199</v>
      </c>
    </row>
    <row r="19" spans="15:21" ht="30" customHeight="1" x14ac:dyDescent="0.3">
      <c r="O19" s="164" t="s">
        <v>613</v>
      </c>
      <c r="P19" s="165">
        <f>wykres!B37*1.1</f>
        <v>413.02885093521354</v>
      </c>
      <c r="Q19" s="166">
        <f>P19*Schemat!$E$40*1.1</f>
        <v>417.98519714643612</v>
      </c>
      <c r="R19" s="165">
        <f>wykres!B65*1.1</f>
        <v>30.412138447971795</v>
      </c>
      <c r="S19" s="166">
        <f>R19*Schemat!$E$40*1.1</f>
        <v>30.777084109347463</v>
      </c>
      <c r="T19" s="165">
        <f>wykres!B51*1.1</f>
        <v>0</v>
      </c>
      <c r="U19" s="166">
        <f>T19*Schemat!$E$40*1.1</f>
        <v>0</v>
      </c>
    </row>
    <row r="20" spans="15:21" ht="30" customHeight="1" x14ac:dyDescent="0.3">
      <c r="O20" s="164" t="s">
        <v>614</v>
      </c>
      <c r="P20" s="165">
        <f>wykres!B38*1.1</f>
        <v>382.22918160263259</v>
      </c>
      <c r="Q20" s="166">
        <f>P20*Schemat!$E$40*1.1</f>
        <v>386.81593178186426</v>
      </c>
      <c r="R20" s="165">
        <f>wykres!B66*1.1</f>
        <v>27.70252998236332</v>
      </c>
      <c r="S20" s="166">
        <f>R20*Schemat!$E$40*1.1</f>
        <v>28.034960342151681</v>
      </c>
      <c r="T20" s="165">
        <f>wykres!B52*1.1</f>
        <v>0</v>
      </c>
      <c r="U20" s="166">
        <f>T20*Schemat!$E$40*1.1</f>
        <v>0</v>
      </c>
    </row>
    <row r="21" spans="15:21" ht="30" customHeight="1" x14ac:dyDescent="0.3">
      <c r="O21" s="164" t="s">
        <v>615</v>
      </c>
      <c r="P21" s="165">
        <f>wykres!B39*1.1</f>
        <v>261.50841787074506</v>
      </c>
      <c r="Q21" s="166">
        <f>P21*Schemat!$E$40*1.1</f>
        <v>264.64651888519404</v>
      </c>
      <c r="R21" s="165">
        <f>wykres!B67*1.1</f>
        <v>25.317827094327477</v>
      </c>
      <c r="S21" s="166">
        <f>R21*Schemat!$E$40*1.1</f>
        <v>25.62164101945941</v>
      </c>
      <c r="T21" s="165">
        <f>wykres!B53*1.1</f>
        <v>0</v>
      </c>
      <c r="U21" s="166">
        <f>T21*Schemat!$E$40*1.1</f>
        <v>0</v>
      </c>
    </row>
    <row r="22" spans="15:21" ht="30" customHeight="1" x14ac:dyDescent="0.3">
      <c r="O22" s="164" t="s">
        <v>616</v>
      </c>
      <c r="P22" s="165">
        <f>wykres!B40*1.1</f>
        <v>137.4307853380034</v>
      </c>
      <c r="Q22" s="166">
        <f>P22*Schemat!$E$40*1.1</f>
        <v>139.07995476205946</v>
      </c>
      <c r="R22" s="165">
        <f>wykres!B68*1.1</f>
        <v>19.475627316781846</v>
      </c>
      <c r="S22" s="166">
        <f>R22*Schemat!$E$40*1.1</f>
        <v>19.709334844583228</v>
      </c>
      <c r="T22" s="165">
        <f>wykres!B54*1.1</f>
        <v>0</v>
      </c>
      <c r="U22" s="166">
        <f>T22*Schemat!$E$40*1.1</f>
        <v>0</v>
      </c>
    </row>
    <row r="23" spans="15:21" ht="30" customHeight="1" x14ac:dyDescent="0.3">
      <c r="O23" s="164" t="s">
        <v>617</v>
      </c>
      <c r="P23" s="165">
        <f>wykres!B41*1.1</f>
        <v>57.59013015912506</v>
      </c>
      <c r="Q23" s="166">
        <f>P23*Schemat!$E$40*1.1</f>
        <v>58.281211721034566</v>
      </c>
      <c r="R23" s="165">
        <f>wykres!B69*1.1</f>
        <v>16.324367540634061</v>
      </c>
      <c r="S23" s="166">
        <f>R23*Schemat!$E$40*1.1</f>
        <v>16.520259951121673</v>
      </c>
      <c r="T23" s="165">
        <f>wykres!B55*1.1</f>
        <v>0</v>
      </c>
      <c r="U23" s="166">
        <f>T23*Schemat!$E$40*1.1</f>
        <v>0</v>
      </c>
    </row>
    <row r="24" spans="15:21" ht="30" customHeight="1" x14ac:dyDescent="0.3">
      <c r="O24" s="164" t="s">
        <v>618</v>
      </c>
      <c r="P24" s="165">
        <f>wykres!B42*1.1</f>
        <v>34.411773958065119</v>
      </c>
      <c r="Q24" s="166">
        <f>P24*Schemat!$E$40*1.1</f>
        <v>34.824715245561904</v>
      </c>
      <c r="R24" s="165">
        <f>wykres!B70*1.1</f>
        <v>14.819594728354863</v>
      </c>
      <c r="S24" s="166">
        <f>R24*Schemat!$E$40*1.1</f>
        <v>14.997429865095123</v>
      </c>
      <c r="T24" s="165">
        <f>wykres!B56*1.1</f>
        <v>0</v>
      </c>
      <c r="U24" s="166">
        <f>T24*Schemat!$E$40*1.1</f>
        <v>0</v>
      </c>
    </row>
    <row r="25" spans="15:21" ht="30" customHeight="1" x14ac:dyDescent="0.3">
      <c r="O25" s="164" t="s">
        <v>619</v>
      </c>
      <c r="P25" s="165">
        <f>wykres!B43*1.1</f>
        <v>21.765561322914216</v>
      </c>
      <c r="Q25" s="166">
        <f>P25*Schemat!$E$40*1.1</f>
        <v>22.026748058789192</v>
      </c>
      <c r="R25" s="165">
        <f>wykres!B71*1.1</f>
        <v>14.307729209546597</v>
      </c>
      <c r="S25" s="166">
        <f>R25*Schemat!$E$40*1.1</f>
        <v>14.479421960061158</v>
      </c>
      <c r="T25" s="165">
        <f>wykres!B57*1.1</f>
        <v>0</v>
      </c>
      <c r="U25" s="166">
        <f>T25*Schemat!$E$40*1.1</f>
        <v>0</v>
      </c>
    </row>
    <row r="26" spans="15:21" ht="30" customHeight="1" x14ac:dyDescent="0.3">
      <c r="O26" s="164" t="s">
        <v>620</v>
      </c>
      <c r="P26" s="165">
        <f>wykres!B44*1.1</f>
        <v>19.329833788400297</v>
      </c>
      <c r="Q26" s="166">
        <f>P26*Schemat!$E$40*1.1</f>
        <v>19.561791793861101</v>
      </c>
      <c r="R26" s="165">
        <f>wykres!B72*1.1</f>
        <v>14.43029149101908</v>
      </c>
      <c r="S26" s="166">
        <f>R26*Schemat!$E$40*1.1</f>
        <v>14.603454988911311</v>
      </c>
      <c r="T26" s="165">
        <f>wykres!B58*1.1</f>
        <v>0</v>
      </c>
      <c r="U26" s="166">
        <f>T26*Schemat!$E$40*1.1</f>
        <v>0</v>
      </c>
    </row>
    <row r="27" spans="15:21" ht="30" customHeight="1" x14ac:dyDescent="0.3">
      <c r="O27" s="164" t="s">
        <v>621</v>
      </c>
      <c r="P27" s="165">
        <f>wykres!B45*1.1</f>
        <v>64.098009539500183</v>
      </c>
      <c r="Q27" s="166">
        <f>P27*Schemat!$E$40*1.1</f>
        <v>64.86718565397419</v>
      </c>
      <c r="R27" s="165">
        <f>wykres!B73*1.1</f>
        <v>16.162794329156846</v>
      </c>
      <c r="S27" s="166">
        <f>R27*Schemat!$E$40*1.1</f>
        <v>16.356747861106729</v>
      </c>
      <c r="T27" s="165">
        <f>wykres!B59*1.1</f>
        <v>0</v>
      </c>
      <c r="U27" s="166">
        <f>T27*Schemat!$E$40*1.1</f>
        <v>0</v>
      </c>
    </row>
    <row r="28" spans="15:21" ht="30" customHeight="1" x14ac:dyDescent="0.3">
      <c r="O28" s="164" t="s">
        <v>622</v>
      </c>
      <c r="P28" s="165">
        <f>wykres!B46*1.1</f>
        <v>134.99096765730729</v>
      </c>
      <c r="Q28" s="166">
        <f>P28*Schemat!$E$40*1.1</f>
        <v>136.610859269195</v>
      </c>
      <c r="R28" s="165">
        <f>wykres!B74*1.1</f>
        <v>19.79527771220258</v>
      </c>
      <c r="S28" s="166">
        <f>R28*Schemat!$E$40*1.1</f>
        <v>20.032821044749014</v>
      </c>
      <c r="T28" s="165">
        <f>wykres!B60*1.1</f>
        <v>0</v>
      </c>
      <c r="U28" s="166">
        <f>T28*Schemat!$E$40*1.1</f>
        <v>0</v>
      </c>
    </row>
    <row r="29" spans="15:21" ht="30" customHeight="1" x14ac:dyDescent="0.3">
      <c r="O29" s="164" t="s">
        <v>623</v>
      </c>
      <c r="P29" s="165">
        <f>wykres!B47*1.1</f>
        <v>231.2378572993693</v>
      </c>
      <c r="Q29" s="166">
        <f>P29*Schemat!$E$40*1.1</f>
        <v>234.01271158696176</v>
      </c>
      <c r="R29" s="165">
        <f>wykres!B75*1.1</f>
        <v>23.543120753932612</v>
      </c>
      <c r="S29" s="166">
        <f>R29*Schemat!$E$40*1.1</f>
        <v>23.825638202979807</v>
      </c>
      <c r="T29" s="165">
        <f>wykres!B61*1.1</f>
        <v>0</v>
      </c>
      <c r="U29" s="166">
        <f>T29*Schemat!$E$40*1.1</f>
        <v>0</v>
      </c>
    </row>
    <row r="30" spans="15:21" ht="30" customHeight="1" x14ac:dyDescent="0.3">
      <c r="O30" s="164" t="s">
        <v>624</v>
      </c>
      <c r="P30" s="165">
        <f>wykres!B48*1.1</f>
        <v>419.30653222526558</v>
      </c>
      <c r="Q30" s="166">
        <f>P30*Schemat!$E$40*1.1</f>
        <v>424.3382106119688</v>
      </c>
      <c r="R30" s="165">
        <f>wykres!B76*1.1</f>
        <v>30.439366717819741</v>
      </c>
      <c r="S30" s="166">
        <f>R30*Schemat!$E$40*1.1</f>
        <v>30.804639118433581</v>
      </c>
      <c r="T30" s="165">
        <f>wykres!B62*1.1</f>
        <v>0</v>
      </c>
      <c r="U30" s="166">
        <f>T30*Schemat!$E$40*1.1</f>
        <v>0</v>
      </c>
    </row>
    <row r="31" spans="15:21" ht="30" customHeight="1" x14ac:dyDescent="0.3">
      <c r="O31" s="164" t="s">
        <v>625</v>
      </c>
      <c r="P31" s="167">
        <f>SUM(P19:P30)</f>
        <v>2176.927901696542</v>
      </c>
      <c r="Q31" s="168">
        <f t="shared" ref="Q31:U31" si="0">SUM(Q19:Q30)</f>
        <v>2203.0510365169007</v>
      </c>
      <c r="R31" s="167">
        <f t="shared" si="0"/>
        <v>252.73066532411084</v>
      </c>
      <c r="S31" s="168">
        <f t="shared" si="0"/>
        <v>255.7634333080002</v>
      </c>
      <c r="T31" s="167">
        <f t="shared" si="0"/>
        <v>0</v>
      </c>
      <c r="U31" s="168">
        <f t="shared" si="0"/>
        <v>0</v>
      </c>
    </row>
    <row r="32" spans="15:21" ht="30" customHeight="1" x14ac:dyDescent="0.3">
      <c r="O32" s="321" t="s">
        <v>612</v>
      </c>
      <c r="P32" s="321"/>
      <c r="Q32" s="321"/>
      <c r="R32" s="321"/>
      <c r="S32" s="321"/>
      <c r="T32" s="322">
        <f>SUM(Q31,S31,U31)</f>
        <v>2458.8144698249007</v>
      </c>
      <c r="U32" s="322"/>
    </row>
    <row r="33" spans="1:17" ht="30" customHeight="1" x14ac:dyDescent="0.3"/>
    <row r="34" spans="1:17" ht="30" customHeight="1" x14ac:dyDescent="0.3">
      <c r="A34" s="169" t="s">
        <v>560</v>
      </c>
      <c r="B34" s="332" t="str">
        <f>Schemat!L48</f>
        <v>Panasonic 9kW  T-CAP 3F</v>
      </c>
      <c r="C34" s="332"/>
      <c r="D34" s="332"/>
      <c r="E34" s="332"/>
      <c r="F34" s="332"/>
      <c r="G34" s="332"/>
      <c r="H34" s="332"/>
      <c r="I34" s="332"/>
      <c r="J34" s="332"/>
      <c r="K34" s="332"/>
      <c r="L34" s="332"/>
      <c r="M34" s="333"/>
      <c r="O34" s="320"/>
      <c r="P34" s="320"/>
      <c r="Q34" s="173"/>
    </row>
    <row r="35" spans="1:17" ht="30" customHeight="1" x14ac:dyDescent="0.3">
      <c r="A35" s="169" t="s">
        <v>561</v>
      </c>
      <c r="B35" s="334" t="str">
        <f>VLOOKUP(B34,PC[],MATCH("j.wew",PC[#Headers],0),FALSE)</f>
        <v>WH-SXC09H3E8</v>
      </c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</row>
    <row r="36" spans="1:17" ht="30" customHeight="1" x14ac:dyDescent="0.3">
      <c r="A36" s="169" t="s">
        <v>562</v>
      </c>
      <c r="B36" s="334" t="str">
        <f>VLOOKUP(B34,PC[],MATCH("j.zew",PC[#Headers],0),FALSE)</f>
        <v>WH-UX09HE8</v>
      </c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</row>
    <row r="37" spans="1:17" ht="21.75" customHeight="1" x14ac:dyDescent="0.3">
      <c r="A37" s="169" t="s">
        <v>563</v>
      </c>
      <c r="B37" s="341">
        <f>VLOOKUP(B34,PC[],MATCH("fazy",PC[#Headers],0),FALSE)</f>
        <v>3</v>
      </c>
      <c r="C37" s="341"/>
      <c r="D37" s="341"/>
      <c r="E37" s="341"/>
      <c r="F37" s="341"/>
      <c r="G37" s="341"/>
      <c r="H37" s="342" t="s">
        <v>396</v>
      </c>
      <c r="I37" s="342"/>
      <c r="J37" s="342"/>
      <c r="K37" s="342"/>
      <c r="L37" s="342"/>
      <c r="M37" s="343"/>
    </row>
    <row r="38" spans="1:17" ht="21.75" customHeight="1" x14ac:dyDescent="0.3">
      <c r="A38" s="169" t="s">
        <v>564</v>
      </c>
      <c r="B38" s="341">
        <f>VLOOKUP(B34,PC[],MATCH("Grzałka",PC[#Headers],0),FALSE)</f>
        <v>3</v>
      </c>
      <c r="C38" s="341"/>
      <c r="D38" s="341"/>
      <c r="E38" s="341"/>
      <c r="F38" s="341"/>
      <c r="G38" s="341"/>
      <c r="H38" s="339" t="s">
        <v>84</v>
      </c>
      <c r="I38" s="339"/>
      <c r="J38" s="339"/>
      <c r="K38" s="339"/>
      <c r="L38" s="339"/>
      <c r="M38" s="340"/>
    </row>
    <row r="39" spans="1:17" ht="21.75" customHeight="1" x14ac:dyDescent="0.3">
      <c r="A39" s="169" t="s">
        <v>397</v>
      </c>
      <c r="B39" s="341">
        <f>VLOOKUP(B34,PC[],MATCH("gwarancja",PC[#Headers],0),FALSE)</f>
        <v>5</v>
      </c>
      <c r="C39" s="341"/>
      <c r="D39" s="341"/>
      <c r="E39" s="341"/>
      <c r="F39" s="341"/>
      <c r="G39" s="341"/>
      <c r="H39" s="339" t="str">
        <f>IF($B$39&lt;5,"lata","lat")</f>
        <v>lat</v>
      </c>
      <c r="I39" s="339"/>
      <c r="J39" s="339"/>
      <c r="K39" s="339"/>
      <c r="L39" s="339"/>
      <c r="M39" s="340"/>
    </row>
    <row r="40" spans="1:17" ht="21.75" customHeight="1" x14ac:dyDescent="0.3">
      <c r="A40" s="169" t="s">
        <v>208</v>
      </c>
      <c r="B40" s="325">
        <f>wykres!B82</f>
        <v>3.649475508160922</v>
      </c>
      <c r="C40" s="326"/>
      <c r="D40" s="326"/>
      <c r="E40" s="326"/>
      <c r="F40" s="326"/>
      <c r="G40" s="326"/>
      <c r="H40" s="326"/>
      <c r="I40" s="326"/>
      <c r="J40" s="326"/>
      <c r="K40" s="326"/>
      <c r="L40" s="326"/>
      <c r="M40" s="326"/>
    </row>
    <row r="41" spans="1:17" ht="21.75" customHeight="1" x14ac:dyDescent="0.3"/>
    <row r="42" spans="1:17" ht="21.75" customHeight="1" x14ac:dyDescent="0.3"/>
    <row r="43" spans="1:17" ht="21.75" customHeight="1" x14ac:dyDescent="0.3"/>
    <row r="44" spans="1:17" ht="21.75" customHeight="1" x14ac:dyDescent="0.3"/>
    <row r="45" spans="1:17" ht="21.75" customHeight="1" x14ac:dyDescent="0.3"/>
    <row r="46" spans="1:17" ht="21.75" customHeight="1" x14ac:dyDescent="0.3"/>
    <row r="47" spans="1:17" ht="21.75" customHeight="1" x14ac:dyDescent="0.3"/>
    <row r="48" spans="1:17" ht="21.75" customHeight="1" x14ac:dyDescent="0.3"/>
    <row r="49" spans="23:31" ht="21.75" customHeight="1" x14ac:dyDescent="0.3"/>
    <row r="50" spans="23:31" ht="21.75" customHeight="1" x14ac:dyDescent="0.3"/>
    <row r="51" spans="23:31" ht="21.75" customHeight="1" x14ac:dyDescent="0.3"/>
    <row r="52" spans="23:31" ht="21.75" customHeight="1" x14ac:dyDescent="0.3"/>
    <row r="53" spans="23:31" ht="21.75" customHeight="1" x14ac:dyDescent="0.3"/>
    <row r="54" spans="23:31" ht="21.75" customHeight="1" x14ac:dyDescent="0.3"/>
    <row r="55" spans="23:31" ht="21.75" customHeight="1" x14ac:dyDescent="0.3"/>
    <row r="56" spans="23:31" ht="21.75" customHeight="1" x14ac:dyDescent="0.3"/>
    <row r="57" spans="23:31" s="174" customFormat="1" ht="22.5" customHeight="1" x14ac:dyDescent="0.3">
      <c r="AB57" s="172"/>
      <c r="AC57" s="323" t="s">
        <v>633</v>
      </c>
      <c r="AD57" s="323"/>
      <c r="AE57" s="203">
        <f>Schemat!AA67</f>
        <v>44255</v>
      </c>
    </row>
    <row r="58" spans="23:31" s="174" customFormat="1" ht="44.25" customHeight="1" x14ac:dyDescent="0.3">
      <c r="AB58" s="172"/>
      <c r="AC58" s="192" t="str">
        <f>IF(Budynek!$B$9="firma","Całkowity koszt instalacji netto","Program dofinansowania")</f>
        <v>Program dofinansowania</v>
      </c>
      <c r="AD58" s="204" t="str">
        <f>IF(Budynek!$B$9="firma"," ",Schemat!$M$71)</f>
        <v>----------</v>
      </c>
      <c r="AE58" s="203">
        <f>IF(Budynek!$B$9="firma",Schemat!$X$67,Schemat!$U$71)</f>
        <v>0</v>
      </c>
    </row>
    <row r="59" spans="23:31" s="174" customFormat="1" ht="22.5" customHeight="1" x14ac:dyDescent="0.25">
      <c r="AB59" s="172"/>
      <c r="AC59" s="175" t="str">
        <f>IF(Budynek!$B$9="firma"," ","Ulga termomodernizacyjna")</f>
        <v>Ulga termomodernizacyjna</v>
      </c>
      <c r="AD59" s="177">
        <f>IF(Budynek!$B$9="firma"," ",Schemat!$M$73)</f>
        <v>0.12</v>
      </c>
      <c r="AE59" s="176">
        <f>IF(Budynek!$B$9="firma"," ",Schemat!$U$73)</f>
        <v>5310.5999999999995</v>
      </c>
    </row>
    <row r="60" spans="23:31" s="174" customFormat="1" ht="45.75" customHeight="1" x14ac:dyDescent="0.25">
      <c r="AB60" s="172"/>
      <c r="AC60" s="345" t="str">
        <f>IF(Budynek!$B$9="firma"," ","Koszt po dofinansowaniu")</f>
        <v>Koszt po dofinansowaniu</v>
      </c>
      <c r="AD60" s="345"/>
      <c r="AE60" s="176">
        <f>IF(Budynek!$B$9="firma"," ",Schemat!$U$75)</f>
        <v>38944.400000000001</v>
      </c>
    </row>
    <row r="61" spans="23:31" ht="30" customHeight="1" x14ac:dyDescent="0.3">
      <c r="AC61" s="320" t="s">
        <v>951</v>
      </c>
      <c r="AD61" s="320"/>
      <c r="AE61" s="205">
        <f ca="1">Schemat!AB1</f>
        <v>45308</v>
      </c>
    </row>
    <row r="62" spans="23:31" ht="30" customHeight="1" x14ac:dyDescent="0.3">
      <c r="AC62" s="327" t="s">
        <v>642</v>
      </c>
      <c r="AD62" s="327"/>
      <c r="AE62" s="205">
        <f ca="1">Schemat!AA69</f>
        <v>45315</v>
      </c>
    </row>
    <row r="63" spans="23:31" ht="31.5" customHeight="1" x14ac:dyDescent="0.3">
      <c r="W63" s="328" t="s">
        <v>626</v>
      </c>
      <c r="X63" s="319"/>
      <c r="Y63" s="319"/>
      <c r="Z63" s="319"/>
      <c r="AA63" s="319"/>
      <c r="AB63" s="164" t="s">
        <v>627</v>
      </c>
    </row>
    <row r="64" spans="23:31" ht="31.5" customHeight="1" x14ac:dyDescent="0.3">
      <c r="W64" s="324" t="s">
        <v>628</v>
      </c>
      <c r="X64" s="324"/>
      <c r="Y64" s="160" t="str">
        <f>Schemat!L48</f>
        <v>Panasonic 9kW  T-CAP 3F</v>
      </c>
      <c r="Z64" s="162">
        <f>Schemat!T48</f>
        <v>3</v>
      </c>
      <c r="AA64" s="163" t="s">
        <v>370</v>
      </c>
      <c r="AB64" s="170">
        <f>Schemat!V48</f>
        <v>1</v>
      </c>
    </row>
    <row r="65" spans="23:28" ht="31.5" customHeight="1" x14ac:dyDescent="0.3">
      <c r="W65" s="324"/>
      <c r="X65" s="324"/>
      <c r="Y65" s="160" t="str">
        <f>IF(Schemat!$L$49="-"," ",Schemat!$L$49)</f>
        <v xml:space="preserve"> </v>
      </c>
      <c r="Z65" s="162">
        <f>Schemat!T49</f>
        <v>0</v>
      </c>
      <c r="AA65" s="163" t="str">
        <f>IF(Schemat!$L$49="-"," ","F")</f>
        <v xml:space="preserve"> </v>
      </c>
      <c r="AB65" s="170">
        <f>Schemat!V49</f>
        <v>0</v>
      </c>
    </row>
    <row r="66" spans="23:28" ht="31.5" customHeight="1" x14ac:dyDescent="0.3">
      <c r="W66" s="324" t="s">
        <v>629</v>
      </c>
      <c r="X66" s="324"/>
      <c r="Y66" s="160" t="str">
        <f>Schemat!L51</f>
        <v>Panasonic 200l nierdzewny</v>
      </c>
      <c r="Z66" s="162">
        <f>Schemat!T51</f>
        <v>180</v>
      </c>
      <c r="AA66" s="163" t="s">
        <v>107</v>
      </c>
      <c r="AB66" s="170">
        <f>Schemat!V51</f>
        <v>1</v>
      </c>
    </row>
    <row r="67" spans="23:28" ht="31.5" customHeight="1" x14ac:dyDescent="0.3">
      <c r="W67" s="324" t="s">
        <v>371</v>
      </c>
      <c r="X67" s="324"/>
      <c r="Y67" s="329" t="str">
        <f>Schemat!L50</f>
        <v>-</v>
      </c>
      <c r="Z67" s="330"/>
      <c r="AA67" s="163" t="s">
        <v>107</v>
      </c>
      <c r="AB67" s="170">
        <f>Schemat!V50</f>
        <v>0</v>
      </c>
    </row>
    <row r="68" spans="23:28" ht="31.5" customHeight="1" x14ac:dyDescent="0.3">
      <c r="W68" s="331" t="str">
        <f>Schemat!$G$53</f>
        <v>Materiały przyłączeniowe PP</v>
      </c>
      <c r="X68" s="331"/>
      <c r="Y68" s="331"/>
      <c r="Z68" s="331"/>
      <c r="AA68" s="331"/>
      <c r="AB68" s="170">
        <f>Schemat!V52</f>
        <v>1</v>
      </c>
    </row>
    <row r="69" spans="23:28" ht="31.5" customHeight="1" x14ac:dyDescent="0.3">
      <c r="W69" s="324" t="s">
        <v>630</v>
      </c>
      <c r="X69" s="170">
        <v>1</v>
      </c>
      <c r="Y69" s="324" t="str">
        <f>Schemat!M54</f>
        <v>---</v>
      </c>
      <c r="Z69" s="324"/>
      <c r="AA69" s="324"/>
      <c r="AB69" s="170">
        <f>Schemat!V54</f>
        <v>0</v>
      </c>
    </row>
    <row r="70" spans="23:28" ht="31.5" customHeight="1" x14ac:dyDescent="0.3">
      <c r="W70" s="324"/>
      <c r="X70" s="170">
        <v>2</v>
      </c>
      <c r="Y70" s="324" t="str">
        <f>Schemat!M55</f>
        <v>---</v>
      </c>
      <c r="Z70" s="324"/>
      <c r="AA70" s="324"/>
      <c r="AB70" s="170">
        <f>Schemat!V55</f>
        <v>0</v>
      </c>
    </row>
    <row r="71" spans="23:28" ht="31.5" customHeight="1" x14ac:dyDescent="0.3">
      <c r="W71" s="324"/>
      <c r="X71" s="170">
        <v>3</v>
      </c>
      <c r="Y71" s="324" t="str">
        <f>Schemat!M56</f>
        <v>---</v>
      </c>
      <c r="Z71" s="324"/>
      <c r="AA71" s="324"/>
      <c r="AB71" s="170">
        <f>Schemat!V56</f>
        <v>0</v>
      </c>
    </row>
    <row r="72" spans="23:28" ht="31.5" customHeight="1" x14ac:dyDescent="0.3">
      <c r="W72" s="324"/>
      <c r="X72" s="170">
        <v>4</v>
      </c>
      <c r="Y72" s="324" t="str">
        <f>Schemat!M57</f>
        <v>---</v>
      </c>
      <c r="Z72" s="324"/>
      <c r="AA72" s="324"/>
      <c r="AB72" s="170">
        <f>Schemat!V57</f>
        <v>0</v>
      </c>
    </row>
    <row r="73" spans="23:28" ht="31.5" customHeight="1" x14ac:dyDescent="0.3">
      <c r="W73" s="346" t="s">
        <v>82</v>
      </c>
      <c r="X73" s="347"/>
      <c r="Y73" s="336" t="str">
        <f>Schemat!L58</f>
        <v>pompa cyrkulacyjna Wilo</v>
      </c>
      <c r="Z73" s="337"/>
      <c r="AA73" s="334"/>
      <c r="AB73" s="170">
        <f>Schemat!V58</f>
        <v>1</v>
      </c>
    </row>
    <row r="74" spans="23:28" ht="31.5" customHeight="1" x14ac:dyDescent="0.3">
      <c r="W74" s="348"/>
      <c r="X74" s="349"/>
      <c r="Y74" s="336" t="str">
        <f>Schemat!L59</f>
        <v>---</v>
      </c>
      <c r="Z74" s="337"/>
      <c r="AA74" s="334"/>
      <c r="AB74" s="170">
        <f>Schemat!V59</f>
        <v>0</v>
      </c>
    </row>
    <row r="75" spans="23:28" ht="31.5" customHeight="1" x14ac:dyDescent="0.3">
      <c r="W75" s="348"/>
      <c r="X75" s="349"/>
      <c r="Y75" s="336" t="str">
        <f>Schemat!L60</f>
        <v>---</v>
      </c>
      <c r="Z75" s="337"/>
      <c r="AA75" s="334"/>
      <c r="AB75" s="170">
        <f>Schemat!V60</f>
        <v>0</v>
      </c>
    </row>
    <row r="76" spans="23:28" ht="31.5" customHeight="1" x14ac:dyDescent="0.3">
      <c r="W76" s="348"/>
      <c r="X76" s="349"/>
      <c r="Y76" s="336" t="str">
        <f>Schemat!L61</f>
        <v>---</v>
      </c>
      <c r="Z76" s="337"/>
      <c r="AA76" s="334"/>
      <c r="AB76" s="170">
        <f>Schemat!V61</f>
        <v>0</v>
      </c>
    </row>
    <row r="77" spans="23:28" ht="31.5" customHeight="1" x14ac:dyDescent="0.3">
      <c r="W77" s="350"/>
      <c r="X77" s="351"/>
      <c r="Y77" s="336" t="str">
        <f>Schemat!L62</f>
        <v>---</v>
      </c>
      <c r="Z77" s="337"/>
      <c r="AA77" s="334"/>
      <c r="AB77" s="170">
        <f>Schemat!V62</f>
        <v>0</v>
      </c>
    </row>
    <row r="78" spans="23:28" ht="31.5" customHeight="1" x14ac:dyDescent="0.3">
      <c r="W78" s="338" t="s">
        <v>631</v>
      </c>
      <c r="X78" s="338"/>
      <c r="Y78" s="338"/>
      <c r="Z78" s="338"/>
      <c r="AA78" s="338"/>
      <c r="AB78" s="170">
        <f>Schemat!V52</f>
        <v>1</v>
      </c>
    </row>
    <row r="79" spans="23:28" ht="31.5" customHeight="1" x14ac:dyDescent="0.3">
      <c r="W79" s="335" t="s">
        <v>373</v>
      </c>
      <c r="X79" s="335"/>
      <c r="Y79" s="335"/>
      <c r="Z79" s="335"/>
      <c r="AA79" s="335"/>
      <c r="AB79" s="170">
        <f>Schemat!V63</f>
        <v>1</v>
      </c>
    </row>
    <row r="80" spans="23:28" ht="31.5" customHeight="1" x14ac:dyDescent="0.3">
      <c r="W80" s="335" t="s">
        <v>596</v>
      </c>
      <c r="X80" s="335"/>
      <c r="Y80" s="335"/>
      <c r="Z80" s="335"/>
      <c r="AA80" s="335"/>
      <c r="AB80" s="170">
        <f>Schemat!V64</f>
        <v>0</v>
      </c>
    </row>
    <row r="81" spans="28:34" ht="21.75" customHeight="1" x14ac:dyDescent="0.3">
      <c r="AB81" s="171"/>
      <c r="AF81" s="194" t="s">
        <v>599</v>
      </c>
      <c r="AG81" s="195"/>
      <c r="AH81" s="196">
        <f>Budynek!L6</f>
        <v>530830107</v>
      </c>
    </row>
    <row r="82" spans="28:34" ht="20.25" customHeight="1" x14ac:dyDescent="0.3">
      <c r="AB82" s="171"/>
      <c r="AF82" s="193" t="str">
        <f>Budynek!L5</f>
        <v>Rafał Krakowczyk</v>
      </c>
      <c r="AG82" s="195"/>
      <c r="AH82" s="196" t="str">
        <f>Budynek!L7</f>
        <v>rafal.krakowczyk@ampere-solar.pl</v>
      </c>
    </row>
    <row r="83" spans="28:34" ht="30" customHeight="1" x14ac:dyDescent="0.3"/>
    <row r="84" spans="28:34" ht="30" customHeight="1" x14ac:dyDescent="0.3"/>
    <row r="85" spans="28:34" ht="30" customHeight="1" x14ac:dyDescent="0.3"/>
    <row r="86" spans="28:34" ht="30" customHeight="1" x14ac:dyDescent="0.3"/>
    <row r="87" spans="28:34" ht="30" customHeight="1" x14ac:dyDescent="0.3"/>
    <row r="88" spans="28:34" ht="30" customHeight="1" x14ac:dyDescent="0.3"/>
    <row r="89" spans="28:34" ht="30" customHeight="1" x14ac:dyDescent="0.3"/>
    <row r="90" spans="28:34" ht="30" customHeight="1" x14ac:dyDescent="0.3"/>
    <row r="91" spans="28:34" ht="30" customHeight="1" x14ac:dyDescent="0.3"/>
    <row r="92" spans="28:34" ht="30" customHeight="1" x14ac:dyDescent="0.3"/>
    <row r="93" spans="28:34" ht="30" customHeight="1" x14ac:dyDescent="0.3"/>
    <row r="94" spans="28:34" ht="30" customHeight="1" x14ac:dyDescent="0.3"/>
    <row r="95" spans="28:34" ht="30" customHeight="1" x14ac:dyDescent="0.3"/>
    <row r="96" spans="28:34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26.1" customHeight="1" x14ac:dyDescent="0.3"/>
    <row r="111" ht="26.1" customHeight="1" x14ac:dyDescent="0.3"/>
    <row r="112" ht="26.1" customHeight="1" x14ac:dyDescent="0.3"/>
    <row r="113" ht="26.1" customHeight="1" x14ac:dyDescent="0.3"/>
    <row r="114" ht="26.1" customHeight="1" x14ac:dyDescent="0.3"/>
    <row r="115" ht="26.1" customHeight="1" x14ac:dyDescent="0.3"/>
    <row r="116" ht="26.1" customHeight="1" x14ac:dyDescent="0.3"/>
    <row r="117" ht="26.1" customHeight="1" x14ac:dyDescent="0.3"/>
    <row r="118" ht="26.1" customHeight="1" x14ac:dyDescent="0.3"/>
    <row r="119" ht="26.1" customHeight="1" x14ac:dyDescent="0.3"/>
    <row r="120" ht="26.1" customHeight="1" x14ac:dyDescent="0.3"/>
    <row r="121" ht="26.1" customHeight="1" x14ac:dyDescent="0.3"/>
    <row r="122" ht="26.1" customHeight="1" x14ac:dyDescent="0.3"/>
    <row r="123" ht="26.1" customHeight="1" x14ac:dyDescent="0.3"/>
    <row r="124" ht="26.1" customHeight="1" x14ac:dyDescent="0.3"/>
    <row r="125" ht="26.1" customHeight="1" x14ac:dyDescent="0.3"/>
    <row r="126" ht="26.1" customHeight="1" x14ac:dyDescent="0.3"/>
    <row r="127" ht="26.1" customHeight="1" x14ac:dyDescent="0.3"/>
    <row r="128" ht="26.1" customHeight="1" x14ac:dyDescent="0.3"/>
    <row r="129" ht="26.1" customHeight="1" x14ac:dyDescent="0.3"/>
    <row r="130" ht="26.1" customHeight="1" x14ac:dyDescent="0.3"/>
    <row r="131" ht="26.1" customHeight="1" x14ac:dyDescent="0.3"/>
    <row r="132" ht="26.1" customHeight="1" x14ac:dyDescent="0.3"/>
    <row r="133" ht="26.1" customHeight="1" x14ac:dyDescent="0.3"/>
    <row r="134" ht="26.1" customHeight="1" x14ac:dyDescent="0.3"/>
    <row r="135" ht="26.1" customHeight="1" x14ac:dyDescent="0.3"/>
    <row r="136" ht="26.1" customHeight="1" x14ac:dyDescent="0.3"/>
    <row r="137" ht="26.1" customHeight="1" x14ac:dyDescent="0.3"/>
    <row r="138" ht="26.1" customHeight="1" x14ac:dyDescent="0.3"/>
    <row r="139" ht="26.1" customHeight="1" x14ac:dyDescent="0.3"/>
    <row r="140" ht="26.1" customHeight="1" x14ac:dyDescent="0.3"/>
    <row r="141" ht="26.1" customHeight="1" x14ac:dyDescent="0.3"/>
    <row r="142" ht="26.1" customHeight="1" x14ac:dyDescent="0.3"/>
    <row r="143" ht="26.1" customHeight="1" x14ac:dyDescent="0.3"/>
    <row r="144" ht="26.1" customHeight="1" x14ac:dyDescent="0.3"/>
    <row r="145" ht="26.1" customHeight="1" x14ac:dyDescent="0.3"/>
    <row r="146" ht="26.1" customHeight="1" x14ac:dyDescent="0.3"/>
    <row r="147" ht="26.1" customHeight="1" x14ac:dyDescent="0.3"/>
    <row r="148" ht="26.1" customHeight="1" x14ac:dyDescent="0.3"/>
    <row r="149" ht="26.1" customHeight="1" x14ac:dyDescent="0.3"/>
    <row r="150" ht="26.1" customHeight="1" x14ac:dyDescent="0.3"/>
    <row r="151" ht="26.1" customHeight="1" x14ac:dyDescent="0.3"/>
    <row r="152" ht="26.1" customHeight="1" x14ac:dyDescent="0.3"/>
    <row r="153" ht="26.1" customHeight="1" x14ac:dyDescent="0.3"/>
    <row r="154" ht="26.1" customHeight="1" x14ac:dyDescent="0.3"/>
    <row r="155" ht="26.1" customHeight="1" x14ac:dyDescent="0.3"/>
    <row r="156" ht="26.1" customHeight="1" x14ac:dyDescent="0.3"/>
    <row r="157" ht="26.1" customHeight="1" x14ac:dyDescent="0.3"/>
    <row r="158" ht="26.1" customHeight="1" x14ac:dyDescent="0.3"/>
    <row r="159" ht="26.1" customHeight="1" x14ac:dyDescent="0.3"/>
    <row r="160" ht="26.1" customHeight="1" x14ac:dyDescent="0.3"/>
    <row r="161" ht="26.1" customHeight="1" x14ac:dyDescent="0.3"/>
    <row r="162" ht="26.1" customHeight="1" x14ac:dyDescent="0.3"/>
    <row r="163" ht="26.1" customHeight="1" x14ac:dyDescent="0.3"/>
    <row r="164" ht="26.1" customHeight="1" x14ac:dyDescent="0.3"/>
    <row r="165" ht="26.1" customHeight="1" x14ac:dyDescent="0.3"/>
    <row r="166" ht="26.1" customHeight="1" x14ac:dyDescent="0.3"/>
    <row r="167" ht="26.1" customHeight="1" x14ac:dyDescent="0.3"/>
    <row r="168" ht="26.1" customHeight="1" x14ac:dyDescent="0.3"/>
    <row r="169" ht="26.1" customHeight="1" x14ac:dyDescent="0.3"/>
    <row r="170" ht="26.1" customHeight="1" x14ac:dyDescent="0.3"/>
    <row r="171" ht="26.1" customHeight="1" x14ac:dyDescent="0.3"/>
    <row r="172" ht="26.1" customHeight="1" x14ac:dyDescent="0.3"/>
    <row r="173" ht="26.1" customHeight="1" x14ac:dyDescent="0.3"/>
    <row r="174" ht="26.1" customHeight="1" x14ac:dyDescent="0.3"/>
    <row r="175" ht="26.1" customHeight="1" x14ac:dyDescent="0.3"/>
    <row r="176" ht="26.1" customHeight="1" x14ac:dyDescent="0.3"/>
    <row r="177" ht="26.1" customHeight="1" x14ac:dyDescent="0.3"/>
    <row r="178" ht="26.1" customHeight="1" x14ac:dyDescent="0.3"/>
    <row r="179" ht="26.1" customHeight="1" x14ac:dyDescent="0.3"/>
    <row r="180" ht="26.1" customHeight="1" x14ac:dyDescent="0.3"/>
    <row r="181" ht="26.1" customHeight="1" x14ac:dyDescent="0.3"/>
  </sheetData>
  <mergeCells count="79">
    <mergeCell ref="H5:M5"/>
    <mergeCell ref="B5:G5"/>
    <mergeCell ref="E16:F16"/>
    <mergeCell ref="K16:L16"/>
    <mergeCell ref="AC61:AD61"/>
    <mergeCell ref="K9:M9"/>
    <mergeCell ref="K10:M10"/>
    <mergeCell ref="I9:J9"/>
    <mergeCell ref="I10:J10"/>
    <mergeCell ref="K7:M7"/>
    <mergeCell ref="K8:M8"/>
    <mergeCell ref="B7:H7"/>
    <mergeCell ref="B8:H8"/>
    <mergeCell ref="B9:H9"/>
    <mergeCell ref="B10:H10"/>
    <mergeCell ref="B11:H11"/>
    <mergeCell ref="I2:M2"/>
    <mergeCell ref="B2:E2"/>
    <mergeCell ref="B3:G3"/>
    <mergeCell ref="H3:M3"/>
    <mergeCell ref="B4:G4"/>
    <mergeCell ref="H4:M4"/>
    <mergeCell ref="B1:M1"/>
    <mergeCell ref="AC60:AD60"/>
    <mergeCell ref="Y73:AA73"/>
    <mergeCell ref="Y74:AA74"/>
    <mergeCell ref="Y75:AA75"/>
    <mergeCell ref="W73:X77"/>
    <mergeCell ref="I7:J7"/>
    <mergeCell ref="I8:J8"/>
    <mergeCell ref="B6:M6"/>
    <mergeCell ref="B15:G15"/>
    <mergeCell ref="H15:M15"/>
    <mergeCell ref="K11:M11"/>
    <mergeCell ref="B12:J12"/>
    <mergeCell ref="K12:M12"/>
    <mergeCell ref="I11:J11"/>
    <mergeCell ref="B13:M13"/>
    <mergeCell ref="K14:M14"/>
    <mergeCell ref="B16:D16"/>
    <mergeCell ref="H16:J16"/>
    <mergeCell ref="B14:D14"/>
    <mergeCell ref="E14:G14"/>
    <mergeCell ref="H14:J14"/>
    <mergeCell ref="B34:M34"/>
    <mergeCell ref="B35:M35"/>
    <mergeCell ref="B36:M36"/>
    <mergeCell ref="W79:AA79"/>
    <mergeCell ref="W80:AA80"/>
    <mergeCell ref="Y76:AA76"/>
    <mergeCell ref="Y77:AA77"/>
    <mergeCell ref="W69:W72"/>
    <mergeCell ref="W78:AA78"/>
    <mergeCell ref="Y72:AA72"/>
    <mergeCell ref="H38:M38"/>
    <mergeCell ref="H39:M39"/>
    <mergeCell ref="B37:G37"/>
    <mergeCell ref="B38:G38"/>
    <mergeCell ref="B39:G39"/>
    <mergeCell ref="H37:M37"/>
    <mergeCell ref="AC57:AD57"/>
    <mergeCell ref="Y71:AA71"/>
    <mergeCell ref="Y70:AA70"/>
    <mergeCell ref="Y69:AA69"/>
    <mergeCell ref="B40:M40"/>
    <mergeCell ref="W66:X66"/>
    <mergeCell ref="W67:X67"/>
    <mergeCell ref="AC62:AD62"/>
    <mergeCell ref="W64:X65"/>
    <mergeCell ref="W63:AA63"/>
    <mergeCell ref="Y67:Z67"/>
    <mergeCell ref="W68:AA68"/>
    <mergeCell ref="O17:O18"/>
    <mergeCell ref="P17:Q17"/>
    <mergeCell ref="R17:S17"/>
    <mergeCell ref="T17:U17"/>
    <mergeCell ref="O34:P34"/>
    <mergeCell ref="O32:S32"/>
    <mergeCell ref="T32:U32"/>
  </mergeCells>
  <phoneticPr fontId="1" type="noConversion"/>
  <conditionalFormatting sqref="Y65:AA65">
    <cfRule type="cellIs" dxfId="0" priority="1" operator="equal">
      <formula>0</formula>
    </cfRule>
  </conditionalFormatting>
  <dataValidations disablePrompts="1" count="1">
    <dataValidation type="list" allowBlank="1" showInputMessage="1" showErrorMessage="1" sqref="M1" xr:uid="{82E05FD7-06E6-4745-931F-6306C9762CE3}">
      <formula1>#REF!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13"/>
  <dimension ref="A5:BP290"/>
  <sheetViews>
    <sheetView view="pageBreakPreview" topLeftCell="A89" zoomScale="98" zoomScaleNormal="100" zoomScaleSheetLayoutView="98" workbookViewId="0">
      <selection activeCell="O168" sqref="O168:T169"/>
    </sheetView>
  </sheetViews>
  <sheetFormatPr defaultColWidth="3.5703125" defaultRowHeight="15" x14ac:dyDescent="0.25"/>
  <cols>
    <col min="1" max="1" width="3.5703125" style="59"/>
    <col min="2" max="2" width="3.5703125" style="59" customWidth="1"/>
    <col min="3" max="7" width="3.5703125" style="59"/>
    <col min="8" max="9" width="3.7109375" style="59" bestFit="1" customWidth="1"/>
    <col min="10" max="10" width="3.5703125" style="59"/>
    <col min="11" max="14" width="4.42578125" style="59" bestFit="1" customWidth="1"/>
    <col min="15" max="15" width="3.5703125" style="59"/>
    <col min="16" max="17" width="4.42578125" style="59" bestFit="1" customWidth="1"/>
    <col min="18" max="20" width="3.5703125" style="59"/>
    <col min="21" max="21" width="4.42578125" style="59" bestFit="1" customWidth="1"/>
    <col min="22" max="24" width="3.5703125" style="59"/>
    <col min="25" max="25" width="3.7109375" style="59" bestFit="1" customWidth="1"/>
    <col min="26" max="33" width="3.5703125" style="59"/>
    <col min="34" max="34" width="6.42578125" style="59" bestFit="1" customWidth="1"/>
    <col min="35" max="37" width="3.5703125" style="59"/>
    <col min="38" max="38" width="5.5703125" style="59" bestFit="1" customWidth="1"/>
    <col min="39" max="39" width="3.5703125" style="59"/>
    <col min="40" max="40" width="5.5703125" style="59" bestFit="1" customWidth="1"/>
    <col min="41" max="16384" width="3.5703125" style="59"/>
  </cols>
  <sheetData>
    <row r="5" spans="1:24" x14ac:dyDescent="0.25">
      <c r="A5" s="398" t="s">
        <v>541</v>
      </c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</row>
    <row r="6" spans="1:24" x14ac:dyDescent="0.25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</row>
    <row r="7" spans="1:24" x14ac:dyDescent="0.25">
      <c r="A7" s="398"/>
      <c r="B7" s="398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8"/>
      <c r="W7" s="398"/>
      <c r="X7" s="398"/>
    </row>
    <row r="8" spans="1:24" ht="15" customHeight="1" x14ac:dyDescent="0.25">
      <c r="A8" s="398"/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</row>
    <row r="9" spans="1:24" ht="15" customHeight="1" x14ac:dyDescent="0.25"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</row>
    <row r="10" spans="1:24" ht="15" customHeight="1" x14ac:dyDescent="0.25"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</row>
    <row r="11" spans="1:24" ht="15" customHeight="1" x14ac:dyDescent="0.25"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</row>
    <row r="12" spans="1:24" ht="15" customHeight="1" x14ac:dyDescent="0.25"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</row>
    <row r="29" spans="3:25" x14ac:dyDescent="0.25">
      <c r="C29" s="59" t="s">
        <v>375</v>
      </c>
    </row>
    <row r="30" spans="3:25" x14ac:dyDescent="0.25"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4"/>
      <c r="N30" s="384"/>
      <c r="Y30" s="59" t="str">
        <f ca="1">C30&amp;" "&amp;D74&amp;"_"&amp;Y31</f>
        <v xml:space="preserve"> _31</v>
      </c>
    </row>
    <row r="31" spans="3:25" x14ac:dyDescent="0.25">
      <c r="C31" s="384"/>
      <c r="D31" s="384"/>
      <c r="E31" s="384"/>
      <c r="F31" s="384"/>
      <c r="G31" s="384"/>
      <c r="H31" s="384"/>
      <c r="I31" s="384"/>
      <c r="J31" s="384"/>
      <c r="K31" s="384"/>
      <c r="L31" s="384"/>
      <c r="M31" s="384"/>
      <c r="N31" s="384"/>
      <c r="Y31" s="59">
        <f ca="1">RANDBETWEEN(1,100)</f>
        <v>31</v>
      </c>
    </row>
    <row r="32" spans="3:25" x14ac:dyDescent="0.25">
      <c r="C32" s="384"/>
      <c r="D32" s="384"/>
      <c r="E32" s="384"/>
      <c r="F32" s="384"/>
      <c r="G32" s="384"/>
      <c r="H32" s="384"/>
      <c r="I32" s="384"/>
      <c r="J32" s="384"/>
      <c r="K32" s="384"/>
      <c r="L32" s="384"/>
      <c r="M32" s="384"/>
      <c r="N32" s="384"/>
    </row>
    <row r="33" spans="3:23" x14ac:dyDescent="0.25">
      <c r="C33" s="384"/>
      <c r="D33" s="384"/>
      <c r="E33" s="384"/>
      <c r="F33" s="384"/>
      <c r="G33" s="384"/>
      <c r="H33" s="384"/>
      <c r="I33" s="384"/>
      <c r="J33" s="384"/>
      <c r="K33" s="384"/>
      <c r="L33" s="384"/>
      <c r="M33" s="384"/>
      <c r="N33" s="384"/>
    </row>
    <row r="34" spans="3:23" x14ac:dyDescent="0.25">
      <c r="C34" s="384"/>
      <c r="D34" s="384"/>
      <c r="E34" s="384"/>
      <c r="F34" s="384"/>
      <c r="G34" s="384"/>
      <c r="H34" s="384"/>
      <c r="I34" s="384"/>
      <c r="J34" s="384"/>
      <c r="K34" s="384"/>
      <c r="L34" s="384"/>
      <c r="M34" s="384"/>
      <c r="N34" s="384"/>
    </row>
    <row r="35" spans="3:23" x14ac:dyDescent="0.25">
      <c r="C35" s="384"/>
      <c r="D35" s="384"/>
      <c r="E35" s="384"/>
      <c r="F35" s="384"/>
      <c r="G35" s="384"/>
      <c r="H35" s="384"/>
      <c r="I35" s="384"/>
      <c r="J35" s="384"/>
      <c r="K35" s="384"/>
      <c r="L35" s="384"/>
      <c r="M35" s="384"/>
      <c r="N35" s="384"/>
    </row>
    <row r="36" spans="3:23" x14ac:dyDescent="0.25">
      <c r="C36" s="384"/>
      <c r="D36" s="384"/>
      <c r="E36" s="384"/>
      <c r="F36" s="384"/>
      <c r="G36" s="384"/>
      <c r="H36" s="384"/>
      <c r="I36" s="384"/>
      <c r="J36" s="384"/>
      <c r="K36" s="384"/>
      <c r="L36" s="384"/>
      <c r="M36" s="384"/>
      <c r="N36" s="384"/>
    </row>
    <row r="37" spans="3:23" x14ac:dyDescent="0.25">
      <c r="C37" s="384"/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</row>
    <row r="42" spans="3:23" x14ac:dyDescent="0.25">
      <c r="P42" s="375"/>
      <c r="Q42" s="375"/>
      <c r="R42" s="375"/>
      <c r="S42" s="375"/>
      <c r="T42" s="375"/>
      <c r="U42" s="375"/>
      <c r="V42" s="375"/>
      <c r="W42" s="375"/>
    </row>
    <row r="43" spans="3:23" x14ac:dyDescent="0.25">
      <c r="P43" s="375"/>
      <c r="Q43" s="375"/>
      <c r="R43" s="375"/>
      <c r="S43" s="375"/>
      <c r="T43" s="375"/>
      <c r="U43" s="375"/>
      <c r="V43" s="375"/>
      <c r="W43" s="375"/>
    </row>
    <row r="44" spans="3:23" x14ac:dyDescent="0.25">
      <c r="P44" s="375" t="s">
        <v>511</v>
      </c>
      <c r="Q44" s="375"/>
      <c r="R44" s="375"/>
      <c r="S44" s="375"/>
      <c r="T44" s="375"/>
      <c r="U44" s="375"/>
      <c r="V44" s="375"/>
      <c r="W44" s="375"/>
    </row>
    <row r="45" spans="3:23" x14ac:dyDescent="0.25">
      <c r="P45" s="375"/>
      <c r="Q45" s="375"/>
      <c r="R45" s="375"/>
      <c r="S45" s="375"/>
      <c r="T45" s="375"/>
      <c r="U45" s="375"/>
      <c r="V45" s="375"/>
      <c r="W45" s="375"/>
    </row>
    <row r="46" spans="3:23" x14ac:dyDescent="0.25">
      <c r="P46" s="375"/>
      <c r="Q46" s="375"/>
      <c r="R46" s="375"/>
      <c r="S46" s="375"/>
      <c r="T46" s="375"/>
      <c r="U46" s="375"/>
      <c r="V46" s="375"/>
      <c r="W46" s="375"/>
    </row>
    <row r="47" spans="3:23" x14ac:dyDescent="0.25">
      <c r="P47" s="375"/>
      <c r="Q47" s="375"/>
      <c r="R47" s="375"/>
      <c r="S47" s="375"/>
      <c r="T47" s="375"/>
      <c r="U47" s="375"/>
      <c r="V47" s="375"/>
      <c r="W47" s="375"/>
    </row>
    <row r="51" spans="1:24" x14ac:dyDescent="0.25">
      <c r="A51" s="59" t="s">
        <v>359</v>
      </c>
      <c r="B51" s="59" t="s">
        <v>400</v>
      </c>
      <c r="C51" s="60"/>
      <c r="T51" s="383"/>
      <c r="U51" s="384"/>
      <c r="V51" s="384"/>
      <c r="W51" s="384"/>
      <c r="X51" s="384"/>
    </row>
    <row r="52" spans="1:24" x14ac:dyDescent="0.25">
      <c r="A52" s="101"/>
      <c r="B52" s="101"/>
      <c r="C52" s="101"/>
      <c r="D52" s="101"/>
      <c r="E52" s="101"/>
      <c r="F52" s="101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</row>
    <row r="53" spans="1:24" ht="15" customHeight="1" x14ac:dyDescent="0.25">
      <c r="A53" s="399" t="s">
        <v>542</v>
      </c>
      <c r="B53" s="399"/>
      <c r="C53" s="399"/>
      <c r="D53" s="399"/>
      <c r="E53" s="399"/>
      <c r="F53" s="399"/>
      <c r="G53" s="399"/>
      <c r="H53" s="399"/>
      <c r="I53" s="399"/>
      <c r="J53" s="399"/>
      <c r="K53" s="399"/>
      <c r="L53" s="399"/>
      <c r="M53" s="399"/>
      <c r="N53" s="399"/>
      <c r="O53" s="399"/>
      <c r="P53" s="399"/>
      <c r="Q53" s="399"/>
      <c r="R53" s="399"/>
      <c r="S53" s="399"/>
      <c r="T53" s="399"/>
      <c r="U53" s="399"/>
      <c r="V53" s="399"/>
      <c r="W53" s="399"/>
      <c r="X53" s="399"/>
    </row>
    <row r="54" spans="1:24" ht="15" customHeight="1" x14ac:dyDescent="0.25">
      <c r="A54" s="399"/>
      <c r="B54" s="399"/>
      <c r="C54" s="399"/>
      <c r="D54" s="399"/>
      <c r="E54" s="399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399"/>
      <c r="R54" s="399"/>
      <c r="S54" s="399"/>
      <c r="T54" s="399"/>
      <c r="U54" s="399"/>
      <c r="V54" s="399"/>
      <c r="W54" s="399"/>
      <c r="X54" s="399"/>
    </row>
    <row r="55" spans="1:24" ht="15" customHeight="1" x14ac:dyDescent="0.25">
      <c r="A55" s="95"/>
      <c r="B55" s="406" t="s">
        <v>555</v>
      </c>
      <c r="C55" s="406"/>
      <c r="D55" s="406"/>
      <c r="E55" s="406"/>
      <c r="F55" s="406"/>
      <c r="G55" s="406"/>
      <c r="H55" s="406"/>
      <c r="I55" s="406"/>
      <c r="J55" s="406"/>
      <c r="K55" s="407" t="s">
        <v>384</v>
      </c>
      <c r="L55" s="407"/>
      <c r="M55" s="407"/>
      <c r="N55" s="407"/>
      <c r="O55" s="407"/>
      <c r="P55" s="407"/>
      <c r="Q55" s="407" t="s">
        <v>556</v>
      </c>
      <c r="R55" s="407"/>
      <c r="S55" s="407"/>
      <c r="T55" s="407"/>
      <c r="U55" s="407"/>
      <c r="V55" s="407"/>
      <c r="W55" s="96"/>
      <c r="X55" s="96"/>
    </row>
    <row r="56" spans="1:24" ht="15" customHeight="1" x14ac:dyDescent="0.25">
      <c r="A56" s="95"/>
      <c r="B56" s="400" t="s">
        <v>463</v>
      </c>
      <c r="C56" s="400"/>
      <c r="D56" s="400"/>
      <c r="E56" s="400"/>
      <c r="F56" s="400"/>
      <c r="G56" s="400"/>
      <c r="H56" s="400"/>
      <c r="I56" s="400"/>
      <c r="J56" s="400"/>
      <c r="K56" s="401" t="str">
        <f>Budynek!F33</f>
        <v>piętrowy</v>
      </c>
      <c r="L56" s="401"/>
      <c r="M56" s="401"/>
      <c r="N56" s="401"/>
      <c r="O56" s="401"/>
      <c r="P56" s="401"/>
      <c r="Q56" s="401"/>
      <c r="R56" s="401"/>
      <c r="S56" s="401"/>
      <c r="T56" s="401"/>
      <c r="U56" s="401"/>
      <c r="V56" s="401"/>
      <c r="W56" s="96"/>
      <c r="X56" s="96"/>
    </row>
    <row r="57" spans="1:24" ht="15" customHeight="1" x14ac:dyDescent="0.25">
      <c r="A57" s="95"/>
      <c r="B57" s="400" t="s">
        <v>481</v>
      </c>
      <c r="C57" s="400"/>
      <c r="D57" s="400"/>
      <c r="E57" s="400"/>
      <c r="F57" s="400"/>
      <c r="G57" s="400"/>
      <c r="H57" s="400"/>
      <c r="I57" s="400"/>
      <c r="J57" s="400"/>
      <c r="K57" s="402">
        <f>Budynek!J35</f>
        <v>10</v>
      </c>
      <c r="L57" s="403"/>
      <c r="M57" s="403"/>
      <c r="N57" s="404" t="s">
        <v>410</v>
      </c>
      <c r="O57" s="404"/>
      <c r="P57" s="97" t="s">
        <v>543</v>
      </c>
      <c r="Q57" s="403">
        <f>Budynek!N35</f>
        <v>7</v>
      </c>
      <c r="R57" s="403"/>
      <c r="S57" s="403"/>
      <c r="T57" s="404" t="s">
        <v>410</v>
      </c>
      <c r="U57" s="404"/>
      <c r="V57" s="405"/>
      <c r="W57" s="96"/>
      <c r="X57" s="96"/>
    </row>
    <row r="58" spans="1:24" ht="15" customHeight="1" x14ac:dyDescent="0.25">
      <c r="A58" s="95"/>
      <c r="B58" s="408" t="s">
        <v>408</v>
      </c>
      <c r="C58" s="408"/>
      <c r="D58" s="408"/>
      <c r="E58" s="408"/>
      <c r="F58" s="408"/>
      <c r="G58" s="408"/>
      <c r="H58" s="408"/>
      <c r="I58" s="408"/>
      <c r="J58" s="408"/>
      <c r="K58" s="409">
        <f>Budynek!J37</f>
        <v>110</v>
      </c>
      <c r="L58" s="409"/>
      <c r="M58" s="409"/>
      <c r="N58" s="409"/>
      <c r="O58" s="409"/>
      <c r="P58" s="409"/>
      <c r="Q58" s="409"/>
      <c r="R58" s="409"/>
      <c r="S58" s="409"/>
      <c r="T58" s="409"/>
      <c r="U58" s="402"/>
      <c r="V58" s="98" t="s">
        <v>362</v>
      </c>
      <c r="W58" s="96"/>
      <c r="X58" s="96"/>
    </row>
    <row r="59" spans="1:24" ht="15" customHeight="1" x14ac:dyDescent="0.25">
      <c r="A59" s="95"/>
      <c r="B59" s="400" t="s">
        <v>482</v>
      </c>
      <c r="C59" s="400"/>
      <c r="D59" s="400"/>
      <c r="E59" s="400"/>
      <c r="F59" s="400"/>
      <c r="G59" s="400"/>
      <c r="H59" s="400"/>
      <c r="I59" s="400"/>
      <c r="J59" s="400"/>
      <c r="K59" s="409">
        <f>Budynek!J39</f>
        <v>2.5</v>
      </c>
      <c r="L59" s="409"/>
      <c r="M59" s="409"/>
      <c r="N59" s="409"/>
      <c r="O59" s="409"/>
      <c r="P59" s="409"/>
      <c r="Q59" s="409"/>
      <c r="R59" s="409"/>
      <c r="S59" s="409"/>
      <c r="T59" s="409"/>
      <c r="U59" s="402"/>
      <c r="V59" s="98" t="s">
        <v>410</v>
      </c>
      <c r="W59" s="96"/>
      <c r="X59" s="96"/>
    </row>
    <row r="60" spans="1:24" ht="15" customHeight="1" x14ac:dyDescent="0.25">
      <c r="A60" s="95"/>
      <c r="B60" s="400" t="s">
        <v>544</v>
      </c>
      <c r="C60" s="400"/>
      <c r="D60" s="400"/>
      <c r="E60" s="400"/>
      <c r="F60" s="400"/>
      <c r="G60" s="400"/>
      <c r="H60" s="400"/>
      <c r="I60" s="400"/>
      <c r="J60" s="400"/>
      <c r="K60" s="409">
        <f>Budynek!J41</f>
        <v>23</v>
      </c>
      <c r="L60" s="409"/>
      <c r="M60" s="409"/>
      <c r="N60" s="409"/>
      <c r="O60" s="409"/>
      <c r="P60" s="409"/>
      <c r="Q60" s="409"/>
      <c r="R60" s="409"/>
      <c r="S60" s="409"/>
      <c r="T60" s="409"/>
      <c r="U60" s="402"/>
      <c r="V60" s="98" t="s">
        <v>545</v>
      </c>
      <c r="W60" s="96"/>
      <c r="X60" s="96"/>
    </row>
    <row r="61" spans="1:24" ht="15" customHeight="1" x14ac:dyDescent="0.25">
      <c r="A61" s="99"/>
      <c r="B61" s="410" t="s">
        <v>546</v>
      </c>
      <c r="C61" s="410"/>
      <c r="D61" s="410"/>
      <c r="E61" s="410"/>
      <c r="F61" s="410"/>
      <c r="G61" s="410"/>
      <c r="H61" s="410"/>
      <c r="I61" s="410"/>
      <c r="J61" s="410"/>
      <c r="K61" s="411" t="str">
        <f>Budynek!J45</f>
        <v>NIE</v>
      </c>
      <c r="L61" s="411"/>
      <c r="M61" s="411"/>
      <c r="N61" s="411"/>
      <c r="O61" s="411"/>
      <c r="P61" s="411"/>
      <c r="Q61" s="411"/>
      <c r="R61" s="411"/>
      <c r="S61" s="411"/>
      <c r="T61" s="411"/>
      <c r="U61" s="411"/>
      <c r="V61" s="411"/>
      <c r="W61" s="96"/>
      <c r="X61" s="96"/>
    </row>
    <row r="62" spans="1:24" ht="15" customHeight="1" x14ac:dyDescent="0.25">
      <c r="A62" s="99"/>
      <c r="B62" s="410" t="s">
        <v>547</v>
      </c>
      <c r="C62" s="410"/>
      <c r="D62" s="410"/>
      <c r="E62" s="410"/>
      <c r="F62" s="410"/>
      <c r="G62" s="410"/>
      <c r="H62" s="410"/>
      <c r="I62" s="410"/>
      <c r="J62" s="410"/>
      <c r="K62" s="411" t="str">
        <f>Budynek!J47</f>
        <v>Porotherm</v>
      </c>
      <c r="L62" s="411"/>
      <c r="M62" s="411"/>
      <c r="N62" s="411"/>
      <c r="O62" s="411"/>
      <c r="P62" s="412"/>
      <c r="Q62" s="413">
        <f>Budynek!R47</f>
        <v>24</v>
      </c>
      <c r="R62" s="413"/>
      <c r="S62" s="413"/>
      <c r="T62" s="414" t="s">
        <v>438</v>
      </c>
      <c r="U62" s="414"/>
      <c r="V62" s="415"/>
      <c r="W62" s="96"/>
      <c r="X62" s="96"/>
    </row>
    <row r="63" spans="1:24" ht="15" customHeight="1" x14ac:dyDescent="0.25">
      <c r="A63" s="99"/>
      <c r="B63" s="410" t="s">
        <v>548</v>
      </c>
      <c r="C63" s="410"/>
      <c r="D63" s="410"/>
      <c r="E63" s="410"/>
      <c r="F63" s="410"/>
      <c r="G63" s="410"/>
      <c r="H63" s="410"/>
      <c r="I63" s="410"/>
      <c r="J63" s="410"/>
      <c r="K63" s="412" t="str">
        <f>Budynek!J49</f>
        <v>Styropian</v>
      </c>
      <c r="L63" s="413"/>
      <c r="M63" s="413"/>
      <c r="N63" s="413"/>
      <c r="O63" s="413"/>
      <c r="P63" s="413"/>
      <c r="Q63" s="413">
        <f>Budynek!R49</f>
        <v>20</v>
      </c>
      <c r="R63" s="413"/>
      <c r="S63" s="413"/>
      <c r="T63" s="414" t="s">
        <v>438</v>
      </c>
      <c r="U63" s="414"/>
      <c r="V63" s="415"/>
      <c r="W63" s="96"/>
      <c r="X63" s="96"/>
    </row>
    <row r="64" spans="1:24" ht="15" customHeight="1" x14ac:dyDescent="0.25">
      <c r="A64" s="99"/>
      <c r="B64" s="410" t="s">
        <v>549</v>
      </c>
      <c r="C64" s="410"/>
      <c r="D64" s="410"/>
      <c r="E64" s="410"/>
      <c r="F64" s="410"/>
      <c r="G64" s="410"/>
      <c r="H64" s="410"/>
      <c r="I64" s="410"/>
      <c r="J64" s="410"/>
      <c r="K64" s="412" t="str">
        <f>Budynek!J51</f>
        <v>piana pur</v>
      </c>
      <c r="L64" s="413"/>
      <c r="M64" s="413"/>
      <c r="N64" s="413"/>
      <c r="O64" s="413"/>
      <c r="P64" s="413"/>
      <c r="Q64" s="413">
        <f>Budynek!R51</f>
        <v>25</v>
      </c>
      <c r="R64" s="413"/>
      <c r="S64" s="413"/>
      <c r="T64" s="414" t="s">
        <v>438</v>
      </c>
      <c r="U64" s="414"/>
      <c r="V64" s="415"/>
      <c r="W64" s="96"/>
      <c r="X64" s="96"/>
    </row>
    <row r="65" spans="1:24" x14ac:dyDescent="0.25">
      <c r="A65" s="96"/>
      <c r="B65" s="408" t="s">
        <v>550</v>
      </c>
      <c r="C65" s="408"/>
      <c r="D65" s="408"/>
      <c r="E65" s="408"/>
      <c r="F65" s="408"/>
      <c r="G65" s="408"/>
      <c r="H65" s="408"/>
      <c r="I65" s="408"/>
      <c r="J65" s="408"/>
      <c r="K65" s="412" t="str">
        <f>Budynek!J53</f>
        <v>Styropian</v>
      </c>
      <c r="L65" s="413"/>
      <c r="M65" s="413"/>
      <c r="N65" s="413"/>
      <c r="O65" s="413"/>
      <c r="P65" s="413"/>
      <c r="Q65" s="413">
        <f>Budynek!R53</f>
        <v>10</v>
      </c>
      <c r="R65" s="413"/>
      <c r="S65" s="413"/>
      <c r="T65" s="414" t="s">
        <v>438</v>
      </c>
      <c r="U65" s="414"/>
      <c r="V65" s="415"/>
      <c r="W65" s="96"/>
      <c r="X65" s="96"/>
    </row>
    <row r="66" spans="1:24" x14ac:dyDescent="0.25">
      <c r="A66" s="96"/>
      <c r="B66" s="408" t="s">
        <v>551</v>
      </c>
      <c r="C66" s="408"/>
      <c r="D66" s="408"/>
      <c r="E66" s="408"/>
      <c r="F66" s="408"/>
      <c r="G66" s="408"/>
      <c r="H66" s="408"/>
      <c r="I66" s="408"/>
      <c r="J66" s="408"/>
      <c r="K66" s="422" t="str">
        <f>Budynek!J55</f>
        <v>trójszybowa</v>
      </c>
      <c r="L66" s="422"/>
      <c r="M66" s="422"/>
      <c r="N66" s="422"/>
      <c r="O66" s="422"/>
      <c r="P66" s="423"/>
      <c r="Q66" s="424">
        <f>Budynek!R55</f>
        <v>6</v>
      </c>
      <c r="R66" s="422"/>
      <c r="S66" s="422"/>
      <c r="T66" s="422"/>
      <c r="U66" s="422"/>
      <c r="V66" s="422"/>
      <c r="W66" s="96"/>
      <c r="X66" s="96"/>
    </row>
    <row r="67" spans="1:24" x14ac:dyDescent="0.25">
      <c r="A67" s="96"/>
      <c r="B67" s="408" t="s">
        <v>552</v>
      </c>
      <c r="C67" s="408"/>
      <c r="D67" s="408"/>
      <c r="E67" s="408"/>
      <c r="F67" s="408"/>
      <c r="G67" s="408"/>
      <c r="H67" s="408"/>
      <c r="I67" s="408"/>
      <c r="J67" s="408"/>
      <c r="K67" s="422">
        <f>Budynek!R57</f>
        <v>1</v>
      </c>
      <c r="L67" s="422"/>
      <c r="M67" s="422"/>
      <c r="N67" s="422"/>
      <c r="O67" s="422"/>
      <c r="P67" s="422"/>
      <c r="Q67" s="422"/>
      <c r="R67" s="422"/>
      <c r="S67" s="422"/>
      <c r="T67" s="422"/>
      <c r="U67" s="422"/>
      <c r="V67" s="422"/>
      <c r="W67" s="96"/>
      <c r="X67" s="96"/>
    </row>
    <row r="68" spans="1:24" x14ac:dyDescent="0.25">
      <c r="A68" s="96"/>
      <c r="B68" s="408" t="s">
        <v>553</v>
      </c>
      <c r="C68" s="408"/>
      <c r="D68" s="408"/>
      <c r="E68" s="408"/>
      <c r="F68" s="408"/>
      <c r="G68" s="408"/>
      <c r="H68" s="408"/>
      <c r="I68" s="408"/>
      <c r="J68" s="408"/>
      <c r="K68" s="422" t="str">
        <f>Budynek!J59</f>
        <v>grawitacyjna</v>
      </c>
      <c r="L68" s="422"/>
      <c r="M68" s="422"/>
      <c r="N68" s="422"/>
      <c r="O68" s="422"/>
      <c r="P68" s="422"/>
      <c r="Q68" s="422"/>
      <c r="R68" s="422"/>
      <c r="S68" s="422"/>
      <c r="T68" s="422"/>
      <c r="U68" s="422"/>
      <c r="V68" s="422"/>
      <c r="W68" s="96"/>
      <c r="X68" s="96"/>
    </row>
    <row r="69" spans="1:24" x14ac:dyDescent="0.25">
      <c r="A69" s="96"/>
      <c r="B69" s="408" t="s">
        <v>554</v>
      </c>
      <c r="C69" s="408"/>
      <c r="D69" s="408"/>
      <c r="E69" s="408"/>
      <c r="F69" s="408"/>
      <c r="G69" s="408"/>
      <c r="H69" s="408"/>
      <c r="I69" s="408"/>
      <c r="J69" s="408"/>
      <c r="K69" s="422">
        <f>Budynek!I72</f>
        <v>200</v>
      </c>
      <c r="L69" s="422"/>
      <c r="M69" s="422"/>
      <c r="N69" s="422"/>
      <c r="O69" s="422"/>
      <c r="P69" s="422"/>
      <c r="Q69" s="422"/>
      <c r="R69" s="422"/>
      <c r="S69" s="422"/>
      <c r="T69" s="422"/>
      <c r="U69" s="422"/>
      <c r="V69" s="422"/>
      <c r="W69" s="96"/>
      <c r="X69" s="96"/>
    </row>
    <row r="70" spans="1:24" x14ac:dyDescent="0.25">
      <c r="A70" s="96"/>
      <c r="B70" s="408" t="s">
        <v>565</v>
      </c>
      <c r="C70" s="408"/>
      <c r="D70" s="408"/>
      <c r="E70" s="408"/>
      <c r="F70" s="408"/>
      <c r="G70" s="408"/>
      <c r="H70" s="408"/>
      <c r="I70" s="408"/>
      <c r="J70" s="408"/>
      <c r="K70" s="423" t="str">
        <f>Budynek!J61</f>
        <v>ekogroszek</v>
      </c>
      <c r="L70" s="453"/>
      <c r="M70" s="453"/>
      <c r="N70" s="453"/>
      <c r="O70" s="453"/>
      <c r="P70" s="424"/>
      <c r="Q70" s="423">
        <f>Budynek!J63</f>
        <v>6000</v>
      </c>
      <c r="R70" s="453"/>
      <c r="S70" s="453"/>
      <c r="T70" s="453"/>
      <c r="U70" s="453"/>
      <c r="V70" s="424"/>
      <c r="W70" s="96"/>
      <c r="X70" s="96"/>
    </row>
    <row r="71" spans="1:24" x14ac:dyDescent="0.25">
      <c r="A71" s="96"/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</row>
    <row r="72" spans="1:24" x14ac:dyDescent="0.25">
      <c r="A72" s="385" t="s">
        <v>364</v>
      </c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5"/>
      <c r="V72" s="385"/>
      <c r="W72" s="385"/>
      <c r="X72" s="385"/>
    </row>
    <row r="73" spans="1:24" x14ac:dyDescent="0.25">
      <c r="A73" s="385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5"/>
      <c r="V73" s="385"/>
      <c r="W73" s="385"/>
      <c r="X73" s="385"/>
    </row>
    <row r="74" spans="1:24" ht="15" customHeight="1" x14ac:dyDescent="0.25"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</row>
    <row r="75" spans="1:24" ht="15" customHeight="1" x14ac:dyDescent="0.25">
      <c r="B75" s="455" t="s">
        <v>560</v>
      </c>
      <c r="C75" s="456"/>
      <c r="D75" s="456"/>
      <c r="E75" s="456"/>
      <c r="F75" s="456"/>
      <c r="G75" s="456"/>
      <c r="H75" s="456"/>
      <c r="I75" s="456"/>
      <c r="J75" s="457"/>
      <c r="K75" s="458"/>
      <c r="L75" s="459"/>
      <c r="M75" s="459"/>
      <c r="N75" s="459"/>
      <c r="O75" s="459"/>
      <c r="P75" s="459"/>
      <c r="Q75" s="459"/>
      <c r="R75" s="459"/>
      <c r="S75" s="459"/>
      <c r="T75" s="459"/>
      <c r="U75" s="459"/>
      <c r="V75" s="460"/>
    </row>
    <row r="76" spans="1:24" x14ac:dyDescent="0.25">
      <c r="B76" s="465" t="s">
        <v>561</v>
      </c>
      <c r="C76" s="465"/>
      <c r="D76" s="465"/>
      <c r="E76" s="465"/>
      <c r="F76" s="465"/>
      <c r="G76" s="465"/>
      <c r="H76" s="465"/>
      <c r="I76" s="465"/>
      <c r="J76" s="465"/>
      <c r="K76" s="377" t="e">
        <f>VLOOKUP(K75,PC[],MATCH("j.wew",PC[#Headers],0),FALSE)</f>
        <v>#N/A</v>
      </c>
      <c r="L76" s="377"/>
      <c r="M76" s="377"/>
      <c r="N76" s="377"/>
      <c r="O76" s="377"/>
      <c r="P76" s="377"/>
      <c r="Q76" s="377"/>
      <c r="R76" s="377"/>
      <c r="S76" s="377"/>
      <c r="T76" s="377"/>
      <c r="U76" s="377"/>
      <c r="V76" s="377"/>
    </row>
    <row r="77" spans="1:24" x14ac:dyDescent="0.25">
      <c r="B77" s="465" t="s">
        <v>562</v>
      </c>
      <c r="C77" s="465"/>
      <c r="D77" s="465"/>
      <c r="E77" s="465"/>
      <c r="F77" s="465"/>
      <c r="G77" s="465"/>
      <c r="H77" s="465"/>
      <c r="I77" s="465"/>
      <c r="J77" s="465"/>
      <c r="K77" s="377" t="e">
        <f>VLOOKUP(K75,PC[],MATCH("j.zew",PC[#Headers],0),FALSE)</f>
        <v>#N/A</v>
      </c>
      <c r="L77" s="377"/>
      <c r="M77" s="377"/>
      <c r="N77" s="377"/>
      <c r="O77" s="377"/>
      <c r="P77" s="377"/>
      <c r="Q77" s="377"/>
      <c r="R77" s="377"/>
      <c r="S77" s="377"/>
      <c r="T77" s="377"/>
      <c r="U77" s="377"/>
      <c r="V77" s="377"/>
    </row>
    <row r="78" spans="1:24" x14ac:dyDescent="0.25">
      <c r="B78" s="465" t="s">
        <v>563</v>
      </c>
      <c r="C78" s="465"/>
      <c r="D78" s="465"/>
      <c r="E78" s="465"/>
      <c r="F78" s="465"/>
      <c r="G78" s="465"/>
      <c r="H78" s="465"/>
      <c r="I78" s="465"/>
      <c r="J78" s="465"/>
      <c r="K78" s="62" t="e">
        <f>VLOOKUP(K75,PC[],MATCH("fazy",PC[#Headers],0),FALSE)</f>
        <v>#N/A</v>
      </c>
      <c r="L78" s="461" t="s">
        <v>396</v>
      </c>
      <c r="M78" s="462"/>
      <c r="N78" s="462"/>
      <c r="O78" s="462"/>
      <c r="P78" s="462"/>
      <c r="Q78" s="462"/>
      <c r="R78" s="462"/>
      <c r="S78" s="462"/>
      <c r="T78" s="462"/>
      <c r="U78" s="462"/>
      <c r="V78" s="462"/>
    </row>
    <row r="79" spans="1:24" x14ac:dyDescent="0.25">
      <c r="B79" s="465" t="s">
        <v>564</v>
      </c>
      <c r="C79" s="465"/>
      <c r="D79" s="465"/>
      <c r="E79" s="465"/>
      <c r="F79" s="465"/>
      <c r="G79" s="465"/>
      <c r="H79" s="465"/>
      <c r="I79" s="465"/>
      <c r="J79" s="465"/>
      <c r="K79" s="62" t="e">
        <f>VLOOKUP(K75,PC[],MATCH("Grzałka",PC[#Headers],0),FALSE)</f>
        <v>#N/A</v>
      </c>
      <c r="L79" s="463" t="s">
        <v>84</v>
      </c>
      <c r="M79" s="464"/>
      <c r="N79" s="464"/>
      <c r="O79" s="464"/>
      <c r="P79" s="464"/>
      <c r="Q79" s="464"/>
      <c r="R79" s="464"/>
      <c r="S79" s="464"/>
      <c r="T79" s="464"/>
      <c r="U79" s="464"/>
      <c r="V79" s="464"/>
    </row>
    <row r="80" spans="1:24" x14ac:dyDescent="0.25">
      <c r="B80" s="465" t="s">
        <v>397</v>
      </c>
      <c r="C80" s="465"/>
      <c r="D80" s="465"/>
      <c r="E80" s="465"/>
      <c r="F80" s="465"/>
      <c r="G80" s="465"/>
      <c r="H80" s="465"/>
      <c r="I80" s="465"/>
      <c r="J80" s="465"/>
      <c r="K80" s="62" t="e">
        <f>VLOOKUP(K75,PC[],MATCH("gwarancja",PC[#Headers],0),FALSE)</f>
        <v>#N/A</v>
      </c>
      <c r="L80" s="463" t="e">
        <f>IF(K80&lt;5,"lata","lat")</f>
        <v>#N/A</v>
      </c>
      <c r="M80" s="464"/>
      <c r="N80" s="464"/>
      <c r="O80" s="464"/>
      <c r="P80" s="464"/>
      <c r="Q80" s="464"/>
      <c r="R80" s="464"/>
      <c r="S80" s="464"/>
      <c r="T80" s="464"/>
      <c r="U80" s="464"/>
      <c r="V80" s="464"/>
    </row>
    <row r="118" spans="28:28" x14ac:dyDescent="0.25">
      <c r="AB118" s="61" t="s">
        <v>181</v>
      </c>
    </row>
    <row r="119" spans="28:28" x14ac:dyDescent="0.25">
      <c r="AB119" s="59" t="s">
        <v>192</v>
      </c>
    </row>
    <row r="120" spans="28:28" x14ac:dyDescent="0.25">
      <c r="AB120" s="59" t="s">
        <v>193</v>
      </c>
    </row>
    <row r="121" spans="28:28" x14ac:dyDescent="0.25">
      <c r="AB121" s="59" t="s">
        <v>70</v>
      </c>
    </row>
    <row r="122" spans="28:28" x14ac:dyDescent="0.25">
      <c r="AB122" s="59" t="s">
        <v>191</v>
      </c>
    </row>
    <row r="123" spans="28:28" x14ac:dyDescent="0.25">
      <c r="AB123" s="59" t="s">
        <v>392</v>
      </c>
    </row>
    <row r="140" spans="2:22" x14ac:dyDescent="0.25">
      <c r="B140" s="105" t="s">
        <v>378</v>
      </c>
    </row>
    <row r="141" spans="2:22" x14ac:dyDescent="0.25">
      <c r="B141" s="378"/>
      <c r="C141" s="380"/>
      <c r="D141" s="378" t="s">
        <v>379</v>
      </c>
      <c r="E141" s="379"/>
      <c r="F141" s="379"/>
      <c r="G141" s="379"/>
      <c r="H141" s="379"/>
      <c r="I141" s="379"/>
      <c r="J141" s="379"/>
      <c r="K141" s="379"/>
      <c r="L141" s="379"/>
      <c r="M141" s="380"/>
      <c r="O141" s="384" t="s">
        <v>360</v>
      </c>
      <c r="P141" s="384"/>
      <c r="Q141" s="384"/>
      <c r="R141" s="384"/>
      <c r="S141" s="384"/>
      <c r="T141" s="384"/>
      <c r="V141" s="59" t="s">
        <v>361</v>
      </c>
    </row>
    <row r="142" spans="2:22" x14ac:dyDescent="0.25">
      <c r="B142" s="378"/>
      <c r="C142" s="380"/>
      <c r="D142" s="378" t="s">
        <v>380</v>
      </c>
      <c r="E142" s="379"/>
      <c r="F142" s="379"/>
      <c r="G142" s="379"/>
      <c r="H142" s="379"/>
      <c r="I142" s="379"/>
      <c r="J142" s="379"/>
      <c r="K142" s="379"/>
      <c r="L142" s="379"/>
      <c r="M142" s="380"/>
    </row>
    <row r="143" spans="2:22" x14ac:dyDescent="0.25">
      <c r="B143" s="378"/>
      <c r="C143" s="380"/>
      <c r="D143" s="62" t="s">
        <v>381</v>
      </c>
      <c r="E143" s="63"/>
      <c r="F143" s="63"/>
      <c r="G143" s="63"/>
      <c r="H143" s="63"/>
      <c r="I143" s="63"/>
      <c r="J143" s="63"/>
      <c r="K143" s="63"/>
      <c r="L143" s="63"/>
      <c r="M143" s="64"/>
      <c r="O143" s="384" t="s">
        <v>360</v>
      </c>
      <c r="P143" s="384"/>
      <c r="Q143" s="384"/>
      <c r="R143" s="384"/>
      <c r="S143" s="384"/>
      <c r="T143" s="384"/>
      <c r="V143" s="59" t="s">
        <v>361</v>
      </c>
    </row>
    <row r="144" spans="2:22" x14ac:dyDescent="0.25">
      <c r="B144" s="447"/>
      <c r="C144" s="448"/>
      <c r="D144" s="386" t="s">
        <v>382</v>
      </c>
      <c r="E144" s="386"/>
      <c r="F144" s="386"/>
      <c r="G144" s="386"/>
      <c r="H144" s="386"/>
      <c r="I144" s="386"/>
      <c r="J144" s="386"/>
      <c r="K144" s="386"/>
      <c r="L144" s="386"/>
      <c r="M144" s="386"/>
    </row>
    <row r="145" spans="1:22" x14ac:dyDescent="0.25">
      <c r="B145" s="449"/>
      <c r="C145" s="450"/>
      <c r="D145" s="386"/>
      <c r="E145" s="386"/>
      <c r="F145" s="386"/>
      <c r="G145" s="386"/>
      <c r="H145" s="386"/>
      <c r="I145" s="386"/>
      <c r="J145" s="386"/>
      <c r="K145" s="386"/>
      <c r="L145" s="386"/>
      <c r="M145" s="386"/>
    </row>
    <row r="146" spans="1:22" x14ac:dyDescent="0.25">
      <c r="B146" s="447"/>
      <c r="C146" s="448"/>
      <c r="D146" s="386" t="s">
        <v>383</v>
      </c>
      <c r="E146" s="386"/>
      <c r="F146" s="386"/>
      <c r="G146" s="386"/>
      <c r="H146" s="386"/>
      <c r="I146" s="386"/>
      <c r="J146" s="386"/>
      <c r="K146" s="386"/>
      <c r="L146" s="386"/>
      <c r="M146" s="386"/>
    </row>
    <row r="147" spans="1:22" x14ac:dyDescent="0.25">
      <c r="B147" s="449"/>
      <c r="C147" s="450"/>
      <c r="D147" s="386"/>
      <c r="E147" s="386"/>
      <c r="F147" s="386"/>
      <c r="G147" s="386"/>
      <c r="H147" s="386"/>
      <c r="I147" s="386"/>
      <c r="J147" s="386"/>
      <c r="K147" s="386"/>
      <c r="L147" s="386"/>
      <c r="M147" s="386"/>
    </row>
    <row r="148" spans="1:22" x14ac:dyDescent="0.25">
      <c r="B148" s="377"/>
      <c r="C148" s="377"/>
      <c r="D148" s="386" t="s">
        <v>393</v>
      </c>
      <c r="E148" s="386"/>
      <c r="F148" s="386"/>
      <c r="G148" s="386"/>
      <c r="H148" s="386"/>
      <c r="I148" s="386"/>
      <c r="J148" s="386"/>
      <c r="K148" s="386"/>
      <c r="L148" s="386"/>
      <c r="M148" s="386"/>
    </row>
    <row r="149" spans="1:22" x14ac:dyDescent="0.25">
      <c r="B149" s="377"/>
      <c r="C149" s="377"/>
      <c r="D149" s="386"/>
      <c r="E149" s="386"/>
      <c r="F149" s="386"/>
      <c r="G149" s="386"/>
      <c r="H149" s="386"/>
      <c r="I149" s="386"/>
      <c r="J149" s="386"/>
      <c r="K149" s="386"/>
      <c r="L149" s="386"/>
      <c r="M149" s="386"/>
    </row>
    <row r="152" spans="1:22" x14ac:dyDescent="0.25">
      <c r="E152" s="387" t="s">
        <v>384</v>
      </c>
      <c r="F152" s="387"/>
      <c r="G152" s="387"/>
      <c r="H152" s="387"/>
      <c r="I152" s="387"/>
      <c r="J152" s="387"/>
      <c r="K152" s="388" t="s">
        <v>385</v>
      </c>
      <c r="L152" s="388"/>
      <c r="M152" s="388"/>
      <c r="N152" s="388"/>
      <c r="O152" s="388"/>
      <c r="P152" s="388"/>
      <c r="Q152" s="389" t="s">
        <v>210</v>
      </c>
      <c r="R152" s="389"/>
      <c r="S152" s="389"/>
      <c r="T152" s="389"/>
      <c r="U152" s="389"/>
      <c r="V152" s="389"/>
    </row>
    <row r="153" spans="1:22" x14ac:dyDescent="0.25">
      <c r="E153" s="387"/>
      <c r="F153" s="387"/>
      <c r="G153" s="387"/>
      <c r="H153" s="387"/>
      <c r="I153" s="387"/>
      <c r="J153" s="387"/>
      <c r="K153" s="388"/>
      <c r="L153" s="388"/>
      <c r="M153" s="388"/>
      <c r="N153" s="388"/>
      <c r="O153" s="388"/>
      <c r="P153" s="388"/>
      <c r="Q153" s="389"/>
      <c r="R153" s="389"/>
      <c r="S153" s="389"/>
      <c r="T153" s="389"/>
      <c r="U153" s="389"/>
      <c r="V153" s="389"/>
    </row>
    <row r="154" spans="1:22" x14ac:dyDescent="0.25">
      <c r="E154" s="381" t="s">
        <v>196</v>
      </c>
      <c r="F154" s="381"/>
      <c r="G154" s="381"/>
      <c r="H154" s="381" t="s">
        <v>199</v>
      </c>
      <c r="I154" s="381"/>
      <c r="J154" s="381"/>
      <c r="K154" s="381" t="s">
        <v>196</v>
      </c>
      <c r="L154" s="381"/>
      <c r="M154" s="381"/>
      <c r="N154" s="381" t="s">
        <v>199</v>
      </c>
      <c r="O154" s="381"/>
      <c r="P154" s="381"/>
      <c r="Q154" s="381" t="s">
        <v>196</v>
      </c>
      <c r="R154" s="381"/>
      <c r="S154" s="381"/>
      <c r="T154" s="381" t="s">
        <v>199</v>
      </c>
      <c r="U154" s="381"/>
      <c r="V154" s="381"/>
    </row>
    <row r="155" spans="1:22" x14ac:dyDescent="0.25">
      <c r="A155" s="377" t="str">
        <f>wykres!$A$37</f>
        <v>styczeń</v>
      </c>
      <c r="B155" s="377"/>
      <c r="C155" s="377"/>
      <c r="D155" s="377"/>
      <c r="E155" s="376">
        <f>AB155</f>
        <v>0</v>
      </c>
      <c r="F155" s="376"/>
      <c r="G155" s="376"/>
      <c r="H155" s="376">
        <f>E155*Schemat!$E$40</f>
        <v>0</v>
      </c>
      <c r="I155" s="376"/>
      <c r="J155" s="376"/>
      <c r="K155" s="376">
        <f>AC155</f>
        <v>0</v>
      </c>
      <c r="L155" s="377"/>
      <c r="M155" s="377"/>
      <c r="N155" s="376">
        <f>K155*Schemat!$E$40</f>
        <v>0</v>
      </c>
      <c r="O155" s="376"/>
      <c r="P155" s="376"/>
      <c r="Q155" s="376">
        <f>AD155</f>
        <v>0</v>
      </c>
      <c r="R155" s="376"/>
      <c r="S155" s="376"/>
      <c r="T155" s="376">
        <f>Q155*Schemat!$E$40</f>
        <v>0</v>
      </c>
      <c r="U155" s="376"/>
      <c r="V155" s="376"/>
    </row>
    <row r="156" spans="1:22" x14ac:dyDescent="0.25">
      <c r="A156" s="377" t="str">
        <f>wykres!$A$38</f>
        <v>luty</v>
      </c>
      <c r="B156" s="377"/>
      <c r="C156" s="377"/>
      <c r="D156" s="377"/>
      <c r="E156" s="376">
        <f t="shared" ref="E156:E166" si="0">AB156</f>
        <v>0</v>
      </c>
      <c r="F156" s="376"/>
      <c r="G156" s="376"/>
      <c r="H156" s="376">
        <f>E156*Schemat!$E$40</f>
        <v>0</v>
      </c>
      <c r="I156" s="376"/>
      <c r="J156" s="376"/>
      <c r="K156" s="376">
        <f t="shared" ref="K156:K166" si="1">AC156</f>
        <v>0</v>
      </c>
      <c r="L156" s="377"/>
      <c r="M156" s="377"/>
      <c r="N156" s="376">
        <f>K156*Schemat!$E$40</f>
        <v>0</v>
      </c>
      <c r="O156" s="376"/>
      <c r="P156" s="376"/>
      <c r="Q156" s="376">
        <f t="shared" ref="Q156:Q166" si="2">AD156</f>
        <v>0</v>
      </c>
      <c r="R156" s="376"/>
      <c r="S156" s="376"/>
      <c r="T156" s="376">
        <f>Q156*Schemat!$E$40</f>
        <v>0</v>
      </c>
      <c r="U156" s="376"/>
      <c r="V156" s="376"/>
    </row>
    <row r="157" spans="1:22" x14ac:dyDescent="0.25">
      <c r="A157" s="377" t="str">
        <f>wykres!$A$39</f>
        <v>marzec</v>
      </c>
      <c r="B157" s="377"/>
      <c r="C157" s="377"/>
      <c r="D157" s="377"/>
      <c r="E157" s="376">
        <f t="shared" si="0"/>
        <v>0</v>
      </c>
      <c r="F157" s="376"/>
      <c r="G157" s="376"/>
      <c r="H157" s="376">
        <f>E157*Schemat!$E$40</f>
        <v>0</v>
      </c>
      <c r="I157" s="376"/>
      <c r="J157" s="376"/>
      <c r="K157" s="376">
        <f t="shared" si="1"/>
        <v>0</v>
      </c>
      <c r="L157" s="377"/>
      <c r="M157" s="377"/>
      <c r="N157" s="376">
        <f>K157*Schemat!$E$40</f>
        <v>0</v>
      </c>
      <c r="O157" s="376"/>
      <c r="P157" s="376"/>
      <c r="Q157" s="376">
        <f t="shared" si="2"/>
        <v>0</v>
      </c>
      <c r="R157" s="376"/>
      <c r="S157" s="376"/>
      <c r="T157" s="376">
        <f>Q157*Schemat!$E$40</f>
        <v>0</v>
      </c>
      <c r="U157" s="376"/>
      <c r="V157" s="376"/>
    </row>
    <row r="158" spans="1:22" x14ac:dyDescent="0.25">
      <c r="A158" s="377" t="str">
        <f>wykres!$A$40</f>
        <v>kwiecień</v>
      </c>
      <c r="B158" s="377"/>
      <c r="C158" s="377"/>
      <c r="D158" s="377"/>
      <c r="E158" s="376">
        <f t="shared" si="0"/>
        <v>0</v>
      </c>
      <c r="F158" s="376"/>
      <c r="G158" s="376"/>
      <c r="H158" s="376">
        <f>E158*Schemat!$E$40</f>
        <v>0</v>
      </c>
      <c r="I158" s="376"/>
      <c r="J158" s="376"/>
      <c r="K158" s="376">
        <f t="shared" si="1"/>
        <v>0</v>
      </c>
      <c r="L158" s="377"/>
      <c r="M158" s="377"/>
      <c r="N158" s="376">
        <f>K158*Schemat!$E$40</f>
        <v>0</v>
      </c>
      <c r="O158" s="376"/>
      <c r="P158" s="376"/>
      <c r="Q158" s="376">
        <f t="shared" si="2"/>
        <v>0</v>
      </c>
      <c r="R158" s="376"/>
      <c r="S158" s="376"/>
      <c r="T158" s="376">
        <f>Q158*Schemat!$E$40</f>
        <v>0</v>
      </c>
      <c r="U158" s="376"/>
      <c r="V158" s="376"/>
    </row>
    <row r="159" spans="1:22" x14ac:dyDescent="0.25">
      <c r="A159" s="377" t="str">
        <f>wykres!$A$41</f>
        <v>maj</v>
      </c>
      <c r="B159" s="377"/>
      <c r="C159" s="377"/>
      <c r="D159" s="377"/>
      <c r="E159" s="376">
        <f t="shared" si="0"/>
        <v>0</v>
      </c>
      <c r="F159" s="376"/>
      <c r="G159" s="376"/>
      <c r="H159" s="376">
        <f>E159*Schemat!$E$40</f>
        <v>0</v>
      </c>
      <c r="I159" s="376"/>
      <c r="J159" s="376"/>
      <c r="K159" s="376">
        <f t="shared" si="1"/>
        <v>0</v>
      </c>
      <c r="L159" s="377"/>
      <c r="M159" s="377"/>
      <c r="N159" s="376">
        <f>K159*Schemat!$E$40</f>
        <v>0</v>
      </c>
      <c r="O159" s="376"/>
      <c r="P159" s="376"/>
      <c r="Q159" s="376">
        <f t="shared" si="2"/>
        <v>0</v>
      </c>
      <c r="R159" s="376"/>
      <c r="S159" s="376"/>
      <c r="T159" s="376">
        <f>Q159*Schemat!$E$40</f>
        <v>0</v>
      </c>
      <c r="U159" s="376"/>
      <c r="V159" s="376"/>
    </row>
    <row r="160" spans="1:22" x14ac:dyDescent="0.25">
      <c r="A160" s="377" t="str">
        <f>wykres!$A$42</f>
        <v>czerwiec</v>
      </c>
      <c r="B160" s="377"/>
      <c r="C160" s="377"/>
      <c r="D160" s="377"/>
      <c r="E160" s="376">
        <f t="shared" si="0"/>
        <v>0</v>
      </c>
      <c r="F160" s="376"/>
      <c r="G160" s="376"/>
      <c r="H160" s="376">
        <f>E160*Schemat!$E$40</f>
        <v>0</v>
      </c>
      <c r="I160" s="376"/>
      <c r="J160" s="376"/>
      <c r="K160" s="376">
        <f t="shared" si="1"/>
        <v>0</v>
      </c>
      <c r="L160" s="377"/>
      <c r="M160" s="377"/>
      <c r="N160" s="376">
        <f>K160*Schemat!$E$40</f>
        <v>0</v>
      </c>
      <c r="O160" s="376"/>
      <c r="P160" s="376"/>
      <c r="Q160" s="376">
        <f t="shared" si="2"/>
        <v>0</v>
      </c>
      <c r="R160" s="376"/>
      <c r="S160" s="376"/>
      <c r="T160" s="376">
        <f>Q160*Schemat!$E$40</f>
        <v>0</v>
      </c>
      <c r="U160" s="376"/>
      <c r="V160" s="376"/>
    </row>
    <row r="161" spans="1:68" x14ac:dyDescent="0.25">
      <c r="A161" s="377" t="str">
        <f>wykres!$A$43</f>
        <v>lipiec</v>
      </c>
      <c r="B161" s="377"/>
      <c r="C161" s="377"/>
      <c r="D161" s="377"/>
      <c r="E161" s="376">
        <f t="shared" si="0"/>
        <v>0</v>
      </c>
      <c r="F161" s="376"/>
      <c r="G161" s="376"/>
      <c r="H161" s="376">
        <f>E161*Schemat!$E$40</f>
        <v>0</v>
      </c>
      <c r="I161" s="376"/>
      <c r="J161" s="376"/>
      <c r="K161" s="376">
        <f t="shared" si="1"/>
        <v>0</v>
      </c>
      <c r="L161" s="377"/>
      <c r="M161" s="377"/>
      <c r="N161" s="376">
        <f>K161*Schemat!$E$40</f>
        <v>0</v>
      </c>
      <c r="O161" s="376"/>
      <c r="P161" s="376"/>
      <c r="Q161" s="376">
        <f t="shared" si="2"/>
        <v>0</v>
      </c>
      <c r="R161" s="376"/>
      <c r="S161" s="376"/>
      <c r="T161" s="376">
        <f>Q161*Schemat!$E$40</f>
        <v>0</v>
      </c>
      <c r="U161" s="376"/>
      <c r="V161" s="376"/>
    </row>
    <row r="162" spans="1:68" x14ac:dyDescent="0.25">
      <c r="A162" s="377" t="str">
        <f>wykres!$A$44</f>
        <v>sierpień</v>
      </c>
      <c r="B162" s="377"/>
      <c r="C162" s="377"/>
      <c r="D162" s="377"/>
      <c r="E162" s="376">
        <f t="shared" si="0"/>
        <v>0</v>
      </c>
      <c r="F162" s="376"/>
      <c r="G162" s="376"/>
      <c r="H162" s="376">
        <f>E162*Schemat!$E$40</f>
        <v>0</v>
      </c>
      <c r="I162" s="376"/>
      <c r="J162" s="376"/>
      <c r="K162" s="376">
        <f t="shared" si="1"/>
        <v>0</v>
      </c>
      <c r="L162" s="377"/>
      <c r="M162" s="377"/>
      <c r="N162" s="376">
        <f>K162*Schemat!$E$40</f>
        <v>0</v>
      </c>
      <c r="O162" s="376"/>
      <c r="P162" s="376"/>
      <c r="Q162" s="376">
        <f t="shared" si="2"/>
        <v>0</v>
      </c>
      <c r="R162" s="376"/>
      <c r="S162" s="376"/>
      <c r="T162" s="376">
        <f>Q162*Schemat!$E$40</f>
        <v>0</v>
      </c>
      <c r="U162" s="376"/>
      <c r="V162" s="376"/>
    </row>
    <row r="163" spans="1:68" x14ac:dyDescent="0.25">
      <c r="A163" s="377" t="str">
        <f>wykres!$A$45</f>
        <v>wrzesień</v>
      </c>
      <c r="B163" s="377"/>
      <c r="C163" s="377"/>
      <c r="D163" s="377"/>
      <c r="E163" s="376">
        <f t="shared" si="0"/>
        <v>0</v>
      </c>
      <c r="F163" s="376"/>
      <c r="G163" s="376"/>
      <c r="H163" s="376">
        <f>E163*Schemat!$E$40</f>
        <v>0</v>
      </c>
      <c r="I163" s="376"/>
      <c r="J163" s="376"/>
      <c r="K163" s="376">
        <f t="shared" si="1"/>
        <v>0</v>
      </c>
      <c r="L163" s="377"/>
      <c r="M163" s="377"/>
      <c r="N163" s="376">
        <f>K163*Schemat!$E$40</f>
        <v>0</v>
      </c>
      <c r="O163" s="376"/>
      <c r="P163" s="376"/>
      <c r="Q163" s="376">
        <f t="shared" si="2"/>
        <v>0</v>
      </c>
      <c r="R163" s="376"/>
      <c r="S163" s="376"/>
      <c r="T163" s="376">
        <f>Q163*Schemat!$E$40</f>
        <v>0</v>
      </c>
      <c r="U163" s="376"/>
      <c r="V163" s="376"/>
    </row>
    <row r="164" spans="1:68" x14ac:dyDescent="0.25">
      <c r="A164" s="377" t="str">
        <f>wykres!$A$46</f>
        <v>październik</v>
      </c>
      <c r="B164" s="377"/>
      <c r="C164" s="377"/>
      <c r="D164" s="377"/>
      <c r="E164" s="376">
        <f t="shared" si="0"/>
        <v>0</v>
      </c>
      <c r="F164" s="376"/>
      <c r="G164" s="376"/>
      <c r="H164" s="376">
        <f>E164*Schemat!$E$40</f>
        <v>0</v>
      </c>
      <c r="I164" s="376"/>
      <c r="J164" s="376"/>
      <c r="K164" s="376">
        <f t="shared" si="1"/>
        <v>0</v>
      </c>
      <c r="L164" s="377"/>
      <c r="M164" s="377"/>
      <c r="N164" s="376">
        <f>K164*Schemat!$E$40</f>
        <v>0</v>
      </c>
      <c r="O164" s="376"/>
      <c r="P164" s="376"/>
      <c r="Q164" s="376">
        <f t="shared" si="2"/>
        <v>0</v>
      </c>
      <c r="R164" s="376"/>
      <c r="S164" s="376"/>
      <c r="T164" s="376">
        <f>Q164*Schemat!$E$40</f>
        <v>0</v>
      </c>
      <c r="U164" s="376"/>
      <c r="V164" s="376"/>
      <c r="AS164" s="392"/>
      <c r="AT164" s="392"/>
      <c r="AU164" s="392"/>
      <c r="AV164" s="392"/>
      <c r="AW164" s="392"/>
      <c r="AX164" s="384"/>
      <c r="AY164" s="384"/>
      <c r="AZ164" s="384"/>
      <c r="BA164" s="384"/>
      <c r="BB164" s="384"/>
      <c r="BC164" s="384"/>
      <c r="BD164" s="384"/>
      <c r="BE164" s="384"/>
      <c r="BH164" s="392"/>
      <c r="BI164" s="392"/>
      <c r="BJ164" s="382"/>
      <c r="BK164" s="382"/>
      <c r="BL164" s="382"/>
      <c r="BM164" s="382"/>
      <c r="BN164" s="382"/>
      <c r="BO164" s="382"/>
      <c r="BP164" s="72"/>
    </row>
    <row r="165" spans="1:68" x14ac:dyDescent="0.25">
      <c r="A165" s="377" t="str">
        <f>wykres!$A$47</f>
        <v>listopad</v>
      </c>
      <c r="B165" s="377"/>
      <c r="C165" s="377"/>
      <c r="D165" s="377"/>
      <c r="E165" s="376">
        <f t="shared" si="0"/>
        <v>0</v>
      </c>
      <c r="F165" s="376"/>
      <c r="G165" s="376"/>
      <c r="H165" s="376">
        <f>E165*Schemat!$E$40</f>
        <v>0</v>
      </c>
      <c r="I165" s="376"/>
      <c r="J165" s="376"/>
      <c r="K165" s="376">
        <f t="shared" si="1"/>
        <v>0</v>
      </c>
      <c r="L165" s="377"/>
      <c r="M165" s="377"/>
      <c r="N165" s="376">
        <f>K165*Schemat!$E$40</f>
        <v>0</v>
      </c>
      <c r="O165" s="376"/>
      <c r="P165" s="376"/>
      <c r="Q165" s="376">
        <f t="shared" si="2"/>
        <v>0</v>
      </c>
      <c r="R165" s="376"/>
      <c r="S165" s="376"/>
      <c r="T165" s="376">
        <f>Q165*Schemat!$E$40</f>
        <v>0</v>
      </c>
      <c r="U165" s="376"/>
      <c r="V165" s="376"/>
      <c r="AS165" s="392"/>
      <c r="AT165" s="392"/>
      <c r="AU165" s="392"/>
      <c r="AV165" s="392"/>
      <c r="AW165" s="392"/>
      <c r="AX165" s="384"/>
      <c r="AY165" s="384"/>
      <c r="AZ165" s="384"/>
      <c r="BA165" s="384"/>
      <c r="BB165" s="384"/>
      <c r="BC165" s="384"/>
      <c r="BD165" s="384"/>
      <c r="BE165" s="384"/>
      <c r="BF165" s="384"/>
      <c r="BG165" s="384"/>
      <c r="BH165" s="392"/>
      <c r="BI165" s="392"/>
      <c r="BJ165" s="382"/>
      <c r="BK165" s="382"/>
      <c r="BL165" s="382"/>
      <c r="BM165" s="382"/>
      <c r="BN165" s="382"/>
      <c r="BO165" s="382"/>
      <c r="BP165" s="72"/>
    </row>
    <row r="166" spans="1:68" x14ac:dyDescent="0.25">
      <c r="A166" s="377" t="str">
        <f>wykres!$A$48</f>
        <v>grudzień</v>
      </c>
      <c r="B166" s="377"/>
      <c r="C166" s="377"/>
      <c r="D166" s="377"/>
      <c r="E166" s="376">
        <f t="shared" si="0"/>
        <v>0</v>
      </c>
      <c r="F166" s="376"/>
      <c r="G166" s="376"/>
      <c r="H166" s="376">
        <f>E166*Schemat!$E$40</f>
        <v>0</v>
      </c>
      <c r="I166" s="376"/>
      <c r="J166" s="376"/>
      <c r="K166" s="376">
        <f t="shared" si="1"/>
        <v>0</v>
      </c>
      <c r="L166" s="377"/>
      <c r="M166" s="377"/>
      <c r="N166" s="376">
        <f>K166*Schemat!$E$40</f>
        <v>0</v>
      </c>
      <c r="O166" s="376"/>
      <c r="P166" s="376"/>
      <c r="Q166" s="376">
        <f t="shared" si="2"/>
        <v>0</v>
      </c>
      <c r="R166" s="376"/>
      <c r="S166" s="376"/>
      <c r="T166" s="376">
        <f>Q166*Schemat!$E$40</f>
        <v>0</v>
      </c>
      <c r="U166" s="376"/>
      <c r="V166" s="376"/>
      <c r="AS166" s="384"/>
      <c r="AT166" s="384"/>
      <c r="AU166" s="384"/>
      <c r="AV166" s="384"/>
      <c r="AW166" s="384"/>
      <c r="AX166" s="384"/>
      <c r="AY166" s="384"/>
      <c r="AZ166" s="384"/>
      <c r="BA166" s="384"/>
      <c r="BB166" s="384"/>
      <c r="BC166" s="384"/>
      <c r="BD166" s="384"/>
      <c r="BE166" s="384"/>
      <c r="BF166" s="384"/>
      <c r="BH166" s="384"/>
      <c r="BI166" s="384"/>
      <c r="BJ166" s="390"/>
      <c r="BK166" s="390"/>
      <c r="BL166" s="390"/>
      <c r="BM166" s="390"/>
      <c r="BN166" s="390"/>
      <c r="BO166" s="390"/>
      <c r="BP166" s="74"/>
    </row>
    <row r="167" spans="1:68" s="105" customFormat="1" ht="15" customHeight="1" x14ac:dyDescent="0.25">
      <c r="A167" s="434" t="s">
        <v>201</v>
      </c>
      <c r="B167" s="435"/>
      <c r="C167" s="435"/>
      <c r="D167" s="436"/>
      <c r="E167" s="431">
        <f>SUM(E155:G166)</f>
        <v>0</v>
      </c>
      <c r="F167" s="432"/>
      <c r="G167" s="433"/>
      <c r="H167" s="431">
        <f t="shared" ref="H167" si="3">SUM(H155:J166)</f>
        <v>0</v>
      </c>
      <c r="I167" s="432"/>
      <c r="J167" s="433"/>
      <c r="K167" s="431">
        <f t="shared" ref="K167" si="4">SUM(K155:M166)</f>
        <v>0</v>
      </c>
      <c r="L167" s="432"/>
      <c r="M167" s="433"/>
      <c r="N167" s="431">
        <f t="shared" ref="N167" si="5">SUM(N155:P166)</f>
        <v>0</v>
      </c>
      <c r="O167" s="432"/>
      <c r="P167" s="433"/>
      <c r="Q167" s="431">
        <f t="shared" ref="Q167" si="6">SUM(Q155:S166)</f>
        <v>0</v>
      </c>
      <c r="R167" s="432"/>
      <c r="S167" s="433"/>
      <c r="T167" s="431">
        <f t="shared" ref="T167" si="7">SUM(T155:V166)</f>
        <v>0</v>
      </c>
      <c r="U167" s="432"/>
      <c r="V167" s="433"/>
      <c r="BJ167" s="110"/>
      <c r="BK167" s="110"/>
      <c r="BL167" s="110"/>
      <c r="BM167" s="110"/>
      <c r="BN167" s="110"/>
      <c r="BO167" s="110"/>
      <c r="BP167" s="110"/>
    </row>
    <row r="168" spans="1:68" ht="15" customHeight="1" x14ac:dyDescent="0.25">
      <c r="A168" s="370" t="s">
        <v>386</v>
      </c>
      <c r="B168" s="370"/>
      <c r="C168" s="370"/>
      <c r="D168" s="370"/>
      <c r="E168" s="370"/>
      <c r="F168" s="370"/>
      <c r="G168" s="370"/>
      <c r="H168" s="370"/>
      <c r="I168" s="370"/>
      <c r="J168" s="370"/>
      <c r="K168" s="370"/>
      <c r="L168" s="370"/>
      <c r="M168" s="370"/>
      <c r="N168" s="370"/>
      <c r="O168" s="371">
        <f>H167+N167+T167</f>
        <v>0</v>
      </c>
      <c r="P168" s="371"/>
      <c r="Q168" s="371"/>
      <c r="R168" s="371"/>
      <c r="S168" s="371"/>
      <c r="T168" s="372"/>
      <c r="U168" s="373" t="s">
        <v>387</v>
      </c>
      <c r="V168" s="374"/>
      <c r="X168" s="104"/>
      <c r="AS168" s="384"/>
      <c r="AT168" s="384"/>
      <c r="AU168" s="384"/>
      <c r="AV168" s="384"/>
      <c r="AW168" s="384"/>
      <c r="AX168" s="384"/>
      <c r="AY168" s="384"/>
      <c r="AZ168" s="384"/>
      <c r="BA168" s="384"/>
      <c r="BB168" s="384"/>
      <c r="BC168" s="384"/>
      <c r="BD168" s="384"/>
      <c r="BE168" s="384"/>
      <c r="BF168" s="384"/>
      <c r="BG168" s="384"/>
      <c r="BH168" s="384"/>
      <c r="BI168" s="384"/>
      <c r="BJ168" s="390"/>
      <c r="BK168" s="390"/>
      <c r="BL168" s="390"/>
      <c r="BM168" s="390"/>
      <c r="BN168" s="390"/>
      <c r="BO168" s="390"/>
      <c r="BP168" s="74"/>
    </row>
    <row r="169" spans="1:68" ht="15" customHeight="1" x14ac:dyDescent="0.25">
      <c r="A169" s="370"/>
      <c r="B169" s="370"/>
      <c r="C169" s="370"/>
      <c r="D169" s="370"/>
      <c r="E169" s="370"/>
      <c r="F169" s="370"/>
      <c r="G169" s="370"/>
      <c r="H169" s="370"/>
      <c r="I169" s="370"/>
      <c r="J169" s="370"/>
      <c r="K169" s="370"/>
      <c r="L169" s="370"/>
      <c r="M169" s="370"/>
      <c r="N169" s="370"/>
      <c r="O169" s="371"/>
      <c r="P169" s="371"/>
      <c r="Q169" s="371"/>
      <c r="R169" s="371"/>
      <c r="S169" s="371"/>
      <c r="T169" s="372"/>
      <c r="U169" s="373"/>
      <c r="V169" s="374"/>
      <c r="W169" s="104"/>
      <c r="X169" s="104"/>
      <c r="AS169" s="384"/>
      <c r="AT169" s="384"/>
      <c r="AU169" s="384"/>
      <c r="AV169" s="384"/>
      <c r="AW169" s="384"/>
      <c r="AX169" s="384"/>
      <c r="AY169" s="384"/>
      <c r="AZ169" s="384"/>
      <c r="BA169" s="384"/>
      <c r="BB169" s="384"/>
      <c r="BC169" s="384"/>
      <c r="BD169" s="384"/>
      <c r="BE169" s="384"/>
      <c r="BF169" s="384"/>
      <c r="BG169" s="384"/>
      <c r="BH169" s="384"/>
      <c r="BI169" s="384"/>
      <c r="BJ169" s="390"/>
      <c r="BK169" s="390"/>
      <c r="BL169" s="390"/>
      <c r="BM169" s="390"/>
      <c r="BN169" s="390"/>
      <c r="BO169" s="390"/>
      <c r="BP169" s="74"/>
    </row>
    <row r="170" spans="1:68" ht="15" customHeight="1" x14ac:dyDescent="0.25">
      <c r="A170" s="106"/>
      <c r="B170" s="106"/>
      <c r="C170" s="106"/>
      <c r="D170" s="106"/>
      <c r="E170" s="106"/>
      <c r="F170" s="106"/>
      <c r="G170" s="106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6"/>
      <c r="T170" s="106"/>
      <c r="U170" s="103"/>
      <c r="V170" s="103"/>
      <c r="W170" s="104"/>
      <c r="X170" s="104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73"/>
      <c r="BK170" s="73"/>
      <c r="BL170" s="73"/>
      <c r="BM170" s="73"/>
      <c r="BN170" s="73"/>
      <c r="BO170" s="73"/>
      <c r="BP170" s="74"/>
    </row>
    <row r="171" spans="1:68" ht="15.75" x14ac:dyDescent="0.25">
      <c r="A171" s="452" t="s">
        <v>365</v>
      </c>
      <c r="B171" s="452"/>
      <c r="C171" s="452"/>
      <c r="D171" s="452"/>
      <c r="E171" s="452"/>
      <c r="F171" s="452"/>
      <c r="G171" s="452"/>
      <c r="H171" s="452"/>
      <c r="I171" s="452"/>
      <c r="J171" s="452"/>
      <c r="K171" s="452"/>
      <c r="L171" s="452"/>
      <c r="M171" s="452"/>
      <c r="N171" s="452"/>
      <c r="O171" s="452"/>
      <c r="P171" s="452"/>
      <c r="Q171" s="452"/>
      <c r="R171" s="452"/>
      <c r="S171" s="452"/>
      <c r="T171" s="452"/>
      <c r="U171" s="452"/>
      <c r="V171" s="452"/>
      <c r="W171" s="452"/>
      <c r="X171" s="452"/>
      <c r="BJ171" s="393"/>
      <c r="BK171" s="393"/>
      <c r="BL171" s="393"/>
      <c r="BM171" s="394"/>
      <c r="BN171" s="394"/>
      <c r="BO171" s="394"/>
      <c r="BP171" s="394"/>
    </row>
    <row r="172" spans="1:68" x14ac:dyDescent="0.25">
      <c r="A172" s="452"/>
      <c r="B172" s="452"/>
      <c r="C172" s="452"/>
      <c r="D172" s="452"/>
      <c r="E172" s="452"/>
      <c r="F172" s="452"/>
      <c r="G172" s="452"/>
      <c r="H172" s="452"/>
      <c r="I172" s="452"/>
      <c r="J172" s="452"/>
      <c r="K172" s="452"/>
      <c r="L172" s="452"/>
      <c r="M172" s="452"/>
      <c r="N172" s="452"/>
      <c r="O172" s="452"/>
      <c r="P172" s="452"/>
      <c r="Q172" s="452"/>
      <c r="R172" s="452"/>
      <c r="S172" s="452"/>
      <c r="T172" s="452"/>
      <c r="U172" s="452"/>
      <c r="V172" s="452"/>
      <c r="W172" s="452"/>
      <c r="X172" s="452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K172" s="75"/>
      <c r="BL172" s="75"/>
      <c r="BM172" s="391"/>
      <c r="BN172" s="392"/>
      <c r="BO172" s="392"/>
      <c r="BP172" s="392"/>
    </row>
    <row r="173" spans="1:68" x14ac:dyDescent="0.25">
      <c r="D173" s="425" t="s">
        <v>486</v>
      </c>
      <c r="E173" s="429"/>
      <c r="F173" s="429"/>
      <c r="G173" s="429"/>
      <c r="H173" s="429"/>
      <c r="I173" s="429"/>
      <c r="J173" s="429"/>
      <c r="K173" s="429"/>
      <c r="L173" s="429"/>
      <c r="M173" s="429"/>
      <c r="N173" s="429"/>
      <c r="O173" s="429"/>
      <c r="P173" s="429"/>
      <c r="Q173" s="429"/>
      <c r="R173" s="426"/>
      <c r="S173" s="425" t="s">
        <v>366</v>
      </c>
      <c r="T173" s="426"/>
    </row>
    <row r="174" spans="1:68" x14ac:dyDescent="0.25">
      <c r="D174" s="427"/>
      <c r="E174" s="430"/>
      <c r="F174" s="430"/>
      <c r="G174" s="430"/>
      <c r="H174" s="430"/>
      <c r="I174" s="430"/>
      <c r="J174" s="430"/>
      <c r="K174" s="430"/>
      <c r="L174" s="430"/>
      <c r="M174" s="430"/>
      <c r="N174" s="430"/>
      <c r="O174" s="430"/>
      <c r="P174" s="430"/>
      <c r="Q174" s="430"/>
      <c r="R174" s="428"/>
      <c r="S174" s="427"/>
      <c r="T174" s="428"/>
    </row>
    <row r="175" spans="1:68" x14ac:dyDescent="0.25">
      <c r="D175" s="416" t="s">
        <v>15</v>
      </c>
      <c r="E175" s="417"/>
      <c r="F175" s="417"/>
      <c r="G175" s="417"/>
      <c r="H175" s="418"/>
      <c r="I175" s="66"/>
      <c r="J175" s="66"/>
      <c r="K175" s="66"/>
      <c r="L175" s="66"/>
      <c r="M175" s="66"/>
      <c r="N175" s="66"/>
      <c r="O175" s="66"/>
      <c r="P175" s="66"/>
      <c r="Q175" s="66"/>
      <c r="R175" s="67" t="s">
        <v>370</v>
      </c>
      <c r="S175" s="395"/>
      <c r="T175" s="396"/>
      <c r="U175" s="72"/>
      <c r="V175" s="72"/>
      <c r="W175" s="72"/>
      <c r="X175" s="72"/>
    </row>
    <row r="176" spans="1:68" x14ac:dyDescent="0.25">
      <c r="D176" s="419"/>
      <c r="E176" s="420"/>
      <c r="F176" s="420"/>
      <c r="G176" s="420"/>
      <c r="H176" s="421"/>
      <c r="I176" s="66"/>
      <c r="J176" s="66"/>
      <c r="K176" s="66"/>
      <c r="L176" s="66"/>
      <c r="M176" s="66"/>
      <c r="N176" s="66"/>
      <c r="O176" s="66"/>
      <c r="P176" s="66"/>
      <c r="Q176" s="66"/>
      <c r="R176" s="67" t="s">
        <v>370</v>
      </c>
      <c r="S176" s="395"/>
      <c r="T176" s="396"/>
      <c r="U176" s="72"/>
      <c r="V176" s="72"/>
      <c r="W176" s="72"/>
      <c r="X176" s="72"/>
    </row>
    <row r="177" spans="4:24" x14ac:dyDescent="0.25">
      <c r="D177" s="378" t="s">
        <v>371</v>
      </c>
      <c r="E177" s="379"/>
      <c r="F177" s="379"/>
      <c r="G177" s="379"/>
      <c r="H177" s="380"/>
      <c r="I177" s="379"/>
      <c r="J177" s="379"/>
      <c r="K177" s="379"/>
      <c r="L177" s="379"/>
      <c r="M177" s="379"/>
      <c r="N177" s="379"/>
      <c r="O177" s="379"/>
      <c r="P177" s="379"/>
      <c r="Q177" s="379"/>
      <c r="R177" s="64" t="s">
        <v>107</v>
      </c>
      <c r="S177" s="377"/>
      <c r="T177" s="377"/>
      <c r="U177" s="74"/>
      <c r="V177" s="74"/>
      <c r="W177" s="74"/>
      <c r="X177" s="74"/>
    </row>
    <row r="178" spans="4:24" x14ac:dyDescent="0.25">
      <c r="D178" s="377" t="s">
        <v>372</v>
      </c>
      <c r="E178" s="377"/>
      <c r="F178" s="377"/>
      <c r="G178" s="377"/>
      <c r="H178" s="377"/>
      <c r="I178" s="377"/>
      <c r="J178" s="377"/>
      <c r="K178" s="377"/>
      <c r="L178" s="377"/>
      <c r="M178" s="377"/>
      <c r="N178" s="377"/>
      <c r="O178" s="377"/>
      <c r="P178" s="377"/>
      <c r="Q178" s="377"/>
      <c r="R178" s="61" t="s">
        <v>107</v>
      </c>
      <c r="S178" s="378"/>
      <c r="T178" s="380"/>
      <c r="U178" s="74"/>
      <c r="V178" s="74"/>
      <c r="W178" s="74"/>
      <c r="X178" s="74"/>
    </row>
    <row r="179" spans="4:24" x14ac:dyDescent="0.25">
      <c r="D179" s="377" t="s">
        <v>339</v>
      </c>
      <c r="E179" s="377"/>
      <c r="F179" s="377"/>
      <c r="G179" s="377"/>
      <c r="H179" s="377"/>
      <c r="I179" s="377"/>
      <c r="J179" s="377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74"/>
      <c r="V179" s="74"/>
      <c r="W179" s="74"/>
      <c r="X179" s="74"/>
    </row>
    <row r="180" spans="4:24" x14ac:dyDescent="0.25">
      <c r="D180" s="377" t="s">
        <v>71</v>
      </c>
      <c r="E180" s="377"/>
      <c r="F180" s="377"/>
      <c r="G180" s="377"/>
      <c r="H180" s="377"/>
      <c r="I180" s="377"/>
      <c r="J180" s="377"/>
      <c r="K180" s="377"/>
      <c r="L180" s="377"/>
      <c r="M180" s="377"/>
      <c r="N180" s="377"/>
      <c r="O180" s="377"/>
      <c r="P180" s="377"/>
      <c r="Q180" s="377"/>
      <c r="R180" s="377"/>
      <c r="S180" s="377"/>
      <c r="T180" s="377"/>
      <c r="U180" s="74"/>
      <c r="V180" s="74"/>
      <c r="W180" s="74"/>
      <c r="X180" s="74"/>
    </row>
    <row r="181" spans="4:24" x14ac:dyDescent="0.25">
      <c r="D181" s="369" t="s">
        <v>399</v>
      </c>
      <c r="E181" s="369"/>
      <c r="F181" s="369"/>
      <c r="G181" s="369"/>
      <c r="H181" s="369"/>
      <c r="I181" s="61">
        <v>1</v>
      </c>
      <c r="J181" s="377"/>
      <c r="K181" s="377"/>
      <c r="L181" s="377"/>
      <c r="M181" s="377"/>
      <c r="N181" s="377"/>
      <c r="O181" s="377"/>
      <c r="P181" s="377"/>
      <c r="Q181" s="377"/>
      <c r="R181" s="377"/>
      <c r="S181" s="377"/>
      <c r="T181" s="377"/>
      <c r="U181" s="74"/>
      <c r="V181" s="74"/>
      <c r="W181" s="74"/>
      <c r="X181" s="74"/>
    </row>
    <row r="182" spans="4:24" x14ac:dyDescent="0.25">
      <c r="D182" s="369"/>
      <c r="E182" s="369"/>
      <c r="F182" s="369"/>
      <c r="G182" s="369"/>
      <c r="H182" s="369"/>
      <c r="I182" s="61">
        <v>2</v>
      </c>
      <c r="J182" s="377"/>
      <c r="K182" s="377"/>
      <c r="L182" s="377"/>
      <c r="M182" s="377"/>
      <c r="N182" s="377"/>
      <c r="O182" s="377"/>
      <c r="P182" s="377"/>
      <c r="Q182" s="377"/>
      <c r="R182" s="377"/>
      <c r="S182" s="377"/>
      <c r="T182" s="377"/>
      <c r="U182" s="74"/>
      <c r="V182" s="74"/>
      <c r="W182" s="74"/>
      <c r="X182" s="74"/>
    </row>
    <row r="183" spans="4:24" x14ac:dyDescent="0.25">
      <c r="D183" s="369"/>
      <c r="E183" s="369"/>
      <c r="F183" s="369"/>
      <c r="G183" s="369"/>
      <c r="H183" s="369"/>
      <c r="I183" s="61">
        <v>3</v>
      </c>
      <c r="J183" s="377"/>
      <c r="K183" s="377"/>
      <c r="L183" s="377"/>
      <c r="M183" s="377"/>
      <c r="N183" s="377"/>
      <c r="O183" s="377"/>
      <c r="P183" s="377"/>
      <c r="Q183" s="377"/>
      <c r="R183" s="377"/>
      <c r="S183" s="377"/>
      <c r="T183" s="377"/>
      <c r="U183" s="74"/>
      <c r="V183" s="74"/>
      <c r="W183" s="74"/>
      <c r="X183" s="74"/>
    </row>
    <row r="184" spans="4:24" x14ac:dyDescent="0.25">
      <c r="D184" s="369"/>
      <c r="E184" s="369"/>
      <c r="F184" s="369"/>
      <c r="G184" s="369"/>
      <c r="H184" s="369"/>
      <c r="I184" s="61">
        <v>4</v>
      </c>
      <c r="J184" s="377"/>
      <c r="K184" s="377"/>
      <c r="L184" s="377"/>
      <c r="M184" s="377"/>
      <c r="N184" s="377"/>
      <c r="O184" s="377"/>
      <c r="P184" s="377"/>
      <c r="Q184" s="377"/>
      <c r="R184" s="377"/>
      <c r="S184" s="377"/>
      <c r="T184" s="377"/>
      <c r="U184" s="74"/>
      <c r="V184" s="74"/>
      <c r="W184" s="74"/>
      <c r="X184" s="74"/>
    </row>
    <row r="185" spans="4:24" x14ac:dyDescent="0.25">
      <c r="D185" s="451" t="s">
        <v>82</v>
      </c>
      <c r="E185" s="451"/>
      <c r="F185" s="451"/>
      <c r="G185" s="451"/>
      <c r="H185" s="451"/>
      <c r="I185" s="377"/>
      <c r="J185" s="377"/>
      <c r="K185" s="377"/>
      <c r="L185" s="377"/>
      <c r="M185" s="377"/>
      <c r="N185" s="377"/>
      <c r="O185" s="377"/>
      <c r="P185" s="377"/>
      <c r="Q185" s="377"/>
      <c r="R185" s="377"/>
      <c r="S185" s="377"/>
      <c r="T185" s="377"/>
      <c r="U185" s="74"/>
      <c r="V185" s="74"/>
      <c r="W185" s="74"/>
      <c r="X185" s="74"/>
    </row>
    <row r="186" spans="4:24" x14ac:dyDescent="0.25">
      <c r="D186" s="451"/>
      <c r="E186" s="451"/>
      <c r="F186" s="451"/>
      <c r="G186" s="451"/>
      <c r="H186" s="451"/>
      <c r="I186" s="377"/>
      <c r="J186" s="377"/>
      <c r="K186" s="377"/>
      <c r="L186" s="377"/>
      <c r="M186" s="377"/>
      <c r="N186" s="377"/>
      <c r="O186" s="377"/>
      <c r="P186" s="377"/>
      <c r="Q186" s="377"/>
      <c r="R186" s="377"/>
      <c r="S186" s="377"/>
      <c r="T186" s="377"/>
      <c r="U186" s="74"/>
      <c r="V186" s="74"/>
      <c r="W186" s="74"/>
      <c r="X186" s="74"/>
    </row>
    <row r="187" spans="4:24" ht="15" customHeight="1" x14ac:dyDescent="0.25">
      <c r="D187" s="451"/>
      <c r="E187" s="451"/>
      <c r="F187" s="451"/>
      <c r="G187" s="451"/>
      <c r="H187" s="451"/>
      <c r="I187" s="377"/>
      <c r="J187" s="377"/>
      <c r="K187" s="377"/>
      <c r="L187" s="377"/>
      <c r="M187" s="377"/>
      <c r="N187" s="377"/>
      <c r="O187" s="377"/>
      <c r="P187" s="377"/>
      <c r="Q187" s="377"/>
      <c r="R187" s="377"/>
      <c r="S187" s="377"/>
      <c r="T187" s="377"/>
      <c r="U187" s="74"/>
      <c r="V187" s="74"/>
      <c r="W187" s="74"/>
      <c r="X187" s="74"/>
    </row>
    <row r="188" spans="4:24" ht="15" customHeight="1" x14ac:dyDescent="0.25">
      <c r="D188" s="451"/>
      <c r="E188" s="451"/>
      <c r="F188" s="451"/>
      <c r="G188" s="451"/>
      <c r="H188" s="451"/>
      <c r="I188" s="377"/>
      <c r="J188" s="377"/>
      <c r="K188" s="377"/>
      <c r="L188" s="377"/>
      <c r="M188" s="377"/>
      <c r="N188" s="377"/>
      <c r="O188" s="377"/>
      <c r="P188" s="377"/>
      <c r="Q188" s="377"/>
      <c r="R188" s="377"/>
      <c r="S188" s="377"/>
      <c r="T188" s="377"/>
      <c r="U188" s="74"/>
      <c r="V188" s="74"/>
      <c r="W188" s="74"/>
      <c r="X188" s="74"/>
    </row>
    <row r="189" spans="4:24" x14ac:dyDescent="0.25">
      <c r="D189" s="451"/>
      <c r="E189" s="451"/>
      <c r="F189" s="451"/>
      <c r="G189" s="451"/>
      <c r="H189" s="451"/>
      <c r="I189" s="377"/>
      <c r="J189" s="377"/>
      <c r="K189" s="377"/>
      <c r="L189" s="377"/>
      <c r="M189" s="377"/>
      <c r="N189" s="377"/>
      <c r="O189" s="377"/>
      <c r="P189" s="377"/>
      <c r="Q189" s="377"/>
      <c r="R189" s="377"/>
      <c r="S189" s="377"/>
      <c r="T189" s="377"/>
      <c r="U189" s="74"/>
      <c r="V189" s="74"/>
      <c r="W189" s="74"/>
      <c r="X189" s="74"/>
    </row>
    <row r="190" spans="4:24" x14ac:dyDescent="0.25">
      <c r="D190" s="451" t="s">
        <v>373</v>
      </c>
      <c r="E190" s="451"/>
      <c r="F190" s="451"/>
      <c r="G190" s="451"/>
      <c r="H190" s="451"/>
      <c r="I190" s="451"/>
      <c r="J190" s="451"/>
      <c r="K190" s="451"/>
      <c r="L190" s="451"/>
      <c r="M190" s="451"/>
      <c r="N190" s="451"/>
      <c r="O190" s="451"/>
      <c r="P190" s="451"/>
      <c r="Q190" s="451"/>
      <c r="R190" s="451"/>
      <c r="S190" s="377">
        <v>1</v>
      </c>
      <c r="T190" s="377"/>
      <c r="U190" s="74"/>
      <c r="V190" s="74"/>
      <c r="W190" s="74"/>
      <c r="X190" s="74"/>
    </row>
    <row r="191" spans="4:24" x14ac:dyDescent="0.25">
      <c r="D191" s="451" t="s">
        <v>559</v>
      </c>
      <c r="E191" s="451"/>
      <c r="F191" s="451"/>
      <c r="G191" s="451"/>
      <c r="H191" s="451"/>
      <c r="I191" s="451"/>
      <c r="J191" s="451"/>
      <c r="K191" s="451"/>
      <c r="L191" s="451"/>
      <c r="M191" s="451"/>
      <c r="N191" s="451"/>
      <c r="O191" s="451"/>
      <c r="P191" s="451"/>
      <c r="Q191" s="451"/>
      <c r="R191" s="451"/>
      <c r="S191" s="377">
        <v>1</v>
      </c>
      <c r="T191" s="377"/>
      <c r="U191" s="74"/>
      <c r="V191" s="74"/>
      <c r="W191" s="74"/>
      <c r="X191" s="74"/>
    </row>
    <row r="192" spans="4:24" x14ac:dyDescent="0.25">
      <c r="K192" s="75"/>
      <c r="L192" s="75"/>
      <c r="M192" s="439" t="s">
        <v>367</v>
      </c>
      <c r="N192" s="392"/>
      <c r="O192" s="392"/>
      <c r="P192" s="440"/>
      <c r="Q192" s="437" t="s">
        <v>368</v>
      </c>
      <c r="R192" s="437"/>
      <c r="S192" s="437"/>
      <c r="T192" s="437"/>
    </row>
    <row r="193" spans="2:22" ht="15" customHeight="1" x14ac:dyDescent="0.25">
      <c r="K193" s="75"/>
      <c r="L193" s="75"/>
      <c r="M193" s="419"/>
      <c r="N193" s="420"/>
      <c r="O193" s="420"/>
      <c r="P193" s="421"/>
      <c r="Q193" s="369" t="s">
        <v>369</v>
      </c>
      <c r="R193" s="369"/>
      <c r="S193" s="397"/>
      <c r="T193" s="397"/>
    </row>
    <row r="194" spans="2:22" ht="15" customHeight="1" x14ac:dyDescent="0.25">
      <c r="B194" s="75"/>
      <c r="C194" s="75"/>
      <c r="D194" s="75"/>
      <c r="E194" s="75"/>
      <c r="F194" s="75"/>
      <c r="G194" s="75"/>
      <c r="H194" s="75"/>
      <c r="I194" s="75"/>
      <c r="J194" s="75"/>
      <c r="K194" s="107"/>
      <c r="L194" s="107"/>
      <c r="M194" s="441">
        <f>Q194/(1+S193)</f>
        <v>0</v>
      </c>
      <c r="N194" s="442"/>
      <c r="O194" s="442"/>
      <c r="P194" s="443"/>
      <c r="Q194" s="438"/>
      <c r="R194" s="438"/>
      <c r="S194" s="438"/>
      <c r="T194" s="438"/>
    </row>
    <row r="195" spans="2:22" ht="15" customHeight="1" x14ac:dyDescent="0.25">
      <c r="K195" s="107"/>
      <c r="L195" s="107"/>
      <c r="M195" s="444"/>
      <c r="N195" s="445"/>
      <c r="O195" s="445"/>
      <c r="P195" s="446"/>
      <c r="Q195" s="438"/>
      <c r="R195" s="438"/>
      <c r="S195" s="438"/>
      <c r="T195" s="438"/>
    </row>
    <row r="196" spans="2:22" x14ac:dyDescent="0.25">
      <c r="M196" s="75" t="s">
        <v>374</v>
      </c>
      <c r="N196" s="75"/>
      <c r="P196" s="75"/>
      <c r="Q196" s="466">
        <f ca="1">TODAY()+14</f>
        <v>45322</v>
      </c>
      <c r="R196" s="466"/>
      <c r="S196" s="466"/>
      <c r="T196" s="466"/>
    </row>
    <row r="197" spans="2:22" x14ac:dyDescent="0.25">
      <c r="N197" s="75"/>
      <c r="O197" s="75"/>
      <c r="P197" s="75"/>
      <c r="Q197" s="76"/>
      <c r="R197" s="71"/>
      <c r="S197" s="71"/>
      <c r="T197" s="71"/>
    </row>
    <row r="198" spans="2:22" x14ac:dyDescent="0.25">
      <c r="N198" s="75"/>
      <c r="O198" s="75"/>
      <c r="P198" s="75"/>
      <c r="Q198" s="76"/>
      <c r="R198" s="71"/>
      <c r="S198" s="71"/>
      <c r="T198" s="71"/>
    </row>
    <row r="202" spans="2:22" x14ac:dyDescent="0.25">
      <c r="B202" s="108"/>
      <c r="C202" s="108"/>
      <c r="D202" s="108"/>
      <c r="E202" s="108"/>
      <c r="F202" s="108"/>
      <c r="G202" s="108"/>
      <c r="H202" s="108"/>
      <c r="I202" s="108"/>
      <c r="J202" s="108"/>
      <c r="N202" s="108"/>
      <c r="O202" s="108"/>
      <c r="P202" s="108"/>
      <c r="Q202" s="108"/>
      <c r="R202" s="108"/>
      <c r="S202" s="108"/>
      <c r="T202" s="108"/>
      <c r="U202" s="108"/>
      <c r="V202" s="108"/>
    </row>
    <row r="203" spans="2:22" x14ac:dyDescent="0.25">
      <c r="B203" s="384" t="s">
        <v>557</v>
      </c>
      <c r="C203" s="384"/>
      <c r="D203" s="384"/>
      <c r="E203" s="384"/>
      <c r="F203" s="384"/>
      <c r="G203" s="384"/>
      <c r="H203" s="384"/>
      <c r="I203" s="384"/>
      <c r="J203" s="384"/>
      <c r="O203" s="454" t="s">
        <v>558</v>
      </c>
      <c r="P203" s="454"/>
      <c r="Q203" s="454"/>
      <c r="R203" s="454"/>
      <c r="S203" s="454"/>
      <c r="T203" s="454"/>
      <c r="U203" s="454"/>
      <c r="V203" s="454"/>
    </row>
    <row r="239" spans="2:2" ht="100.5" x14ac:dyDescent="0.25">
      <c r="B239" s="78" t="s">
        <v>398</v>
      </c>
    </row>
    <row r="242" spans="1:24" ht="15.75" thickBot="1" x14ac:dyDescent="0.3">
      <c r="A242" s="65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7"/>
    </row>
    <row r="243" spans="1:24" ht="15.75" thickBot="1" x14ac:dyDescent="0.3">
      <c r="A243" s="79"/>
      <c r="C243" s="80" t="s">
        <v>476</v>
      </c>
      <c r="D243" s="81"/>
      <c r="E243" s="81"/>
      <c r="F243" s="81"/>
      <c r="G243" s="81"/>
      <c r="H243" s="81"/>
      <c r="I243" s="82"/>
      <c r="X243" s="83"/>
    </row>
    <row r="244" spans="1:24" x14ac:dyDescent="0.25">
      <c r="A244" s="79"/>
      <c r="X244" s="83"/>
    </row>
    <row r="245" spans="1:24" x14ac:dyDescent="0.25">
      <c r="A245" s="79"/>
      <c r="C245" s="62" t="s">
        <v>463</v>
      </c>
      <c r="D245" s="63"/>
      <c r="E245" s="63"/>
      <c r="F245" s="63"/>
      <c r="G245" s="63"/>
      <c r="H245" s="366" t="str">
        <f>Budynek!F33</f>
        <v>piętrowy</v>
      </c>
      <c r="I245" s="367"/>
      <c r="J245" s="368"/>
      <c r="X245" s="83"/>
    </row>
    <row r="246" spans="1:24" x14ac:dyDescent="0.25">
      <c r="A246" s="79"/>
      <c r="X246" s="83"/>
    </row>
    <row r="247" spans="1:24" x14ac:dyDescent="0.25">
      <c r="A247" s="79"/>
      <c r="C247" s="62" t="s">
        <v>481</v>
      </c>
      <c r="D247" s="63"/>
      <c r="E247" s="63"/>
      <c r="F247" s="63"/>
      <c r="G247" s="63"/>
      <c r="H247" s="63"/>
      <c r="I247" s="63"/>
      <c r="J247" s="64"/>
      <c r="K247" s="84">
        <f>Budynek!J35</f>
        <v>10</v>
      </c>
      <c r="L247" s="77" t="s">
        <v>473</v>
      </c>
      <c r="M247" s="85">
        <f>Budynek!N35</f>
        <v>7</v>
      </c>
      <c r="N247" s="64" t="s">
        <v>410</v>
      </c>
      <c r="X247" s="83"/>
    </row>
    <row r="248" spans="1:24" x14ac:dyDescent="0.25">
      <c r="A248" s="79"/>
      <c r="C248" s="62" t="s">
        <v>408</v>
      </c>
      <c r="D248" s="63"/>
      <c r="E248" s="63"/>
      <c r="F248" s="63"/>
      <c r="G248" s="63"/>
      <c r="H248" s="63"/>
      <c r="I248" s="63"/>
      <c r="J248" s="64"/>
      <c r="K248" s="62"/>
      <c r="L248" s="360">
        <f>Budynek!J37</f>
        <v>110</v>
      </c>
      <c r="M248" s="360"/>
      <c r="N248" s="64" t="s">
        <v>362</v>
      </c>
      <c r="X248" s="83"/>
    </row>
    <row r="249" spans="1:24" x14ac:dyDescent="0.25">
      <c r="A249" s="79"/>
      <c r="C249" s="62" t="s">
        <v>482</v>
      </c>
      <c r="D249" s="63"/>
      <c r="E249" s="63"/>
      <c r="F249" s="63"/>
      <c r="G249" s="63"/>
      <c r="H249" s="63"/>
      <c r="I249" s="63"/>
      <c r="J249" s="64"/>
      <c r="K249" s="69"/>
      <c r="L249" s="365">
        <f>Budynek!J39</f>
        <v>2.5</v>
      </c>
      <c r="M249" s="365"/>
      <c r="N249" s="70" t="s">
        <v>410</v>
      </c>
      <c r="X249" s="83"/>
    </row>
    <row r="250" spans="1:24" x14ac:dyDescent="0.25">
      <c r="A250" s="79"/>
      <c r="X250" s="83"/>
    </row>
    <row r="251" spans="1:24" x14ac:dyDescent="0.25">
      <c r="A251" s="79"/>
      <c r="X251" s="83"/>
    </row>
    <row r="252" spans="1:24" x14ac:dyDescent="0.25">
      <c r="A252" s="79"/>
      <c r="C252" s="62" t="s">
        <v>436</v>
      </c>
      <c r="D252" s="63"/>
      <c r="E252" s="64"/>
      <c r="F252" s="63" t="s">
        <v>414</v>
      </c>
      <c r="G252" s="63"/>
      <c r="H252" s="63"/>
      <c r="I252" s="63"/>
      <c r="J252" s="63"/>
      <c r="K252" s="63"/>
      <c r="L252" s="63"/>
      <c r="M252" s="63"/>
      <c r="N252" s="84">
        <f>Budynek!J41</f>
        <v>23</v>
      </c>
      <c r="O252" s="64" t="s">
        <v>415</v>
      </c>
      <c r="Q252" s="62" t="s">
        <v>194</v>
      </c>
      <c r="R252" s="63"/>
      <c r="S252" s="63"/>
      <c r="T252" s="63"/>
      <c r="U252" s="84">
        <f>Budynek!P41</f>
        <v>18</v>
      </c>
      <c r="V252" s="64" t="s">
        <v>195</v>
      </c>
      <c r="X252" s="83"/>
    </row>
    <row r="253" spans="1:24" x14ac:dyDescent="0.25">
      <c r="A253" s="79"/>
      <c r="C253" s="62" t="s">
        <v>363</v>
      </c>
      <c r="D253" s="63"/>
      <c r="E253" s="64"/>
      <c r="F253" s="62" t="s">
        <v>414</v>
      </c>
      <c r="G253" s="63"/>
      <c r="H253" s="63"/>
      <c r="I253" s="63"/>
      <c r="J253" s="63"/>
      <c r="K253" s="63"/>
      <c r="L253" s="63"/>
      <c r="M253" s="64"/>
      <c r="N253" s="85">
        <f>Budynek!J43</f>
        <v>20</v>
      </c>
      <c r="O253" s="64" t="s">
        <v>415</v>
      </c>
      <c r="Q253" s="62" t="s">
        <v>194</v>
      </c>
      <c r="R253" s="63"/>
      <c r="S253" s="63"/>
      <c r="T253" s="63"/>
      <c r="U253" s="84">
        <f>Budynek!P43</f>
        <v>24</v>
      </c>
      <c r="V253" s="64" t="s">
        <v>195</v>
      </c>
      <c r="X253" s="83"/>
    </row>
    <row r="254" spans="1:24" x14ac:dyDescent="0.25">
      <c r="A254" s="79"/>
      <c r="X254" s="83"/>
    </row>
    <row r="255" spans="1:24" x14ac:dyDescent="0.25">
      <c r="A255" s="79"/>
      <c r="C255" s="62" t="s">
        <v>483</v>
      </c>
      <c r="D255" s="63"/>
      <c r="E255" s="63"/>
      <c r="F255" s="63"/>
      <c r="G255" s="63"/>
      <c r="H255" s="63"/>
      <c r="I255" s="63"/>
      <c r="J255" s="64"/>
      <c r="K255" s="359" t="str">
        <f>Budynek!J45</f>
        <v>NIE</v>
      </c>
      <c r="L255" s="361"/>
      <c r="X255" s="83"/>
    </row>
    <row r="256" spans="1:24" x14ac:dyDescent="0.25">
      <c r="A256" s="79"/>
      <c r="X256" s="83"/>
    </row>
    <row r="257" spans="1:24" x14ac:dyDescent="0.25">
      <c r="A257" s="79"/>
      <c r="C257" s="62" t="s">
        <v>484</v>
      </c>
      <c r="D257" s="63"/>
      <c r="E257" s="64"/>
      <c r="F257" s="359" t="str">
        <f>Budynek!J47</f>
        <v>Porotherm</v>
      </c>
      <c r="G257" s="360"/>
      <c r="H257" s="361"/>
      <c r="I257" s="62" t="s">
        <v>485</v>
      </c>
      <c r="J257" s="63"/>
      <c r="K257" s="64"/>
      <c r="L257" s="84">
        <f>Budynek!R47</f>
        <v>24</v>
      </c>
      <c r="M257" s="64" t="s">
        <v>438</v>
      </c>
      <c r="X257" s="83"/>
    </row>
    <row r="258" spans="1:24" x14ac:dyDescent="0.25">
      <c r="A258" s="79"/>
      <c r="X258" s="83"/>
    </row>
    <row r="259" spans="1:24" x14ac:dyDescent="0.25">
      <c r="A259" s="79"/>
      <c r="C259" s="62" t="s">
        <v>404</v>
      </c>
      <c r="D259" s="63"/>
      <c r="E259" s="63"/>
      <c r="F259" s="63"/>
      <c r="G259" s="366" t="str">
        <f>Budynek!J49</f>
        <v>Styropian</v>
      </c>
      <c r="H259" s="367"/>
      <c r="I259" s="367"/>
      <c r="J259" s="367"/>
      <c r="K259" s="368"/>
      <c r="M259" s="62" t="s">
        <v>485</v>
      </c>
      <c r="N259" s="63"/>
      <c r="O259" s="64"/>
      <c r="P259" s="85">
        <f>Budynek!R49</f>
        <v>20</v>
      </c>
      <c r="Q259" s="64" t="s">
        <v>438</v>
      </c>
      <c r="X259" s="83"/>
    </row>
    <row r="260" spans="1:24" x14ac:dyDescent="0.25">
      <c r="A260" s="79"/>
      <c r="X260" s="83"/>
    </row>
    <row r="261" spans="1:24" x14ac:dyDescent="0.25">
      <c r="A261" s="79"/>
      <c r="C261" s="62" t="s">
        <v>405</v>
      </c>
      <c r="D261" s="63"/>
      <c r="E261" s="63"/>
      <c r="F261" s="63"/>
      <c r="G261" s="366" t="str">
        <f>Budynek!J51</f>
        <v>piana pur</v>
      </c>
      <c r="H261" s="367"/>
      <c r="I261" s="367"/>
      <c r="J261" s="367"/>
      <c r="K261" s="368"/>
      <c r="M261" s="62" t="s">
        <v>485</v>
      </c>
      <c r="N261" s="63"/>
      <c r="O261" s="64"/>
      <c r="P261" s="84">
        <f>Budynek!R51</f>
        <v>25</v>
      </c>
      <c r="Q261" s="64" t="s">
        <v>438</v>
      </c>
      <c r="X261" s="83"/>
    </row>
    <row r="262" spans="1:24" x14ac:dyDescent="0.25">
      <c r="A262" s="79"/>
      <c r="X262" s="83"/>
    </row>
    <row r="263" spans="1:24" x14ac:dyDescent="0.25">
      <c r="A263" s="79"/>
      <c r="C263" s="62" t="s">
        <v>468</v>
      </c>
      <c r="D263" s="63"/>
      <c r="E263" s="63"/>
      <c r="F263" s="63"/>
      <c r="G263" s="64"/>
      <c r="H263" s="366" t="str">
        <f>Budynek!J53</f>
        <v>Styropian</v>
      </c>
      <c r="I263" s="367"/>
      <c r="J263" s="367"/>
      <c r="K263" s="368"/>
      <c r="M263" s="62" t="s">
        <v>485</v>
      </c>
      <c r="N263" s="63"/>
      <c r="O263" s="64"/>
      <c r="P263" s="84">
        <f>Budynek!R53</f>
        <v>10</v>
      </c>
      <c r="Q263" s="64" t="s">
        <v>438</v>
      </c>
      <c r="X263" s="83"/>
    </row>
    <row r="264" spans="1:24" x14ac:dyDescent="0.25">
      <c r="A264" s="79"/>
      <c r="X264" s="83"/>
    </row>
    <row r="265" spans="1:24" x14ac:dyDescent="0.25">
      <c r="A265" s="79"/>
      <c r="C265" s="62" t="s">
        <v>407</v>
      </c>
      <c r="D265" s="63"/>
      <c r="E265" s="63"/>
      <c r="F265" s="63"/>
      <c r="G265" s="63"/>
      <c r="H265" s="64"/>
      <c r="I265" s="359" t="str">
        <f>Budynek!J55</f>
        <v>trójszybowa</v>
      </c>
      <c r="J265" s="360"/>
      <c r="K265" s="360"/>
      <c r="L265" s="361"/>
      <c r="M265" s="62" t="s">
        <v>478</v>
      </c>
      <c r="N265" s="63"/>
      <c r="O265" s="63"/>
      <c r="P265" s="64"/>
      <c r="Q265" s="84">
        <f>Budynek!R55</f>
        <v>6</v>
      </c>
      <c r="R265" s="64" t="s">
        <v>0</v>
      </c>
      <c r="X265" s="83"/>
    </row>
    <row r="266" spans="1:24" x14ac:dyDescent="0.25">
      <c r="A266" s="79"/>
      <c r="X266" s="83"/>
    </row>
    <row r="267" spans="1:24" x14ac:dyDescent="0.25">
      <c r="A267" s="79"/>
      <c r="C267" s="62" t="s">
        <v>413</v>
      </c>
      <c r="D267" s="63"/>
      <c r="E267" s="63"/>
      <c r="F267" s="63"/>
      <c r="G267" s="63"/>
      <c r="H267" s="64"/>
      <c r="I267" s="85">
        <f>Budynek!R57</f>
        <v>1</v>
      </c>
      <c r="J267" s="64" t="s">
        <v>0</v>
      </c>
      <c r="X267" s="83"/>
    </row>
    <row r="268" spans="1:24" x14ac:dyDescent="0.25">
      <c r="A268" s="79"/>
      <c r="X268" s="83"/>
    </row>
    <row r="269" spans="1:24" x14ac:dyDescent="0.25">
      <c r="A269" s="79"/>
      <c r="C269" s="62" t="s">
        <v>441</v>
      </c>
      <c r="D269" s="63"/>
      <c r="E269" s="64"/>
      <c r="F269" s="359" t="str">
        <f>Budynek!J59</f>
        <v>grawitacyjna</v>
      </c>
      <c r="G269" s="360"/>
      <c r="H269" s="360"/>
      <c r="I269" s="361"/>
      <c r="X269" s="83"/>
    </row>
    <row r="270" spans="1:24" x14ac:dyDescent="0.25">
      <c r="A270" s="79"/>
      <c r="X270" s="83"/>
    </row>
    <row r="271" spans="1:24" x14ac:dyDescent="0.25">
      <c r="A271" s="79"/>
      <c r="C271" s="62" t="s">
        <v>446</v>
      </c>
      <c r="D271" s="63"/>
      <c r="E271" s="63"/>
      <c r="F271" s="63"/>
      <c r="G271" s="63"/>
      <c r="H271" s="64"/>
      <c r="I271" s="359" t="str">
        <f>IF(Budynek!J61=0,"",Budynek!J61)</f>
        <v>ekogroszek</v>
      </c>
      <c r="J271" s="360"/>
      <c r="K271" s="360"/>
      <c r="L271" s="361"/>
      <c r="X271" s="83"/>
    </row>
    <row r="272" spans="1:24" x14ac:dyDescent="0.25">
      <c r="A272" s="79"/>
      <c r="X272" s="83"/>
    </row>
    <row r="273" spans="1:24" x14ac:dyDescent="0.25">
      <c r="A273" s="79"/>
      <c r="C273" s="62" t="s">
        <v>447</v>
      </c>
      <c r="D273" s="63"/>
      <c r="E273" s="63"/>
      <c r="F273" s="63"/>
      <c r="G273" s="63"/>
      <c r="H273" s="64"/>
      <c r="I273" s="359">
        <f>IF(Budynek!J63=0,"",Budynek!J63)</f>
        <v>6000</v>
      </c>
      <c r="J273" s="360"/>
      <c r="K273" s="360"/>
      <c r="L273" s="361"/>
      <c r="X273" s="83"/>
    </row>
    <row r="274" spans="1:24" ht="15.75" thickBot="1" x14ac:dyDescent="0.3">
      <c r="A274" s="79"/>
      <c r="X274" s="83"/>
    </row>
    <row r="275" spans="1:24" ht="15.75" thickBot="1" x14ac:dyDescent="0.3">
      <c r="A275" s="79"/>
      <c r="C275" s="80" t="s">
        <v>385</v>
      </c>
      <c r="D275" s="82"/>
      <c r="F275" s="62" t="s">
        <v>406</v>
      </c>
      <c r="G275" s="63"/>
      <c r="H275" s="64"/>
      <c r="I275" s="84">
        <f>Budynek!G68</f>
        <v>4</v>
      </c>
      <c r="J275" s="64" t="s">
        <v>419</v>
      </c>
      <c r="X275" s="83"/>
    </row>
    <row r="276" spans="1:24" x14ac:dyDescent="0.25">
      <c r="A276" s="79"/>
      <c r="F276" s="62" t="s">
        <v>477</v>
      </c>
      <c r="G276" s="63"/>
      <c r="H276" s="63"/>
      <c r="I276" s="63"/>
      <c r="J276" s="64"/>
      <c r="K276" s="359" t="str">
        <f>Budynek!I70</f>
        <v>Prysznic</v>
      </c>
      <c r="L276" s="360"/>
      <c r="M276" s="361"/>
      <c r="X276" s="83"/>
    </row>
    <row r="277" spans="1:24" x14ac:dyDescent="0.25">
      <c r="A277" s="79"/>
      <c r="F277" s="62" t="s">
        <v>417</v>
      </c>
      <c r="G277" s="63"/>
      <c r="H277" s="63"/>
      <c r="I277" s="63"/>
      <c r="J277" s="63"/>
      <c r="K277" s="63"/>
      <c r="L277" s="64"/>
      <c r="M277" s="359">
        <f>Budynek!I72</f>
        <v>200</v>
      </c>
      <c r="N277" s="360"/>
      <c r="O277" s="360"/>
      <c r="P277" s="64" t="s">
        <v>107</v>
      </c>
      <c r="X277" s="83"/>
    </row>
    <row r="278" spans="1:24" x14ac:dyDescent="0.25">
      <c r="A278" s="79"/>
      <c r="X278" s="83"/>
    </row>
    <row r="279" spans="1:24" x14ac:dyDescent="0.25">
      <c r="A279" s="79"/>
      <c r="X279" s="83"/>
    </row>
    <row r="280" spans="1:24" x14ac:dyDescent="0.25">
      <c r="A280" s="79"/>
      <c r="X280" s="83"/>
    </row>
    <row r="281" spans="1:24" x14ac:dyDescent="0.25">
      <c r="A281" s="79"/>
      <c r="X281" s="83"/>
    </row>
    <row r="282" spans="1:24" x14ac:dyDescent="0.25">
      <c r="A282" s="79"/>
      <c r="C282" s="362" t="s">
        <v>479</v>
      </c>
      <c r="D282" s="363"/>
      <c r="E282" s="363"/>
      <c r="F282" s="363"/>
      <c r="G282" s="363"/>
      <c r="H282" s="363"/>
      <c r="I282" s="363"/>
      <c r="J282" s="364"/>
      <c r="M282" s="362" t="s">
        <v>480</v>
      </c>
      <c r="N282" s="363"/>
      <c r="O282" s="363"/>
      <c r="P282" s="363"/>
      <c r="Q282" s="363"/>
      <c r="R282" s="363"/>
      <c r="S282" s="363"/>
      <c r="T282" s="364"/>
      <c r="X282" s="83"/>
    </row>
    <row r="283" spans="1:24" x14ac:dyDescent="0.25">
      <c r="A283" s="79"/>
      <c r="C283" s="86"/>
      <c r="D283" s="87"/>
      <c r="E283" s="87"/>
      <c r="F283" s="87"/>
      <c r="G283" s="87"/>
      <c r="H283" s="87"/>
      <c r="I283" s="87"/>
      <c r="J283" s="88"/>
      <c r="M283" s="89"/>
      <c r="N283" s="90"/>
      <c r="O283" s="90"/>
      <c r="P283" s="90"/>
      <c r="Q283" s="90"/>
      <c r="R283" s="90"/>
      <c r="S283" s="90"/>
      <c r="T283" s="91"/>
      <c r="X283" s="83"/>
    </row>
    <row r="284" spans="1:24" x14ac:dyDescent="0.25">
      <c r="A284" s="79"/>
      <c r="C284" s="86"/>
      <c r="D284" s="87"/>
      <c r="E284" s="87"/>
      <c r="F284" s="87"/>
      <c r="G284" s="87"/>
      <c r="H284" s="87"/>
      <c r="I284" s="87"/>
      <c r="J284" s="88"/>
      <c r="M284" s="86"/>
      <c r="N284" s="87"/>
      <c r="O284" s="87"/>
      <c r="P284" s="87"/>
      <c r="Q284" s="87"/>
      <c r="R284" s="87"/>
      <c r="S284" s="87"/>
      <c r="T284" s="88"/>
      <c r="X284" s="83"/>
    </row>
    <row r="285" spans="1:24" x14ac:dyDescent="0.25">
      <c r="A285" s="79"/>
      <c r="C285" s="86"/>
      <c r="D285" s="87"/>
      <c r="E285" s="87"/>
      <c r="F285" s="87"/>
      <c r="G285" s="87"/>
      <c r="H285" s="87"/>
      <c r="I285" s="87"/>
      <c r="J285" s="88"/>
      <c r="M285" s="86"/>
      <c r="N285" s="87"/>
      <c r="O285" s="87"/>
      <c r="P285" s="87"/>
      <c r="Q285" s="87"/>
      <c r="R285" s="87"/>
      <c r="S285" s="87"/>
      <c r="T285" s="88"/>
      <c r="X285" s="83"/>
    </row>
    <row r="286" spans="1:24" x14ac:dyDescent="0.25">
      <c r="A286" s="79"/>
      <c r="C286" s="92"/>
      <c r="D286" s="93"/>
      <c r="E286" s="93"/>
      <c r="F286" s="93"/>
      <c r="G286" s="93"/>
      <c r="H286" s="93"/>
      <c r="I286" s="93"/>
      <c r="J286" s="94"/>
      <c r="M286" s="92"/>
      <c r="N286" s="93"/>
      <c r="O286" s="93"/>
      <c r="P286" s="93"/>
      <c r="Q286" s="93"/>
      <c r="R286" s="93"/>
      <c r="S286" s="93"/>
      <c r="T286" s="94"/>
      <c r="X286" s="83"/>
    </row>
    <row r="287" spans="1:24" x14ac:dyDescent="0.25">
      <c r="A287" s="79"/>
      <c r="X287" s="83"/>
    </row>
    <row r="288" spans="1:24" x14ac:dyDescent="0.25">
      <c r="A288" s="79"/>
      <c r="X288" s="83"/>
    </row>
    <row r="289" spans="1:24" x14ac:dyDescent="0.25">
      <c r="A289" s="79"/>
      <c r="X289" s="83"/>
    </row>
    <row r="290" spans="1:24" x14ac:dyDescent="0.25">
      <c r="A290" s="68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70"/>
    </row>
  </sheetData>
  <protectedRanges>
    <protectedRange sqref="C51" name="Rozstęp2"/>
    <protectedRange sqref="AS169:AS170 AZ169:AZ170 BH164:BI170" name="Rozstęp1_1"/>
    <protectedRange sqref="O177:Q177" name="Rozstęp7_3"/>
    <protectedRange sqref="I185:I191 S175:T191" name="Rozstęp1_1_3"/>
  </protectedRanges>
  <mergeCells count="278">
    <mergeCell ref="B70:J70"/>
    <mergeCell ref="K70:P70"/>
    <mergeCell ref="Q70:V70"/>
    <mergeCell ref="B203:J203"/>
    <mergeCell ref="O203:V203"/>
    <mergeCell ref="S190:T190"/>
    <mergeCell ref="D190:R190"/>
    <mergeCell ref="B75:J75"/>
    <mergeCell ref="K75:V75"/>
    <mergeCell ref="K76:V76"/>
    <mergeCell ref="K77:V77"/>
    <mergeCell ref="L78:V78"/>
    <mergeCell ref="L79:V79"/>
    <mergeCell ref="L80:V80"/>
    <mergeCell ref="B76:J76"/>
    <mergeCell ref="B77:J77"/>
    <mergeCell ref="B78:J78"/>
    <mergeCell ref="B79:J79"/>
    <mergeCell ref="B80:J80"/>
    <mergeCell ref="Q196:T196"/>
    <mergeCell ref="T167:V167"/>
    <mergeCell ref="Q167:S167"/>
    <mergeCell ref="N167:P167"/>
    <mergeCell ref="K167:M167"/>
    <mergeCell ref="H167:J167"/>
    <mergeCell ref="E167:G167"/>
    <mergeCell ref="A167:D167"/>
    <mergeCell ref="B148:C149"/>
    <mergeCell ref="B142:C142"/>
    <mergeCell ref="O141:T141"/>
    <mergeCell ref="O143:T143"/>
    <mergeCell ref="Q192:T192"/>
    <mergeCell ref="Q194:T195"/>
    <mergeCell ref="M192:P193"/>
    <mergeCell ref="M194:P195"/>
    <mergeCell ref="B141:C141"/>
    <mergeCell ref="B143:C143"/>
    <mergeCell ref="D141:M141"/>
    <mergeCell ref="D142:M142"/>
    <mergeCell ref="B144:C145"/>
    <mergeCell ref="B146:C147"/>
    <mergeCell ref="I189:R189"/>
    <mergeCell ref="D191:R191"/>
    <mergeCell ref="J183:R183"/>
    <mergeCell ref="J184:R184"/>
    <mergeCell ref="D185:H189"/>
    <mergeCell ref="I185:R185"/>
    <mergeCell ref="A171:X172"/>
    <mergeCell ref="D175:H176"/>
    <mergeCell ref="D178:H178"/>
    <mergeCell ref="I188:R188"/>
    <mergeCell ref="B66:J66"/>
    <mergeCell ref="K66:P66"/>
    <mergeCell ref="Q66:V66"/>
    <mergeCell ref="B67:J67"/>
    <mergeCell ref="K67:V67"/>
    <mergeCell ref="B68:J68"/>
    <mergeCell ref="K68:V68"/>
    <mergeCell ref="B69:J69"/>
    <mergeCell ref="K69:V69"/>
    <mergeCell ref="S188:T188"/>
    <mergeCell ref="D179:R179"/>
    <mergeCell ref="S179:T179"/>
    <mergeCell ref="S173:T174"/>
    <mergeCell ref="S183:T183"/>
    <mergeCell ref="S184:T184"/>
    <mergeCell ref="D173:R174"/>
    <mergeCell ref="H154:J154"/>
    <mergeCell ref="K154:M154"/>
    <mergeCell ref="N154:P154"/>
    <mergeCell ref="Q154:S154"/>
    <mergeCell ref="T154:V154"/>
    <mergeCell ref="B63:J63"/>
    <mergeCell ref="K63:P63"/>
    <mergeCell ref="Q63:S63"/>
    <mergeCell ref="T63:V63"/>
    <mergeCell ref="B64:J64"/>
    <mergeCell ref="K64:P64"/>
    <mergeCell ref="Q64:S64"/>
    <mergeCell ref="T64:V64"/>
    <mergeCell ref="B65:J65"/>
    <mergeCell ref="K65:P65"/>
    <mergeCell ref="Q65:S65"/>
    <mergeCell ref="T65:V65"/>
    <mergeCell ref="B58:J58"/>
    <mergeCell ref="K58:U58"/>
    <mergeCell ref="B59:J59"/>
    <mergeCell ref="K59:U59"/>
    <mergeCell ref="B60:J60"/>
    <mergeCell ref="K60:U60"/>
    <mergeCell ref="B61:J61"/>
    <mergeCell ref="K61:V61"/>
    <mergeCell ref="B62:J62"/>
    <mergeCell ref="K62:P62"/>
    <mergeCell ref="Q62:S62"/>
    <mergeCell ref="T62:V62"/>
    <mergeCell ref="A5:X8"/>
    <mergeCell ref="A53:X54"/>
    <mergeCell ref="B56:J56"/>
    <mergeCell ref="K56:V56"/>
    <mergeCell ref="B57:J57"/>
    <mergeCell ref="K57:M57"/>
    <mergeCell ref="N57:O57"/>
    <mergeCell ref="Q57:S57"/>
    <mergeCell ref="T57:V57"/>
    <mergeCell ref="B55:J55"/>
    <mergeCell ref="Q55:S55"/>
    <mergeCell ref="T55:V55"/>
    <mergeCell ref="K55:M55"/>
    <mergeCell ref="N55:P55"/>
    <mergeCell ref="Q193:R193"/>
    <mergeCell ref="S175:T175"/>
    <mergeCell ref="I178:Q178"/>
    <mergeCell ref="S178:T178"/>
    <mergeCell ref="J181:R181"/>
    <mergeCell ref="S181:T181"/>
    <mergeCell ref="J182:R182"/>
    <mergeCell ref="S182:T182"/>
    <mergeCell ref="S176:T176"/>
    <mergeCell ref="I177:Q177"/>
    <mergeCell ref="S177:T177"/>
    <mergeCell ref="I186:R186"/>
    <mergeCell ref="S186:T186"/>
    <mergeCell ref="I187:R187"/>
    <mergeCell ref="S187:T187"/>
    <mergeCell ref="S193:T193"/>
    <mergeCell ref="S189:T189"/>
    <mergeCell ref="BM164:BO165"/>
    <mergeCell ref="AX165:BB165"/>
    <mergeCell ref="BC165:BG165"/>
    <mergeCell ref="AS166:AW166"/>
    <mergeCell ref="AX166:BF166"/>
    <mergeCell ref="BH166:BI166"/>
    <mergeCell ref="BJ166:BL166"/>
    <mergeCell ref="BM166:BO166"/>
    <mergeCell ref="BM172:BP172"/>
    <mergeCell ref="BJ171:BL171"/>
    <mergeCell ref="BM171:BP171"/>
    <mergeCell ref="AS168:BG168"/>
    <mergeCell ref="BH168:BI168"/>
    <mergeCell ref="BJ168:BL168"/>
    <mergeCell ref="BM168:BO168"/>
    <mergeCell ref="AS169:AY169"/>
    <mergeCell ref="AZ169:BA169"/>
    <mergeCell ref="BB169:BG169"/>
    <mergeCell ref="BH169:BI169"/>
    <mergeCell ref="BJ169:BL169"/>
    <mergeCell ref="BM169:BO169"/>
    <mergeCell ref="AS164:AW165"/>
    <mergeCell ref="AX164:BE164"/>
    <mergeCell ref="BH164:BI165"/>
    <mergeCell ref="BJ164:BL165"/>
    <mergeCell ref="A155:D155"/>
    <mergeCell ref="A156:D156"/>
    <mergeCell ref="P44:W45"/>
    <mergeCell ref="P46:W47"/>
    <mergeCell ref="T51:X51"/>
    <mergeCell ref="C30:N31"/>
    <mergeCell ref="C32:E33"/>
    <mergeCell ref="F32:N33"/>
    <mergeCell ref="C34:N35"/>
    <mergeCell ref="C36:N37"/>
    <mergeCell ref="A72:X73"/>
    <mergeCell ref="D148:M149"/>
    <mergeCell ref="K155:M155"/>
    <mergeCell ref="T155:V155"/>
    <mergeCell ref="E155:G155"/>
    <mergeCell ref="H155:J155"/>
    <mergeCell ref="E156:G156"/>
    <mergeCell ref="K156:M156"/>
    <mergeCell ref="D144:M145"/>
    <mergeCell ref="D146:M147"/>
    <mergeCell ref="E152:J153"/>
    <mergeCell ref="K152:P153"/>
    <mergeCell ref="Q152:V153"/>
    <mergeCell ref="E154:G154"/>
    <mergeCell ref="E161:G161"/>
    <mergeCell ref="E162:G162"/>
    <mergeCell ref="H156:J156"/>
    <mergeCell ref="H157:J157"/>
    <mergeCell ref="H158:J158"/>
    <mergeCell ref="H159:J159"/>
    <mergeCell ref="H160:J160"/>
    <mergeCell ref="H161:J161"/>
    <mergeCell ref="H162:J162"/>
    <mergeCell ref="A164:D164"/>
    <mergeCell ref="A166:D166"/>
    <mergeCell ref="A157:D157"/>
    <mergeCell ref="A158:D158"/>
    <mergeCell ref="A159:D159"/>
    <mergeCell ref="K161:M161"/>
    <mergeCell ref="K162:M162"/>
    <mergeCell ref="K163:M163"/>
    <mergeCell ref="K164:M164"/>
    <mergeCell ref="H165:J165"/>
    <mergeCell ref="H163:J163"/>
    <mergeCell ref="H164:J164"/>
    <mergeCell ref="E164:G164"/>
    <mergeCell ref="E165:G165"/>
    <mergeCell ref="A165:D165"/>
    <mergeCell ref="H166:J166"/>
    <mergeCell ref="K158:M158"/>
    <mergeCell ref="K159:M159"/>
    <mergeCell ref="E166:G166"/>
    <mergeCell ref="E163:G163"/>
    <mergeCell ref="E157:G157"/>
    <mergeCell ref="E158:G158"/>
    <mergeCell ref="E159:G159"/>
    <mergeCell ref="E160:G160"/>
    <mergeCell ref="D177:H177"/>
    <mergeCell ref="D180:R180"/>
    <mergeCell ref="S180:T180"/>
    <mergeCell ref="Q165:S165"/>
    <mergeCell ref="Q166:S166"/>
    <mergeCell ref="T162:V162"/>
    <mergeCell ref="T161:V161"/>
    <mergeCell ref="T166:V166"/>
    <mergeCell ref="T156:V156"/>
    <mergeCell ref="T157:V157"/>
    <mergeCell ref="T158:V158"/>
    <mergeCell ref="T159:V159"/>
    <mergeCell ref="T160:V160"/>
    <mergeCell ref="Q156:S156"/>
    <mergeCell ref="Q157:S157"/>
    <mergeCell ref="Q158:S158"/>
    <mergeCell ref="Q159:S159"/>
    <mergeCell ref="Q160:S160"/>
    <mergeCell ref="Q161:S161"/>
    <mergeCell ref="Q162:S162"/>
    <mergeCell ref="Q163:S163"/>
    <mergeCell ref="Q164:S164"/>
    <mergeCell ref="A162:D162"/>
    <mergeCell ref="A163:D163"/>
    <mergeCell ref="N159:P159"/>
    <mergeCell ref="N160:P160"/>
    <mergeCell ref="N161:P161"/>
    <mergeCell ref="N162:P162"/>
    <mergeCell ref="N163:P163"/>
    <mergeCell ref="N164:P164"/>
    <mergeCell ref="N165:P165"/>
    <mergeCell ref="N166:P166"/>
    <mergeCell ref="K157:M157"/>
    <mergeCell ref="K160:M160"/>
    <mergeCell ref="D181:H184"/>
    <mergeCell ref="A168:N169"/>
    <mergeCell ref="O168:T169"/>
    <mergeCell ref="U168:V169"/>
    <mergeCell ref="P42:W43"/>
    <mergeCell ref="F257:H257"/>
    <mergeCell ref="K255:L255"/>
    <mergeCell ref="H263:K263"/>
    <mergeCell ref="I265:L265"/>
    <mergeCell ref="H245:J245"/>
    <mergeCell ref="T163:V163"/>
    <mergeCell ref="T164:V164"/>
    <mergeCell ref="T165:V165"/>
    <mergeCell ref="S191:T191"/>
    <mergeCell ref="S185:T185"/>
    <mergeCell ref="Q155:S155"/>
    <mergeCell ref="A160:D160"/>
    <mergeCell ref="A161:D161"/>
    <mergeCell ref="K165:M165"/>
    <mergeCell ref="K166:M166"/>
    <mergeCell ref="N155:P155"/>
    <mergeCell ref="N156:P156"/>
    <mergeCell ref="N157:P157"/>
    <mergeCell ref="N158:P158"/>
    <mergeCell ref="F269:I269"/>
    <mergeCell ref="I271:L271"/>
    <mergeCell ref="L248:M248"/>
    <mergeCell ref="C282:J282"/>
    <mergeCell ref="M282:T282"/>
    <mergeCell ref="M277:O277"/>
    <mergeCell ref="K276:M276"/>
    <mergeCell ref="I273:L273"/>
    <mergeCell ref="L249:M249"/>
    <mergeCell ref="G259:K259"/>
    <mergeCell ref="G261:K261"/>
  </mergeCells>
  <dataValidations disablePrompts="1" count="1">
    <dataValidation type="list" allowBlank="1" showInputMessage="1" showErrorMessage="1" sqref="V56" xr:uid="{9D64997E-E314-4953-85A2-D7DB003B1264}">
      <formula1>#REF!</formula1>
    </dataValidation>
  </dataValidations>
  <pageMargins left="0.75" right="0.25" top="0.75" bottom="0.75" header="0.3" footer="0.3"/>
  <pageSetup paperSize="9" scale="69" orientation="portrait" r:id="rId1"/>
  <rowBreaks count="5" manualBreakCount="5">
    <brk id="50" max="23" man="1"/>
    <brk id="100" max="23" man="1"/>
    <brk id="150" max="23" man="1"/>
    <brk id="203" max="23" man="1"/>
    <brk id="241" max="23" man="1"/>
  </rowBreaks>
  <colBreaks count="1" manualBreakCount="1">
    <brk id="2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31" r:id="rId4" name="Button 63">
              <controlPr defaultSize="0" print="0" autoFill="0" autoPict="0" macro="[0]!zapisz_PDF1">
                <anchor moveWithCells="1" sizeWithCells="1">
                  <from>
                    <xdr:col>24</xdr:col>
                    <xdr:colOff>161925</xdr:colOff>
                    <xdr:row>191</xdr:row>
                    <xdr:rowOff>171450</xdr:rowOff>
                  </from>
                  <to>
                    <xdr:col>35</xdr:col>
                    <xdr:colOff>95250</xdr:colOff>
                    <xdr:row>194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6" r:id="rId5" name="Button 348">
              <controlPr defaultSize="0" print="0" autoFill="0" autoPict="0" macro="[0]!usun">
                <anchor moveWithCells="1" sizeWithCells="1">
                  <from>
                    <xdr:col>37</xdr:col>
                    <xdr:colOff>38100</xdr:colOff>
                    <xdr:row>59</xdr:row>
                    <xdr:rowOff>123825</xdr:rowOff>
                  </from>
                  <to>
                    <xdr:col>41</xdr:col>
                    <xdr:colOff>152400</xdr:colOff>
                    <xdr:row>62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"/>
  <dimension ref="A2:A4"/>
  <sheetViews>
    <sheetView workbookViewId="0">
      <selection activeCell="N10" sqref="N10"/>
    </sheetView>
  </sheetViews>
  <sheetFormatPr defaultRowHeight="15" x14ac:dyDescent="0.25"/>
  <sheetData>
    <row r="2" spans="1:1" x14ac:dyDescent="0.25">
      <c r="A2" t="s">
        <v>15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P28"/>
  <sheetViews>
    <sheetView topLeftCell="C1" workbookViewId="0">
      <selection activeCell="G5" sqref="G5"/>
    </sheetView>
  </sheetViews>
  <sheetFormatPr defaultRowHeight="15" x14ac:dyDescent="0.25"/>
  <cols>
    <col min="1" max="1" width="18" bestFit="1" customWidth="1"/>
    <col min="2" max="2" width="28" bestFit="1" customWidth="1"/>
    <col min="4" max="4" width="11.42578125" customWidth="1"/>
    <col min="5" max="5" width="25" bestFit="1" customWidth="1"/>
    <col min="7" max="7" width="34.42578125" bestFit="1" customWidth="1"/>
    <col min="9" max="9" width="21.5703125" bestFit="1" customWidth="1"/>
  </cols>
  <sheetData>
    <row r="1" spans="1:16" ht="15.75" thickBot="1" x14ac:dyDescent="0.3">
      <c r="B1" s="1" t="s">
        <v>95</v>
      </c>
      <c r="C1" t="s">
        <v>0</v>
      </c>
      <c r="E1" s="1" t="s">
        <v>35</v>
      </c>
      <c r="I1" s="1" t="s">
        <v>2</v>
      </c>
      <c r="N1" t="s">
        <v>113</v>
      </c>
    </row>
    <row r="2" spans="1:16" x14ac:dyDescent="0.25">
      <c r="A2" t="s">
        <v>95</v>
      </c>
      <c r="B2" t="str">
        <f>Schemat!BC23</f>
        <v>---</v>
      </c>
      <c r="C2">
        <f>IF(B2="---",0,1)</f>
        <v>0</v>
      </c>
      <c r="E2" t="str">
        <f>Schemat!AO35</f>
        <v>-</v>
      </c>
      <c r="F2">
        <v>1</v>
      </c>
      <c r="I2" t="str">
        <f>Schemat!AP5</f>
        <v>Panasonic 200l nierdzewny</v>
      </c>
      <c r="J2">
        <v>1</v>
      </c>
      <c r="N2" t="s">
        <v>114</v>
      </c>
      <c r="P2">
        <v>1</v>
      </c>
    </row>
    <row r="3" spans="1:16" x14ac:dyDescent="0.25">
      <c r="A3" t="s">
        <v>95</v>
      </c>
      <c r="B3" t="str">
        <f>"Nypel mos. "&amp;VLOOKUP(B2,p.obieg.[],MATCH("fi",p.obieg.[#Headers],0),FALSE)&amp;"'"</f>
        <v>Nypel mos. 0'</v>
      </c>
      <c r="C3">
        <f>IF(C2=0,0,3)</f>
        <v>0</v>
      </c>
      <c r="E3" s="15" t="s">
        <v>36</v>
      </c>
      <c r="F3" s="15">
        <v>3</v>
      </c>
      <c r="I3" s="15" t="s">
        <v>53</v>
      </c>
      <c r="J3" s="15">
        <v>2</v>
      </c>
      <c r="N3" t="s">
        <v>115</v>
      </c>
      <c r="P3">
        <v>1</v>
      </c>
    </row>
    <row r="4" spans="1:16" x14ac:dyDescent="0.25">
      <c r="A4" t="s">
        <v>95</v>
      </c>
      <c r="B4" t="str">
        <f>"Zawór zwrotny mos. "&amp;VLOOKUP(B2,p.obieg.[],MATCH("fi",p.obieg.[#Headers],0),FALSE)&amp;"'"</f>
        <v>Zawór zwrotny mos. 0'</v>
      </c>
      <c r="C4">
        <f>IF(C2=0,0,1)</f>
        <v>0</v>
      </c>
      <c r="E4" s="15" t="s">
        <v>37</v>
      </c>
      <c r="F4" s="15">
        <v>3</v>
      </c>
      <c r="G4" t="s">
        <v>39</v>
      </c>
      <c r="I4" s="15" t="s">
        <v>37</v>
      </c>
      <c r="J4" s="15">
        <v>2</v>
      </c>
      <c r="N4" t="s">
        <v>116</v>
      </c>
      <c r="P4">
        <v>1</v>
      </c>
    </row>
    <row r="5" spans="1:16" x14ac:dyDescent="0.25">
      <c r="A5" t="s">
        <v>95</v>
      </c>
      <c r="B5" t="str">
        <f>"Filtr Skośny mos. "&amp;VLOOKUP(B2,p.obieg.[],MATCH("fi",p.obieg.[#Headers],0),FALSE)&amp;"'"</f>
        <v>Filtr Skośny mos. 0'</v>
      </c>
      <c r="C5">
        <f>IF(C2=0,0,1)</f>
        <v>0</v>
      </c>
      <c r="E5" s="15" t="s">
        <v>38</v>
      </c>
      <c r="F5" s="15">
        <v>3</v>
      </c>
      <c r="I5" s="15" t="s">
        <v>54</v>
      </c>
      <c r="J5" s="15">
        <v>2</v>
      </c>
      <c r="N5" t="s">
        <v>117</v>
      </c>
      <c r="P5">
        <v>2</v>
      </c>
    </row>
    <row r="6" spans="1:16" x14ac:dyDescent="0.25">
      <c r="A6" t="s">
        <v>95</v>
      </c>
      <c r="B6" t="str">
        <f>"Zawór kulowy mos. "&amp;VLOOKUP(B2,p.obieg.[],MATCH("fi",p.obieg.[#Headers],0),FALSE)&amp;"'"</f>
        <v>Zawór kulowy mos. 0'</v>
      </c>
      <c r="C6">
        <f>IF(C2=0,0,1)</f>
        <v>0</v>
      </c>
      <c r="E6" s="15" t="s">
        <v>1</v>
      </c>
      <c r="F6" s="15">
        <v>3</v>
      </c>
      <c r="G6" t="s">
        <v>33</v>
      </c>
      <c r="I6" s="15" t="str">
        <f>"GZ 1' "&amp;Schemat!AF5&amp;" "&amp;Schemat!AI5</f>
        <v>GZ 1' PP 32</v>
      </c>
      <c r="J6" s="15">
        <v>2</v>
      </c>
      <c r="K6" t="s">
        <v>50</v>
      </c>
      <c r="N6" t="s">
        <v>118</v>
      </c>
      <c r="P6">
        <v>2</v>
      </c>
    </row>
    <row r="7" spans="1:16" ht="15.75" thickBot="1" x14ac:dyDescent="0.3">
      <c r="A7" t="s">
        <v>95</v>
      </c>
      <c r="B7" t="str">
        <f>"GZ "&amp;VLOOKUP(B2,p.obieg.[],MATCH("fi",p.obieg.[#Headers],0),FALSE)&amp;"' "&amp;Schemat!AF5&amp;Schemat!AI5</f>
        <v>GZ 0' PP32</v>
      </c>
      <c r="C7">
        <f>IF(C2=0,0,2)</f>
        <v>0</v>
      </c>
      <c r="E7" s="15" t="s">
        <v>36</v>
      </c>
      <c r="F7" s="15">
        <f>1*2</f>
        <v>2</v>
      </c>
      <c r="G7" t="s">
        <v>40</v>
      </c>
      <c r="I7" t="str">
        <f>Schemat!BB16</f>
        <v>Nacz.Przep. 24l</v>
      </c>
      <c r="J7">
        <v>1</v>
      </c>
      <c r="K7" s="2"/>
    </row>
    <row r="8" spans="1:16" ht="15.75" thickBot="1" x14ac:dyDescent="0.3">
      <c r="B8" s="1" t="s">
        <v>96</v>
      </c>
      <c r="C8" t="s">
        <v>0</v>
      </c>
      <c r="E8" s="15" t="s">
        <v>37</v>
      </c>
      <c r="F8" s="15">
        <f>1*2</f>
        <v>2</v>
      </c>
      <c r="G8" t="s">
        <v>40</v>
      </c>
      <c r="I8" t="str">
        <f>"śrubunek mos. "&amp;VLOOKUP(I7,N.przep.[],MATCH("fi",N.przep.[#Headers],0),FALSE)&amp;"'"</f>
        <v>śrubunek mos. 0,75'</v>
      </c>
      <c r="J8">
        <f>J7</f>
        <v>1</v>
      </c>
    </row>
    <row r="9" spans="1:16" x14ac:dyDescent="0.25">
      <c r="A9" t="s">
        <v>96</v>
      </c>
      <c r="B9" t="str">
        <f>Schemat!BC24</f>
        <v>---</v>
      </c>
      <c r="C9">
        <f>IF(B9="---",0,1)</f>
        <v>0</v>
      </c>
      <c r="E9" s="15" t="s">
        <v>1</v>
      </c>
      <c r="F9" s="15">
        <f>1*2</f>
        <v>2</v>
      </c>
      <c r="G9" t="s">
        <v>40</v>
      </c>
      <c r="I9" s="15" t="s">
        <v>55</v>
      </c>
      <c r="J9" s="15">
        <v>1</v>
      </c>
      <c r="K9" t="s">
        <v>50</v>
      </c>
    </row>
    <row r="10" spans="1:16" x14ac:dyDescent="0.25">
      <c r="A10" t="s">
        <v>96</v>
      </c>
      <c r="B10" t="str">
        <f>"Nypel mos. "&amp;VLOOKUP(B9,p.obieg.[],MATCH("fi",p.obieg.[#Headers],0),FALSE)&amp;"'"</f>
        <v>Nypel mos. 0'</v>
      </c>
      <c r="C10">
        <f>IF(C9=0,0,3)</f>
        <v>0</v>
      </c>
      <c r="E10" s="15" t="s">
        <v>41</v>
      </c>
      <c r="F10" s="15">
        <v>10</v>
      </c>
      <c r="G10" s="2" t="s">
        <v>44</v>
      </c>
      <c r="I10" s="15" t="s">
        <v>56</v>
      </c>
      <c r="J10" s="15">
        <v>1</v>
      </c>
    </row>
    <row r="11" spans="1:16" x14ac:dyDescent="0.25">
      <c r="A11" t="s">
        <v>96</v>
      </c>
      <c r="B11" t="str">
        <f>"Zawór zwrotny mos. "&amp;VLOOKUP(B9,p.obieg.[],MATCH("fi",p.obieg.[#Headers],0),FALSE)&amp;"'"</f>
        <v>Zawór zwrotny mos. 0'</v>
      </c>
      <c r="C11">
        <f>IF(C9=0,0,1)</f>
        <v>0</v>
      </c>
      <c r="E11" s="15" t="s">
        <v>42</v>
      </c>
      <c r="F11" s="15">
        <v>5</v>
      </c>
      <c r="G11" s="2" t="s">
        <v>45</v>
      </c>
      <c r="I11" s="15" t="s">
        <v>57</v>
      </c>
      <c r="J11" s="15">
        <v>1</v>
      </c>
    </row>
    <row r="12" spans="1:16" x14ac:dyDescent="0.25">
      <c r="A12" t="s">
        <v>96</v>
      </c>
      <c r="B12" t="str">
        <f>"Filtr Skośny mos. "&amp;VLOOKUP(B9,p.obieg.[],MATCH("fi",p.obieg.[#Headers],0),FALSE)&amp;"'"</f>
        <v>Filtr Skośny mos. 0'</v>
      </c>
      <c r="C12">
        <f>IF(C9=0,0,1)</f>
        <v>0</v>
      </c>
      <c r="E12" s="15" t="s">
        <v>46</v>
      </c>
      <c r="F12" s="15">
        <v>1</v>
      </c>
      <c r="I12" s="15" t="s">
        <v>43</v>
      </c>
      <c r="J12" s="15">
        <v>1</v>
      </c>
    </row>
    <row r="13" spans="1:16" x14ac:dyDescent="0.25">
      <c r="A13" t="s">
        <v>96</v>
      </c>
      <c r="B13" t="str">
        <f>"Zawór kulowy mos. "&amp;VLOOKUP(B9,p.obieg.[],MATCH("fi",p.obieg.[#Headers],0),FALSE)&amp;"'"</f>
        <v>Zawór kulowy mos. 0'</v>
      </c>
      <c r="C13">
        <f>IF(C9=0,0,1)</f>
        <v>0</v>
      </c>
      <c r="D13" s="467" t="s">
        <v>109</v>
      </c>
      <c r="E13" t="s">
        <v>47</v>
      </c>
      <c r="F13">
        <v>1</v>
      </c>
      <c r="I13" s="15" t="s">
        <v>59</v>
      </c>
      <c r="J13" s="15">
        <v>2</v>
      </c>
      <c r="K13" t="s">
        <v>58</v>
      </c>
    </row>
    <row r="14" spans="1:16" ht="15.75" thickBot="1" x14ac:dyDescent="0.3">
      <c r="A14" t="s">
        <v>96</v>
      </c>
      <c r="B14" t="str">
        <f>"GZ "&amp;VLOOKUP(B9,p.obieg.[],MATCH("fi",p.obieg.[#Headers],0),FALSE)&amp;"' "&amp;Schemat!AF5&amp;Schemat!AI5</f>
        <v>GZ 0' PP32</v>
      </c>
      <c r="C14">
        <f>IF(C9=0,0,2)</f>
        <v>0</v>
      </c>
      <c r="D14" s="467"/>
      <c r="E14" s="17" t="str">
        <f>"Red. Mos. "&amp;VLOOKUP(E2,CO[#Data],MATCH("zas",CO[#Headers],0),FALSE)&amp;" / 3/4'"</f>
        <v>Red. Mos. - / 3/4'</v>
      </c>
      <c r="F14">
        <v>1</v>
      </c>
      <c r="G14" t="s">
        <v>49</v>
      </c>
      <c r="I14" s="15" t="s">
        <v>60</v>
      </c>
      <c r="J14" s="15">
        <v>2</v>
      </c>
      <c r="K14" t="s">
        <v>50</v>
      </c>
    </row>
    <row r="15" spans="1:16" ht="15.75" customHeight="1" thickBot="1" x14ac:dyDescent="0.3">
      <c r="B15" s="1" t="s">
        <v>97</v>
      </c>
      <c r="C15" t="s">
        <v>0</v>
      </c>
      <c r="D15" s="467" t="s">
        <v>110</v>
      </c>
      <c r="E15" t="str">
        <f>Schemat!AI35</f>
        <v>Nacz.Przep. 24l</v>
      </c>
      <c r="F15">
        <v>1</v>
      </c>
      <c r="G15" s="2"/>
      <c r="I15" s="15" t="str">
        <f>"GZ 1' "&amp;Schemat!AF5&amp;" "&amp;Schemat!AI5</f>
        <v>GZ 1' PP 32</v>
      </c>
      <c r="J15" s="15">
        <v>2</v>
      </c>
      <c r="K15" t="s">
        <v>50</v>
      </c>
    </row>
    <row r="16" spans="1:16" x14ac:dyDescent="0.25">
      <c r="A16" t="s">
        <v>97</v>
      </c>
      <c r="B16" t="str">
        <f>Schemat!BC25</f>
        <v>---</v>
      </c>
      <c r="C16">
        <f>IF(B16="---",0,1)</f>
        <v>0</v>
      </c>
      <c r="D16" s="467"/>
      <c r="E16" t="str">
        <f>"śrubunek mos. "&amp;VLOOKUP(E15,N.przep.[],MATCH("fi",N.przep.[#Headers],0),FALSE)&amp;"'"</f>
        <v>śrubunek mos. 0,75'</v>
      </c>
      <c r="F16">
        <f>F15</f>
        <v>1</v>
      </c>
      <c r="I16" s="15" t="s">
        <v>61</v>
      </c>
      <c r="J16" s="15">
        <v>1</v>
      </c>
    </row>
    <row r="17" spans="1:10" x14ac:dyDescent="0.25">
      <c r="A17" t="s">
        <v>97</v>
      </c>
      <c r="B17" t="str">
        <f>"Nypel mos. "&amp;VLOOKUP(B16,p.obieg.[],MATCH("fi",p.obieg.[#Headers],0),FALSE)&amp;"'"</f>
        <v>Nypel mos. 0'</v>
      </c>
      <c r="C17">
        <f>IF(C16=0,0,3)</f>
        <v>0</v>
      </c>
      <c r="D17" s="467"/>
      <c r="E17" t="str">
        <f>"GZ "&amp;VLOOKUP(E15,N.przep.[],MATCH("fi",N.przep.[#Headers],0),FALSE)&amp;"' "&amp;Schemat!AF5&amp;" "&amp;Schemat!AI5</f>
        <v>GZ 0,75' PP 32</v>
      </c>
      <c r="F17">
        <f>F15</f>
        <v>1</v>
      </c>
      <c r="H17" t="s">
        <v>111</v>
      </c>
      <c r="I17" t="s">
        <v>47</v>
      </c>
      <c r="J17" s="15">
        <v>1</v>
      </c>
    </row>
    <row r="18" spans="1:10" x14ac:dyDescent="0.25">
      <c r="A18" t="s">
        <v>97</v>
      </c>
      <c r="B18" t="str">
        <f>"Zawór zwrotny mos. "&amp;VLOOKUP(B16,p.obieg.[],MATCH("fi",p.obieg.[#Headers],0),FALSE)&amp;"'"</f>
        <v>Zawór zwrotny mos. 0'</v>
      </c>
      <c r="C18">
        <f>IF(C16=0,0,1)</f>
        <v>0</v>
      </c>
      <c r="D18" s="467"/>
      <c r="E18" t="str">
        <f>"Trójnik mos. "&amp;VLOOKUP(E15,N.przep.[],MATCH("fi",N.przep.[#Headers],0),FALSE)&amp;"'"</f>
        <v>Trójnik mos. 0,75'</v>
      </c>
      <c r="F18">
        <v>1</v>
      </c>
      <c r="I18" s="15" t="s">
        <v>48</v>
      </c>
      <c r="J18" s="15">
        <v>1</v>
      </c>
    </row>
    <row r="19" spans="1:10" x14ac:dyDescent="0.25">
      <c r="A19" t="s">
        <v>97</v>
      </c>
      <c r="B19" t="str">
        <f>"Filtr Skośny mos. "&amp;VLOOKUP(B16,p.obieg.[],MATCH("fi",p.obieg.[#Headers],0),FALSE)&amp;"'"</f>
        <v>Filtr Skośny mos. 0'</v>
      </c>
      <c r="C19">
        <f>IF(C16=0,0,1)</f>
        <v>0</v>
      </c>
      <c r="D19" s="467"/>
      <c r="E19" t="str">
        <f>"Red. Mos. "&amp;VLOOKUP(E15,N.przep.[],MATCH("fi",N.przep.[#Headers],0),FALSE)&amp;"' / 1/2'"</f>
        <v>Red. Mos. 0,75' / 1/2'</v>
      </c>
      <c r="F19">
        <v>1</v>
      </c>
      <c r="I19" s="15" t="s">
        <v>62</v>
      </c>
      <c r="J19" s="15">
        <v>1</v>
      </c>
    </row>
    <row r="20" spans="1:10" x14ac:dyDescent="0.25">
      <c r="A20" t="s">
        <v>97</v>
      </c>
      <c r="B20" t="str">
        <f>"Zawór kulowy mos. "&amp;VLOOKUP(B16,p.obieg.[],MATCH("fi",p.obieg.[#Headers],0),FALSE)&amp;"'"</f>
        <v>Zawór kulowy mos. 0'</v>
      </c>
      <c r="C20">
        <f>IF(C16=0,0,1)</f>
        <v>0</v>
      </c>
      <c r="D20" s="467"/>
      <c r="E20" t="s">
        <v>51</v>
      </c>
      <c r="F20">
        <v>1</v>
      </c>
      <c r="H20" t="s">
        <v>112</v>
      </c>
      <c r="I20" s="16" t="s">
        <v>99</v>
      </c>
      <c r="J20">
        <v>1</v>
      </c>
    </row>
    <row r="21" spans="1:10" ht="15.75" thickBot="1" x14ac:dyDescent="0.3">
      <c r="A21" t="s">
        <v>97</v>
      </c>
      <c r="B21" t="str">
        <f>"GZ "&amp;VLOOKUP(B16,p.obieg.[],MATCH("fi",p.obieg.[#Headers],0),FALSE)&amp;"' "&amp;Schemat!AF12&amp;Schemat!AI12</f>
        <v xml:space="preserve">GZ 0' </v>
      </c>
      <c r="C21">
        <f>IF(C16=0,0,2)</f>
        <v>0</v>
      </c>
      <c r="D21" s="467"/>
      <c r="E21" t="s">
        <v>52</v>
      </c>
      <c r="F21">
        <v>1</v>
      </c>
      <c r="I21" t="s">
        <v>100</v>
      </c>
      <c r="J21">
        <v>3</v>
      </c>
    </row>
    <row r="22" spans="1:10" ht="15.75" thickBot="1" x14ac:dyDescent="0.3">
      <c r="B22" s="1" t="s">
        <v>98</v>
      </c>
      <c r="C22" t="s">
        <v>0</v>
      </c>
      <c r="I22" t="s">
        <v>101</v>
      </c>
      <c r="J22">
        <v>3</v>
      </c>
    </row>
    <row r="23" spans="1:10" x14ac:dyDescent="0.25">
      <c r="A23" t="s">
        <v>98</v>
      </c>
      <c r="B23" t="str">
        <f>Schemat!BC26</f>
        <v>---</v>
      </c>
      <c r="C23">
        <f>IF(B23="---",0,1)</f>
        <v>0</v>
      </c>
      <c r="I23" s="15" t="str">
        <f>"GW 1' "&amp;Schemat!AF5&amp;" "&amp;Schemat!AI5</f>
        <v>GW 1' PP 32</v>
      </c>
      <c r="J23">
        <v>3</v>
      </c>
    </row>
    <row r="24" spans="1:10" x14ac:dyDescent="0.25">
      <c r="A24" t="s">
        <v>98</v>
      </c>
      <c r="B24" t="str">
        <f>"Nypel mos. "&amp;VLOOKUP(B23,p.obieg.[],MATCH("fi",p.obieg.[#Headers],0),FALSE)&amp;"'"</f>
        <v>Nypel mos. 0'</v>
      </c>
      <c r="C24">
        <f>IF(C23=0,0,3)</f>
        <v>0</v>
      </c>
    </row>
    <row r="25" spans="1:10" x14ac:dyDescent="0.25">
      <c r="A25" t="s">
        <v>98</v>
      </c>
      <c r="B25" t="str">
        <f>"Zawór zwrotny mos. "&amp;VLOOKUP(B23,p.obieg.[],MATCH("fi",p.obieg.[#Headers],0),FALSE)&amp;"'"</f>
        <v>Zawór zwrotny mos. 0'</v>
      </c>
      <c r="C25">
        <f>IF(C23=0,0,1)</f>
        <v>0</v>
      </c>
    </row>
    <row r="26" spans="1:10" x14ac:dyDescent="0.25">
      <c r="A26" t="s">
        <v>98</v>
      </c>
      <c r="B26" t="str">
        <f>"Filtr Skośny mos. "&amp;VLOOKUP(B23,p.obieg.[],MATCH("fi",p.obieg.[#Headers],0),FALSE)&amp;"'"</f>
        <v>Filtr Skośny mos. 0'</v>
      </c>
      <c r="C26">
        <f>IF(C23=0,0,1)</f>
        <v>0</v>
      </c>
    </row>
    <row r="27" spans="1:10" x14ac:dyDescent="0.25">
      <c r="A27" t="s">
        <v>98</v>
      </c>
      <c r="B27" t="str">
        <f>"Zawór kulowy mos. "&amp;VLOOKUP(B23,p.obieg.[],MATCH("fi",p.obieg.[#Headers],0),FALSE)&amp;"'"</f>
        <v>Zawór kulowy mos. 0'</v>
      </c>
      <c r="C27">
        <f>IF(C23=0,0,1)</f>
        <v>0</v>
      </c>
    </row>
    <row r="28" spans="1:10" x14ac:dyDescent="0.25">
      <c r="A28" t="s">
        <v>98</v>
      </c>
      <c r="B28" t="str">
        <f>"GZ "&amp;VLOOKUP(B23,p.obieg.[],MATCH("fi",p.obieg.[#Headers],0),FALSE)&amp;"' "&amp;Schemat!AF19&amp;Schemat!AI19</f>
        <v xml:space="preserve">GZ 0' </v>
      </c>
      <c r="C28">
        <f>IF(C23=0,0,2)</f>
        <v>0</v>
      </c>
    </row>
  </sheetData>
  <mergeCells count="2">
    <mergeCell ref="D13:D14"/>
    <mergeCell ref="D15:D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14"/>
  <dimension ref="A1:AF150"/>
  <sheetViews>
    <sheetView topLeftCell="A58" zoomScale="85" zoomScaleNormal="85" workbookViewId="0">
      <selection activeCell="A142" sqref="A142"/>
    </sheetView>
  </sheetViews>
  <sheetFormatPr defaultRowHeight="15" x14ac:dyDescent="0.25"/>
  <cols>
    <col min="1" max="1" width="41.140625" bestFit="1" customWidth="1"/>
    <col min="2" max="2" width="22.28515625" customWidth="1"/>
    <col min="3" max="3" width="23.42578125" customWidth="1"/>
    <col min="4" max="5" width="11.7109375" customWidth="1"/>
    <col min="6" max="6" width="9.5703125" customWidth="1"/>
    <col min="18" max="18" width="10.7109375" bestFit="1" customWidth="1"/>
    <col min="24" max="24" width="42.85546875" customWidth="1"/>
  </cols>
  <sheetData>
    <row r="1" spans="1:26" ht="15.75" thickBot="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</row>
    <row r="2" spans="1:26" ht="15.75" thickBot="1" x14ac:dyDescent="0.3">
      <c r="F2" s="240" t="s">
        <v>207</v>
      </c>
      <c r="G2" s="240"/>
      <c r="H2" s="240"/>
      <c r="I2" s="240"/>
      <c r="J2" s="240"/>
      <c r="K2" s="240"/>
      <c r="L2" s="240"/>
      <c r="M2" s="240"/>
      <c r="N2" s="468"/>
      <c r="O2" s="469" t="s">
        <v>806</v>
      </c>
      <c r="P2" s="470"/>
      <c r="Q2" s="470"/>
      <c r="R2" s="470"/>
      <c r="S2" s="470"/>
      <c r="T2" s="470"/>
      <c r="U2" s="470"/>
      <c r="V2" s="470"/>
      <c r="W2" s="471"/>
      <c r="X2" t="s">
        <v>208</v>
      </c>
      <c r="Y2" t="s">
        <v>209</v>
      </c>
      <c r="Z2" t="s">
        <v>210</v>
      </c>
    </row>
    <row r="3" spans="1:26" x14ac:dyDescent="0.25"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>
        <v>-7</v>
      </c>
      <c r="R3" s="42">
        <v>-2</v>
      </c>
      <c r="S3" s="42">
        <v>2</v>
      </c>
      <c r="T3" s="42">
        <v>7</v>
      </c>
      <c r="U3" s="42">
        <v>12</v>
      </c>
      <c r="V3" s="42">
        <v>15</v>
      </c>
      <c r="W3" s="42">
        <v>20</v>
      </c>
    </row>
    <row r="4" spans="1:26" x14ac:dyDescent="0.25">
      <c r="A4" t="s">
        <v>211</v>
      </c>
      <c r="B4" t="s">
        <v>212</v>
      </c>
      <c r="C4" t="s">
        <v>213</v>
      </c>
      <c r="D4" t="s">
        <v>214</v>
      </c>
      <c r="E4" t="s">
        <v>215</v>
      </c>
      <c r="F4" s="21" t="s">
        <v>120</v>
      </c>
      <c r="G4" s="5" t="s">
        <v>123</v>
      </c>
      <c r="H4" s="5" t="s">
        <v>131</v>
      </c>
      <c r="I4" s="5" t="s">
        <v>45</v>
      </c>
      <c r="J4" s="5" t="s">
        <v>139</v>
      </c>
      <c r="K4" s="5" t="s">
        <v>144</v>
      </c>
      <c r="L4" s="5" t="s">
        <v>149</v>
      </c>
      <c r="M4" s="5" t="s">
        <v>152</v>
      </c>
      <c r="N4" s="22" t="s">
        <v>157</v>
      </c>
      <c r="O4" s="21" t="s">
        <v>216</v>
      </c>
      <c r="P4" s="5" t="s">
        <v>217</v>
      </c>
      <c r="Q4" s="5" t="s">
        <v>218</v>
      </c>
      <c r="R4" s="5" t="s">
        <v>219</v>
      </c>
      <c r="S4" s="5" t="s">
        <v>220</v>
      </c>
      <c r="T4" s="5" t="s">
        <v>221</v>
      </c>
      <c r="U4" s="5" t="s">
        <v>222</v>
      </c>
      <c r="V4" s="5" t="s">
        <v>223</v>
      </c>
      <c r="W4" s="6" t="s">
        <v>224</v>
      </c>
      <c r="X4" t="s">
        <v>225</v>
      </c>
      <c r="Y4" t="s">
        <v>226</v>
      </c>
      <c r="Z4" t="s">
        <v>210</v>
      </c>
    </row>
    <row r="5" spans="1:26" x14ac:dyDescent="0.25">
      <c r="A5" t="s">
        <v>77</v>
      </c>
      <c r="B5" t="s">
        <v>77</v>
      </c>
      <c r="C5" t="s">
        <v>77</v>
      </c>
      <c r="D5">
        <v>0</v>
      </c>
      <c r="E5">
        <v>0</v>
      </c>
      <c r="F5" s="42"/>
      <c r="O5" s="42"/>
    </row>
    <row r="6" spans="1:26" ht="150" customHeight="1" x14ac:dyDescent="0.25">
      <c r="A6" s="7" t="s">
        <v>644</v>
      </c>
      <c r="B6" s="7" t="s">
        <v>643</v>
      </c>
      <c r="C6" s="7" t="s">
        <v>251</v>
      </c>
      <c r="D6" s="23">
        <v>1</v>
      </c>
      <c r="E6" s="7">
        <f>(30898)*(1-0.45)</f>
        <v>16993.900000000001</v>
      </c>
      <c r="F6" s="7">
        <v>2.52</v>
      </c>
      <c r="G6" s="7">
        <v>3.2</v>
      </c>
      <c r="H6" s="7">
        <v>3.3</v>
      </c>
      <c r="I6" s="7">
        <v>3.2</v>
      </c>
      <c r="J6" s="7">
        <v>3.2</v>
      </c>
      <c r="K6" s="7">
        <v>3.2</v>
      </c>
      <c r="L6" s="7">
        <v>3.2</v>
      </c>
      <c r="M6" s="7">
        <v>3.2</v>
      </c>
      <c r="N6" s="7">
        <v>3.2</v>
      </c>
      <c r="O6" s="118">
        <v>1.31</v>
      </c>
      <c r="P6" s="7">
        <v>1.37</v>
      </c>
      <c r="Q6" s="7">
        <v>1.18</v>
      </c>
      <c r="R6" s="7">
        <f>PC[[#This Row],[E-7]]-(PC[[#This Row],[E-7]]-PC[[#This Row],[E2]])/9*5</f>
        <v>1.0133333333333332</v>
      </c>
      <c r="S6" s="7">
        <v>0.88</v>
      </c>
      <c r="T6" s="7">
        <v>0.6</v>
      </c>
      <c r="U6" s="7">
        <f>PC[[#This Row],[E7]]-(PC[[#This Row],[E7]]-PC[[#This Row],[E20]])/13*5</f>
        <v>0.5461538461538461</v>
      </c>
      <c r="V6" s="7">
        <v>0.55000000000000004</v>
      </c>
      <c r="W6" s="7">
        <v>0.46</v>
      </c>
      <c r="Y6">
        <v>5</v>
      </c>
      <c r="Z6">
        <v>3</v>
      </c>
    </row>
    <row r="7" spans="1:26" ht="150" customHeight="1" x14ac:dyDescent="0.25">
      <c r="A7" s="7" t="s">
        <v>189</v>
      </c>
      <c r="B7" s="7" t="s">
        <v>227</v>
      </c>
      <c r="C7" s="7" t="s">
        <v>227</v>
      </c>
      <c r="D7" s="23">
        <v>1</v>
      </c>
      <c r="E7" s="7">
        <f>(31789)*(1-0.45)</f>
        <v>17483.95</v>
      </c>
      <c r="F7" s="7">
        <v>3.51</v>
      </c>
      <c r="G7" s="7">
        <v>4.2</v>
      </c>
      <c r="H7" s="7">
        <v>4.2</v>
      </c>
      <c r="I7" s="7">
        <v>4.2</v>
      </c>
      <c r="J7" s="7">
        <v>4.2</v>
      </c>
      <c r="K7" s="7">
        <v>5</v>
      </c>
      <c r="L7" s="7">
        <v>5</v>
      </c>
      <c r="M7" s="7">
        <v>5</v>
      </c>
      <c r="N7" s="24">
        <v>5</v>
      </c>
      <c r="O7" s="7">
        <v>1.81</v>
      </c>
      <c r="P7" s="7">
        <v>1.93</v>
      </c>
      <c r="Q7" s="7">
        <v>1.62</v>
      </c>
      <c r="R7" s="7">
        <f>Q7+(Q7-S7)/(Q$3-S$3)</f>
        <v>1.5866666666666667</v>
      </c>
      <c r="S7" s="7">
        <v>1.32</v>
      </c>
      <c r="T7" s="7">
        <v>1</v>
      </c>
      <c r="U7" s="7">
        <f>T7+(T7-W7)/(T$3-W$3)</f>
        <v>0.97846153846153849</v>
      </c>
      <c r="V7" s="7">
        <f>U7+(U7-W7)/(U$3-W$3)</f>
        <v>0.94615384615384612</v>
      </c>
      <c r="W7" s="7">
        <v>0.72</v>
      </c>
      <c r="Y7">
        <v>5</v>
      </c>
      <c r="Z7">
        <v>3</v>
      </c>
    </row>
    <row r="8" spans="1:26" ht="150" customHeight="1" x14ac:dyDescent="0.25">
      <c r="A8" s="7" t="s">
        <v>229</v>
      </c>
      <c r="B8" s="7" t="s">
        <v>227</v>
      </c>
      <c r="C8" s="7" t="s">
        <v>230</v>
      </c>
      <c r="D8" s="23">
        <v>1</v>
      </c>
      <c r="E8" s="7">
        <f>(33137)*(1-0.45)</f>
        <v>18225.350000000002</v>
      </c>
      <c r="F8" s="7">
        <v>3.98</v>
      </c>
      <c r="G8" s="7">
        <v>4.75</v>
      </c>
      <c r="H8" s="7">
        <v>5.6</v>
      </c>
      <c r="I8" s="7">
        <v>6.29</v>
      </c>
      <c r="J8" s="7">
        <v>6.85</v>
      </c>
      <c r="K8" s="7">
        <v>7</v>
      </c>
      <c r="L8" s="7">
        <v>7</v>
      </c>
      <c r="M8" s="7">
        <v>7</v>
      </c>
      <c r="N8" s="24">
        <v>7</v>
      </c>
      <c r="O8" s="7">
        <v>1.88</v>
      </c>
      <c r="P8" s="7">
        <v>2</v>
      </c>
      <c r="Q8" s="7">
        <v>1.95</v>
      </c>
      <c r="R8" s="7">
        <f>Q8+(Q8-S8)/(Q$3-S$3)</f>
        <v>1.9566666666666666</v>
      </c>
      <c r="S8" s="7">
        <v>2.0099999999999998</v>
      </c>
      <c r="T8" s="7">
        <v>1.47</v>
      </c>
      <c r="U8" s="7">
        <f>T8+(T8-W8)/(T$3-W$3)</f>
        <v>1.4261538461538461</v>
      </c>
      <c r="V8" s="7">
        <f>U8+(U8-W8)/(U$3-W$3)</f>
        <v>1.3603846153846153</v>
      </c>
      <c r="W8" s="7">
        <v>0.9</v>
      </c>
      <c r="Y8">
        <v>5</v>
      </c>
      <c r="Z8">
        <v>3</v>
      </c>
    </row>
    <row r="9" spans="1:26" ht="150" customHeight="1" x14ac:dyDescent="0.25">
      <c r="A9" s="7" t="s">
        <v>231</v>
      </c>
      <c r="B9" s="7" t="s">
        <v>227</v>
      </c>
      <c r="C9" s="7" t="s">
        <v>232</v>
      </c>
      <c r="D9" s="23">
        <v>1</v>
      </c>
      <c r="E9" s="7">
        <f>(35319)*(1-0.45)</f>
        <v>19425.45</v>
      </c>
      <c r="F9" s="25">
        <v>6.2</v>
      </c>
      <c r="G9" s="25">
        <v>7.4</v>
      </c>
      <c r="H9" s="25">
        <v>6.12</v>
      </c>
      <c r="I9" s="25">
        <v>6.61</v>
      </c>
      <c r="J9" s="25">
        <v>7</v>
      </c>
      <c r="K9" s="25">
        <v>9</v>
      </c>
      <c r="L9" s="25">
        <v>9</v>
      </c>
      <c r="M9" s="25">
        <v>9</v>
      </c>
      <c r="N9" s="54">
        <v>9</v>
      </c>
      <c r="O9" s="25">
        <v>3</v>
      </c>
      <c r="P9" s="25">
        <v>3.2</v>
      </c>
      <c r="Q9" s="7">
        <v>2.2000000000000002</v>
      </c>
      <c r="R9" s="7">
        <f t="shared" ref="R9:R19" si="0">Q9+(Q9-S9)/(Q$3-S$3)</f>
        <v>2.1844444444444444</v>
      </c>
      <c r="S9" s="7">
        <v>2.06</v>
      </c>
      <c r="T9" s="7">
        <v>2.0099999999999998</v>
      </c>
      <c r="U9" s="7">
        <f>T9+(T9-W9)/(T$3-W$3)</f>
        <v>1.9546153846153844</v>
      </c>
      <c r="V9" s="7">
        <f>U9+(U9-W9)/(U$3-W$3)</f>
        <v>1.8715384615384614</v>
      </c>
      <c r="W9" s="7">
        <v>1.29</v>
      </c>
      <c r="Y9">
        <v>5</v>
      </c>
      <c r="Z9">
        <v>3</v>
      </c>
    </row>
    <row r="10" spans="1:26" ht="150" customHeight="1" x14ac:dyDescent="0.25">
      <c r="A10" s="7" t="s">
        <v>235</v>
      </c>
      <c r="B10" s="7" t="s">
        <v>236</v>
      </c>
      <c r="C10" s="7" t="s">
        <v>237</v>
      </c>
      <c r="D10" s="23">
        <v>3</v>
      </c>
      <c r="E10" s="7">
        <f>(40444)*(1-0.45)</f>
        <v>22244.2</v>
      </c>
      <c r="F10" s="7">
        <v>7.5</v>
      </c>
      <c r="G10" s="7">
        <v>8.3000000000000007</v>
      </c>
      <c r="H10" s="7">
        <v>9</v>
      </c>
      <c r="I10" s="7">
        <v>9</v>
      </c>
      <c r="J10" s="7">
        <v>9</v>
      </c>
      <c r="K10" s="7">
        <v>9</v>
      </c>
      <c r="L10" s="7">
        <v>9</v>
      </c>
      <c r="M10" s="7">
        <v>9</v>
      </c>
      <c r="N10" s="24">
        <v>9</v>
      </c>
      <c r="O10" s="7">
        <v>3.4</v>
      </c>
      <c r="P10" s="7">
        <v>3.21</v>
      </c>
      <c r="Q10" s="7">
        <v>3.16</v>
      </c>
      <c r="R10" s="7">
        <f>PC[[#This Row],[E-7]]-(PC[[#This Row],[E-7]]-PC[[#This Row],[E2]])/9*5</f>
        <v>2.798888888888889</v>
      </c>
      <c r="S10" s="7">
        <v>2.5099999999999998</v>
      </c>
      <c r="T10" s="7">
        <v>1.86</v>
      </c>
      <c r="U10" s="7">
        <f>PC[[#This Row],[E7]]-(PC[[#This Row],[E7]]-PC[[#This Row],[E20]])/13*5</f>
        <v>1.6215384615384616</v>
      </c>
      <c r="V10" s="7">
        <f>PC[[#This Row],[E7]]-(PC[[#This Row],[E7]]-PC[[#This Row],[E20]])/13*8</f>
        <v>1.4784615384615385</v>
      </c>
      <c r="W10" s="7">
        <v>1.24</v>
      </c>
      <c r="Y10">
        <v>5</v>
      </c>
      <c r="Z10">
        <v>9</v>
      </c>
    </row>
    <row r="11" spans="1:26" ht="150" customHeight="1" x14ac:dyDescent="0.25">
      <c r="A11" s="7" t="s">
        <v>648</v>
      </c>
      <c r="B11" s="7" t="s">
        <v>233</v>
      </c>
      <c r="C11" s="7" t="s">
        <v>650</v>
      </c>
      <c r="D11" s="23">
        <v>1</v>
      </c>
      <c r="E11" s="7">
        <f>(41562)*(1-0.45)</f>
        <v>22859.100000000002</v>
      </c>
      <c r="F11" s="7">
        <v>7.9</v>
      </c>
      <c r="G11" s="7">
        <v>8.9</v>
      </c>
      <c r="H11" s="7">
        <v>10</v>
      </c>
      <c r="I11" s="7">
        <f>PC[[#This Row],[-7]]+(PC[[#This Row],[2]]-PC[[#This Row],[-7]])/9*5</f>
        <v>10.777777777777779</v>
      </c>
      <c r="J11" s="7">
        <v>11.4</v>
      </c>
      <c r="K11" s="7">
        <v>12</v>
      </c>
      <c r="L11" s="7">
        <v>12</v>
      </c>
      <c r="M11" s="7">
        <v>12</v>
      </c>
      <c r="N11" s="24">
        <v>12</v>
      </c>
      <c r="O11" s="7">
        <f>PC[[#This Row],[E-15]]+(PC[[#This Row],[E-15]]-PC[[#This Row],[E-7]])/8*5</f>
        <v>3.5950000000000002</v>
      </c>
      <c r="P11" s="7">
        <v>3.62</v>
      </c>
      <c r="Q11" s="7">
        <v>3.66</v>
      </c>
      <c r="R11" s="7">
        <f>PC[[#This Row],[E-7]]-(PC[[#This Row],[E-7]]-PC[[#This Row],[E2]])/9*5</f>
        <v>3.4655555555555555</v>
      </c>
      <c r="S11" s="7">
        <v>3.31</v>
      </c>
      <c r="T11" s="7">
        <v>2.5299999999999998</v>
      </c>
      <c r="U11" s="7">
        <f>PC[[#This Row],[E7]]-(PC[[#This Row],[E7]]-PC[[#This Row],[E20]])/13*5</f>
        <v>2.195384615384615</v>
      </c>
      <c r="V11" s="7">
        <f>PC[[#This Row],[E7]]-(PC[[#This Row],[E7]]-PC[[#This Row],[E20]])/13*8</f>
        <v>1.9946153846153845</v>
      </c>
      <c r="W11" s="7">
        <v>1.66</v>
      </c>
      <c r="Y11">
        <v>5</v>
      </c>
      <c r="Z11">
        <v>6</v>
      </c>
    </row>
    <row r="12" spans="1:26" ht="150" customHeight="1" x14ac:dyDescent="0.25">
      <c r="A12" s="7" t="s">
        <v>645</v>
      </c>
      <c r="B12" s="7" t="s">
        <v>236</v>
      </c>
      <c r="C12" s="7" t="s">
        <v>256</v>
      </c>
      <c r="D12" s="23">
        <v>3</v>
      </c>
      <c r="E12" s="7">
        <f>(42927)*(1-0.45)</f>
        <v>23609.850000000002</v>
      </c>
      <c r="F12" s="7">
        <v>7.9</v>
      </c>
      <c r="G12" s="7">
        <v>8.9</v>
      </c>
      <c r="H12" s="7">
        <v>10</v>
      </c>
      <c r="I12" s="7">
        <f>PC[[#This Row],[-7]]+(PC[[#This Row],[2]]-PC[[#This Row],[-7]])/9*5</f>
        <v>10.777777777777779</v>
      </c>
      <c r="J12" s="7">
        <v>11.4</v>
      </c>
      <c r="K12" s="7">
        <v>12</v>
      </c>
      <c r="L12" s="7">
        <v>12</v>
      </c>
      <c r="M12" s="7">
        <v>12</v>
      </c>
      <c r="N12" s="24">
        <v>12</v>
      </c>
      <c r="O12" s="7">
        <f>PC[[#This Row],[E-15]]+(PC[[#This Row],[E-15]]-PC[[#This Row],[E-7]])/8*5</f>
        <v>3.5950000000000002</v>
      </c>
      <c r="P12" s="7">
        <v>3.62</v>
      </c>
      <c r="Q12" s="7">
        <v>3.66</v>
      </c>
      <c r="R12" s="7">
        <f>PC[[#This Row],[E-7]]-(PC[[#This Row],[E-7]]-PC[[#This Row],[E2]])/9*5</f>
        <v>3.4655555555555555</v>
      </c>
      <c r="S12" s="7">
        <v>3.31</v>
      </c>
      <c r="T12" s="7">
        <v>2.5299999999999998</v>
      </c>
      <c r="U12" s="7">
        <f>PC[[#This Row],[E7]]-(PC[[#This Row],[E7]]-PC[[#This Row],[E20]])/13*5</f>
        <v>2.195384615384615</v>
      </c>
      <c r="V12" s="7">
        <f>PC[[#This Row],[E7]]-(PC[[#This Row],[E7]]-PC[[#This Row],[E20]])/13*8</f>
        <v>1.9946153846153845</v>
      </c>
      <c r="W12" s="7">
        <v>1.66</v>
      </c>
      <c r="X12" s="42"/>
      <c r="Y12">
        <v>5</v>
      </c>
      <c r="Z12">
        <v>9</v>
      </c>
    </row>
    <row r="13" spans="1:26" ht="150" customHeight="1" x14ac:dyDescent="0.25">
      <c r="A13" s="7" t="s">
        <v>647</v>
      </c>
      <c r="B13" s="7" t="s">
        <v>233</v>
      </c>
      <c r="C13" s="7" t="s">
        <v>649</v>
      </c>
      <c r="D13" s="23">
        <v>1</v>
      </c>
      <c r="E13" s="7">
        <f>(44927)*(1-0.45)</f>
        <v>24709.850000000002</v>
      </c>
      <c r="F13" s="7">
        <v>9.1999999999999993</v>
      </c>
      <c r="G13" s="7">
        <v>10.3</v>
      </c>
      <c r="H13" s="7">
        <v>11.4</v>
      </c>
      <c r="I13" s="7">
        <f>PC[[#This Row],[-7]]+(PC[[#This Row],[2]]-PC[[#This Row],[-7]])/9*5</f>
        <v>12.28888888888889</v>
      </c>
      <c r="J13" s="7">
        <v>13</v>
      </c>
      <c r="K13" s="7">
        <v>16</v>
      </c>
      <c r="L13" s="7">
        <v>16</v>
      </c>
      <c r="M13" s="7">
        <v>16</v>
      </c>
      <c r="N13" s="24">
        <v>16</v>
      </c>
      <c r="O13" s="7">
        <f>PC[[#This Row],[E-15]]+(PC[[#This Row],[E-15]]-PC[[#This Row],[E-7]])/8*5</f>
        <v>4.3487499999999999</v>
      </c>
      <c r="P13" s="7">
        <v>4.38</v>
      </c>
      <c r="Q13" s="7">
        <v>4.43</v>
      </c>
      <c r="R13" s="7">
        <f>PC[[#This Row],[E-7]]-(PC[[#This Row],[E-7]]-PC[[#This Row],[E2]])/9*5</f>
        <v>4.1688888888888886</v>
      </c>
      <c r="S13" s="7">
        <v>3.96</v>
      </c>
      <c r="T13" s="7">
        <v>3.74</v>
      </c>
      <c r="U13" s="7">
        <f>PC[[#This Row],[E7]]-(PC[[#This Row],[E7]]-PC[[#This Row],[E20]])/13*5</f>
        <v>3.336153846153846</v>
      </c>
      <c r="V13" s="7">
        <f>PC[[#This Row],[E7]]-(PC[[#This Row],[E7]]-PC[[#This Row],[E20]])/13*8</f>
        <v>3.0938461538461537</v>
      </c>
      <c r="W13" s="7">
        <v>2.69</v>
      </c>
      <c r="X13" s="42"/>
      <c r="Y13">
        <v>5</v>
      </c>
      <c r="Z13">
        <v>6</v>
      </c>
    </row>
    <row r="14" spans="1:26" ht="150" customHeight="1" x14ac:dyDescent="0.25">
      <c r="A14" s="7" t="s">
        <v>646</v>
      </c>
      <c r="B14" s="7" t="s">
        <v>236</v>
      </c>
      <c r="C14" s="7" t="s">
        <v>258</v>
      </c>
      <c r="D14" s="23">
        <v>3</v>
      </c>
      <c r="E14" s="7">
        <f>(45508)*(1-0.45)</f>
        <v>25029.4</v>
      </c>
      <c r="F14" s="7">
        <v>9.1999999999999993</v>
      </c>
      <c r="G14" s="7">
        <v>10.3</v>
      </c>
      <c r="H14" s="7">
        <v>11.4</v>
      </c>
      <c r="I14" s="7">
        <f>PC[[#This Row],[-7]]+(PC[[#This Row],[2]]-PC[[#This Row],[-7]])/9*5</f>
        <v>12.28888888888889</v>
      </c>
      <c r="J14" s="7">
        <v>13</v>
      </c>
      <c r="K14" s="7">
        <v>16</v>
      </c>
      <c r="L14" s="7">
        <v>16</v>
      </c>
      <c r="M14" s="7">
        <v>16</v>
      </c>
      <c r="N14" s="24">
        <v>16</v>
      </c>
      <c r="O14" s="7">
        <f>PC[[#This Row],[E-15]]+(PC[[#This Row],[E-15]]-PC[[#This Row],[E-7]])/8*5</f>
        <v>4.3487499999999999</v>
      </c>
      <c r="P14" s="7">
        <v>4.38</v>
      </c>
      <c r="Q14" s="7">
        <v>4.43</v>
      </c>
      <c r="R14" s="7">
        <f>PC[[#This Row],[E-7]]-(PC[[#This Row],[E-7]]-PC[[#This Row],[E2]])/9*5</f>
        <v>4.1688888888888886</v>
      </c>
      <c r="S14" s="7">
        <v>3.96</v>
      </c>
      <c r="T14" s="7">
        <v>3.74</v>
      </c>
      <c r="U14" s="7">
        <f>PC[[#This Row],[E7]]-(PC[[#This Row],[E7]]-PC[[#This Row],[E20]])/13*5</f>
        <v>3.336153846153846</v>
      </c>
      <c r="V14" s="7">
        <f>PC[[#This Row],[E7]]-(PC[[#This Row],[E7]]-PC[[#This Row],[E20]])/13*8</f>
        <v>3.0938461538461537</v>
      </c>
      <c r="W14" s="7">
        <v>2.69</v>
      </c>
      <c r="X14" s="42"/>
      <c r="Y14">
        <v>5</v>
      </c>
      <c r="Z14">
        <v>9</v>
      </c>
    </row>
    <row r="15" spans="1:26" ht="150" customHeight="1" x14ac:dyDescent="0.25">
      <c r="A15" s="7" t="s">
        <v>401</v>
      </c>
      <c r="B15" s="7" t="s">
        <v>233</v>
      </c>
      <c r="C15" s="39" t="s">
        <v>234</v>
      </c>
      <c r="D15" s="23">
        <v>1</v>
      </c>
      <c r="E15" s="7">
        <f>(41604)*(1-0.45)</f>
        <v>22882.2</v>
      </c>
      <c r="F15" s="7">
        <v>9</v>
      </c>
      <c r="G15" s="7">
        <v>9</v>
      </c>
      <c r="H15" s="7">
        <v>9</v>
      </c>
      <c r="I15" s="7">
        <v>9</v>
      </c>
      <c r="J15" s="7">
        <v>9</v>
      </c>
      <c r="K15" s="7">
        <v>9</v>
      </c>
      <c r="L15" s="7">
        <v>9</v>
      </c>
      <c r="M15" s="7">
        <v>9</v>
      </c>
      <c r="N15" s="24">
        <v>13</v>
      </c>
      <c r="O15" s="7">
        <v>4</v>
      </c>
      <c r="P15" s="7">
        <v>3.51</v>
      </c>
      <c r="Q15" s="7">
        <v>3.16</v>
      </c>
      <c r="R15" s="7">
        <f t="shared" si="0"/>
        <v>3.0877777777777777</v>
      </c>
      <c r="S15" s="7">
        <v>2.5099999999999998</v>
      </c>
      <c r="T15" s="7">
        <v>1.86</v>
      </c>
      <c r="U15" s="7">
        <f t="shared" ref="U15:U19" si="1">T15+(T15-W15)/(T$3-W$3)</f>
        <v>1.8484615384615386</v>
      </c>
      <c r="V15" s="7">
        <f t="shared" ref="V15:V19" si="2">U15+(U15-W15)/(U$3-W$3)</f>
        <v>1.8311538461538464</v>
      </c>
      <c r="W15" s="7">
        <v>1.71</v>
      </c>
      <c r="Y15">
        <v>5</v>
      </c>
      <c r="Z15">
        <v>3</v>
      </c>
    </row>
    <row r="16" spans="1:26" ht="150" customHeight="1" x14ac:dyDescent="0.25">
      <c r="A16" s="25" t="s">
        <v>235</v>
      </c>
      <c r="B16" s="7" t="s">
        <v>236</v>
      </c>
      <c r="C16" s="26" t="s">
        <v>237</v>
      </c>
      <c r="D16" s="7">
        <v>3</v>
      </c>
      <c r="E16" s="7">
        <f>(40444)*(1-0.45)</f>
        <v>22244.2</v>
      </c>
      <c r="F16" s="7">
        <v>5.9</v>
      </c>
      <c r="G16" s="7">
        <v>5.9</v>
      </c>
      <c r="H16" s="7">
        <v>5.9</v>
      </c>
      <c r="I16" s="7">
        <v>5.9</v>
      </c>
      <c r="J16" s="7">
        <v>6.7</v>
      </c>
      <c r="K16" s="7">
        <v>9</v>
      </c>
      <c r="L16" s="7">
        <v>9</v>
      </c>
      <c r="M16" s="7">
        <v>9</v>
      </c>
      <c r="N16" s="7">
        <v>9</v>
      </c>
      <c r="O16" s="118">
        <f>PC[[#This Row],[E-15]]+(PC[[#This Row],[E-15]]-PC[[#This Row],[E-7]])/8*5</f>
        <v>2.8600000000000003</v>
      </c>
      <c r="P16" s="7">
        <v>2.66</v>
      </c>
      <c r="Q16" s="7">
        <v>2.34</v>
      </c>
      <c r="R16" s="7">
        <f t="shared" si="0"/>
        <v>2.3177777777777777</v>
      </c>
      <c r="S16" s="7">
        <v>2.14</v>
      </c>
      <c r="T16" s="7">
        <v>2.1800000000000002</v>
      </c>
      <c r="U16" s="7">
        <f t="shared" si="1"/>
        <v>2.1092307692307695</v>
      </c>
      <c r="V16" s="7">
        <f t="shared" si="2"/>
        <v>2.0030769230769234</v>
      </c>
      <c r="W16" s="7">
        <v>1.26</v>
      </c>
      <c r="Y16">
        <v>5</v>
      </c>
      <c r="Z16">
        <v>3</v>
      </c>
    </row>
    <row r="17" spans="1:27" ht="150" customHeight="1" x14ac:dyDescent="0.25">
      <c r="A17" s="7" t="s">
        <v>238</v>
      </c>
      <c r="B17" s="27" t="s">
        <v>233</v>
      </c>
      <c r="C17" s="27" t="s">
        <v>239</v>
      </c>
      <c r="D17" s="23">
        <v>1</v>
      </c>
      <c r="E17" s="7">
        <f>(44467)*(1-0.45)</f>
        <v>24456.850000000002</v>
      </c>
      <c r="F17" s="7">
        <v>12</v>
      </c>
      <c r="G17" s="7">
        <v>12</v>
      </c>
      <c r="H17" s="7">
        <v>12</v>
      </c>
      <c r="I17" s="7">
        <v>12</v>
      </c>
      <c r="J17" s="7">
        <v>12</v>
      </c>
      <c r="K17" s="7">
        <v>12</v>
      </c>
      <c r="L17" s="7">
        <v>12</v>
      </c>
      <c r="M17" s="7">
        <v>12</v>
      </c>
      <c r="N17" s="24">
        <v>13.6</v>
      </c>
      <c r="O17" s="7">
        <v>5.5</v>
      </c>
      <c r="P17" s="7">
        <v>4.96</v>
      </c>
      <c r="Q17" s="7">
        <v>4.41</v>
      </c>
      <c r="R17" s="7">
        <f t="shared" si="0"/>
        <v>4.3077777777777779</v>
      </c>
      <c r="S17" s="7">
        <v>3.49</v>
      </c>
      <c r="T17" s="7">
        <v>2.5299999999999998</v>
      </c>
      <c r="U17" s="7">
        <f t="shared" si="1"/>
        <v>2.4707692307692306</v>
      </c>
      <c r="V17" s="7">
        <f t="shared" si="2"/>
        <v>2.3819230769230768</v>
      </c>
      <c r="W17" s="7">
        <v>1.76</v>
      </c>
      <c r="Y17">
        <v>5</v>
      </c>
      <c r="Z17">
        <v>9</v>
      </c>
    </row>
    <row r="18" spans="1:27" ht="150" customHeight="1" x14ac:dyDescent="0.25">
      <c r="A18" s="7" t="s">
        <v>240</v>
      </c>
      <c r="B18" s="28" t="s">
        <v>236</v>
      </c>
      <c r="C18" s="28" t="s">
        <v>241</v>
      </c>
      <c r="D18" s="23">
        <v>3</v>
      </c>
      <c r="E18" s="7">
        <f>(46033)*(1-0.45)</f>
        <v>25318.15</v>
      </c>
      <c r="F18" s="7">
        <v>12</v>
      </c>
      <c r="G18" s="7">
        <v>12</v>
      </c>
      <c r="H18" s="7">
        <v>12</v>
      </c>
      <c r="I18" s="7">
        <v>12</v>
      </c>
      <c r="J18" s="7">
        <v>12</v>
      </c>
      <c r="K18" s="7">
        <v>12</v>
      </c>
      <c r="L18" s="7">
        <v>12</v>
      </c>
      <c r="M18" s="7">
        <v>12</v>
      </c>
      <c r="N18" s="24">
        <v>13.6</v>
      </c>
      <c r="O18" s="7">
        <v>5.5</v>
      </c>
      <c r="P18" s="7">
        <v>4.96</v>
      </c>
      <c r="Q18" s="7">
        <v>4.41</v>
      </c>
      <c r="R18" s="7">
        <f t="shared" si="0"/>
        <v>4.3077777777777779</v>
      </c>
      <c r="S18" s="7">
        <v>3.49</v>
      </c>
      <c r="T18" s="7">
        <v>2.5299999999999998</v>
      </c>
      <c r="U18" s="7">
        <f t="shared" si="1"/>
        <v>2.4707692307692306</v>
      </c>
      <c r="V18" s="7">
        <f t="shared" si="2"/>
        <v>2.3819230769230768</v>
      </c>
      <c r="W18" s="7">
        <v>1.76</v>
      </c>
      <c r="Y18">
        <v>5</v>
      </c>
      <c r="Z18">
        <v>9</v>
      </c>
    </row>
    <row r="19" spans="1:27" ht="150" customHeight="1" x14ac:dyDescent="0.25">
      <c r="A19" s="7" t="s">
        <v>76</v>
      </c>
      <c r="B19" s="29" t="s">
        <v>236</v>
      </c>
      <c r="C19" s="29" t="s">
        <v>242</v>
      </c>
      <c r="D19" s="23">
        <v>3</v>
      </c>
      <c r="E19" s="7">
        <f>(48825)*(1-0.45)</f>
        <v>26853.750000000004</v>
      </c>
      <c r="F19" s="7">
        <v>16</v>
      </c>
      <c r="G19" s="7">
        <v>16</v>
      </c>
      <c r="H19" s="7">
        <v>16</v>
      </c>
      <c r="I19" s="7">
        <v>16</v>
      </c>
      <c r="J19" s="7">
        <v>16</v>
      </c>
      <c r="K19" s="7">
        <v>16</v>
      </c>
      <c r="L19" s="7">
        <v>16</v>
      </c>
      <c r="M19" s="7">
        <v>16</v>
      </c>
      <c r="N19" s="24">
        <v>16</v>
      </c>
      <c r="O19" s="7">
        <v>7.3</v>
      </c>
      <c r="P19" s="7">
        <v>6.89</v>
      </c>
      <c r="Q19" s="7">
        <v>6.42</v>
      </c>
      <c r="R19" s="7">
        <f t="shared" si="0"/>
        <v>6.2855555555555558</v>
      </c>
      <c r="S19" s="7">
        <v>5.21</v>
      </c>
      <c r="T19" s="7">
        <v>3.74</v>
      </c>
      <c r="U19" s="7">
        <f t="shared" si="1"/>
        <v>3.6507692307692308</v>
      </c>
      <c r="V19" s="7">
        <f t="shared" si="2"/>
        <v>3.516923076923077</v>
      </c>
      <c r="W19" s="7">
        <v>2.58</v>
      </c>
      <c r="Y19">
        <v>5</v>
      </c>
      <c r="Z19">
        <v>9</v>
      </c>
    </row>
    <row r="20" spans="1:27" ht="150" customHeight="1" x14ac:dyDescent="0.25">
      <c r="A20" s="7" t="s">
        <v>203</v>
      </c>
      <c r="B20" s="30" t="s">
        <v>243</v>
      </c>
      <c r="C20" s="30" t="s">
        <v>234</v>
      </c>
      <c r="D20" s="23">
        <v>1</v>
      </c>
      <c r="E20" s="7">
        <f>(31139)*(1-0.45)</f>
        <v>17126.45</v>
      </c>
      <c r="F20" s="7">
        <v>9</v>
      </c>
      <c r="G20" s="7">
        <v>9</v>
      </c>
      <c r="H20" s="7">
        <v>9</v>
      </c>
      <c r="I20" s="7">
        <v>9</v>
      </c>
      <c r="J20" s="7">
        <v>9</v>
      </c>
      <c r="K20" s="7">
        <v>9</v>
      </c>
      <c r="L20" s="7">
        <v>10.278</v>
      </c>
      <c r="M20" s="7">
        <v>11.044</v>
      </c>
      <c r="N20" s="24">
        <v>12.32</v>
      </c>
      <c r="O20" s="7">
        <v>4.5</v>
      </c>
      <c r="P20" s="7">
        <v>3.51</v>
      </c>
      <c r="Q20" s="7">
        <v>3.16</v>
      </c>
      <c r="R20" s="7">
        <v>2.798888888888889</v>
      </c>
      <c r="S20" s="7">
        <v>2.5099999999999998</v>
      </c>
      <c r="T20" s="7">
        <v>1.86</v>
      </c>
      <c r="U20" s="7">
        <v>1.81</v>
      </c>
      <c r="V20" s="7">
        <v>1.76</v>
      </c>
      <c r="W20" s="7">
        <v>1.71</v>
      </c>
      <c r="Y20">
        <v>5</v>
      </c>
      <c r="Z20">
        <v>3</v>
      </c>
    </row>
    <row r="21" spans="1:27" ht="150" customHeight="1" x14ac:dyDescent="0.25">
      <c r="A21" s="7" t="s">
        <v>244</v>
      </c>
      <c r="B21" s="7" t="s">
        <v>245</v>
      </c>
      <c r="C21" s="7" t="s">
        <v>246</v>
      </c>
      <c r="D21" s="23">
        <v>3</v>
      </c>
      <c r="E21" s="7">
        <f>(34456)*(1-0.45)</f>
        <v>18950.800000000003</v>
      </c>
      <c r="F21" s="7">
        <v>9</v>
      </c>
      <c r="G21" s="7">
        <v>9</v>
      </c>
      <c r="H21" s="7">
        <v>9</v>
      </c>
      <c r="I21" s="7">
        <v>9</v>
      </c>
      <c r="J21" s="7">
        <v>9</v>
      </c>
      <c r="K21" s="7">
        <v>9</v>
      </c>
      <c r="L21" s="7">
        <v>10.278</v>
      </c>
      <c r="M21" s="7">
        <v>11.044</v>
      </c>
      <c r="N21" s="24">
        <v>12.32</v>
      </c>
      <c r="O21" s="7">
        <v>4.5</v>
      </c>
      <c r="P21" s="7">
        <v>3.51</v>
      </c>
      <c r="Q21" s="7">
        <v>3.16</v>
      </c>
      <c r="R21" s="7">
        <v>2.798888888888889</v>
      </c>
      <c r="S21" s="7">
        <v>2.5099999999999998</v>
      </c>
      <c r="T21" s="7">
        <v>1.86</v>
      </c>
      <c r="U21" s="7">
        <v>1.81</v>
      </c>
      <c r="V21" s="7">
        <v>1.76</v>
      </c>
      <c r="W21" s="7">
        <v>1.71</v>
      </c>
      <c r="Y21">
        <v>5</v>
      </c>
      <c r="Z21">
        <v>3</v>
      </c>
    </row>
    <row r="22" spans="1:27" ht="150" customHeight="1" x14ac:dyDescent="0.25">
      <c r="A22" s="7" t="s">
        <v>247</v>
      </c>
      <c r="B22" s="7" t="s">
        <v>248</v>
      </c>
      <c r="C22" s="7" t="s">
        <v>241</v>
      </c>
      <c r="D22" s="23">
        <v>3</v>
      </c>
      <c r="E22" s="7">
        <f>(39439)*(1-0.45)</f>
        <v>21691.45</v>
      </c>
      <c r="F22" s="7">
        <v>12</v>
      </c>
      <c r="G22" s="7">
        <v>12</v>
      </c>
      <c r="H22" s="7">
        <v>12</v>
      </c>
      <c r="I22" s="7">
        <v>12</v>
      </c>
      <c r="J22" s="7">
        <v>12</v>
      </c>
      <c r="K22" s="7">
        <v>12</v>
      </c>
      <c r="L22" s="7">
        <v>10.278</v>
      </c>
      <c r="M22" s="7">
        <v>11.044</v>
      </c>
      <c r="N22" s="24">
        <v>12.32</v>
      </c>
      <c r="O22" s="7">
        <v>6.3157894736842106</v>
      </c>
      <c r="P22" s="7">
        <v>4.96</v>
      </c>
      <c r="Q22" s="7">
        <v>4.41</v>
      </c>
      <c r="R22" s="7">
        <v>3.8988888888888891</v>
      </c>
      <c r="S22" s="7">
        <v>3.49</v>
      </c>
      <c r="T22" s="7">
        <v>2.5299999999999998</v>
      </c>
      <c r="U22" s="7">
        <v>2.2338461538461538</v>
      </c>
      <c r="V22" s="7">
        <v>2.0561538461538462</v>
      </c>
      <c r="W22" s="7">
        <v>1.76</v>
      </c>
      <c r="Y22">
        <v>5</v>
      </c>
      <c r="Z22">
        <v>9</v>
      </c>
    </row>
    <row r="23" spans="1:27" ht="150" customHeight="1" x14ac:dyDescent="0.25">
      <c r="A23" s="7" t="s">
        <v>190</v>
      </c>
      <c r="B23" s="7" t="s">
        <v>249</v>
      </c>
      <c r="C23" s="7" t="s">
        <v>242</v>
      </c>
      <c r="D23" s="23">
        <v>3</v>
      </c>
      <c r="E23" s="7">
        <f>(44305)*(1-0.45)</f>
        <v>24367.750000000004</v>
      </c>
      <c r="F23" s="7">
        <v>16</v>
      </c>
      <c r="G23" s="7">
        <v>16</v>
      </c>
      <c r="H23" s="7">
        <v>16</v>
      </c>
      <c r="I23" s="7">
        <v>16</v>
      </c>
      <c r="J23" s="7">
        <v>16</v>
      </c>
      <c r="K23" s="7">
        <v>16</v>
      </c>
      <c r="L23" s="7">
        <v>16</v>
      </c>
      <c r="M23" s="7">
        <v>16</v>
      </c>
      <c r="N23" s="24">
        <v>16</v>
      </c>
      <c r="O23" s="7">
        <v>8.8888888888888893</v>
      </c>
      <c r="P23" s="7">
        <v>6.89</v>
      </c>
      <c r="Q23" s="7">
        <v>6.42</v>
      </c>
      <c r="R23" s="7">
        <v>5.7477777777777774</v>
      </c>
      <c r="S23" s="7">
        <v>5.21</v>
      </c>
      <c r="T23" s="7">
        <v>3.18</v>
      </c>
      <c r="U23" s="7">
        <v>2.9492307692307693</v>
      </c>
      <c r="V23" s="7">
        <v>2.8107692307692309</v>
      </c>
      <c r="W23" s="7">
        <v>2.58</v>
      </c>
      <c r="Y23">
        <v>5</v>
      </c>
      <c r="Z23">
        <v>9</v>
      </c>
    </row>
    <row r="24" spans="1:27" ht="150" customHeight="1" x14ac:dyDescent="0.25">
      <c r="A24" s="7" t="s">
        <v>204</v>
      </c>
      <c r="B24" s="7" t="s">
        <v>250</v>
      </c>
      <c r="C24" s="7" t="s">
        <v>251</v>
      </c>
      <c r="D24" s="7">
        <v>1</v>
      </c>
      <c r="E24" s="7">
        <f>(19526)*(1-0.45)</f>
        <v>10739.300000000001</v>
      </c>
      <c r="F24" s="7">
        <v>2.52</v>
      </c>
      <c r="G24" s="7">
        <v>3.2</v>
      </c>
      <c r="H24" s="7">
        <v>3.2</v>
      </c>
      <c r="I24" s="7">
        <v>3.2</v>
      </c>
      <c r="J24" s="7">
        <v>3.2</v>
      </c>
      <c r="K24" s="7">
        <v>3.2</v>
      </c>
      <c r="L24" s="7">
        <v>3.2</v>
      </c>
      <c r="M24" s="7">
        <v>3.2</v>
      </c>
      <c r="N24" s="7">
        <v>3.2</v>
      </c>
      <c r="O24" s="118">
        <v>1.31</v>
      </c>
      <c r="P24" s="7">
        <v>1.39</v>
      </c>
      <c r="Q24" s="7">
        <v>1.19</v>
      </c>
      <c r="R24" s="7">
        <f>PC[[#This Row],[E-7]]-(PC[[#This Row],[E-7]]-PC[[#This Row],[E2]])/9*5</f>
        <v>1.028888888888889</v>
      </c>
      <c r="S24" s="7">
        <v>0.9</v>
      </c>
      <c r="T24" s="7">
        <v>0.64</v>
      </c>
      <c r="U24" s="7">
        <f>PC[[#This Row],[E7]]-(PC[[#This Row],[E7]]-PC[[#This Row],[E20]])/13*5</f>
        <v>0.57076923076923081</v>
      </c>
      <c r="V24" s="7">
        <v>0.55000000000000004</v>
      </c>
      <c r="W24" s="7">
        <v>0.46</v>
      </c>
      <c r="Y24">
        <v>5</v>
      </c>
      <c r="Z24">
        <v>3</v>
      </c>
    </row>
    <row r="25" spans="1:27" ht="150" customHeight="1" x14ac:dyDescent="0.25">
      <c r="A25" s="7" t="s">
        <v>197</v>
      </c>
      <c r="B25" s="7" t="s">
        <v>250</v>
      </c>
      <c r="C25" s="7" t="s">
        <v>228</v>
      </c>
      <c r="D25" s="7">
        <v>1</v>
      </c>
      <c r="E25" s="7">
        <f>(20417)*(1-0.45)</f>
        <v>11229.35</v>
      </c>
      <c r="F25" s="7">
        <v>3.51</v>
      </c>
      <c r="G25" s="7">
        <v>4.2</v>
      </c>
      <c r="H25" s="7">
        <v>4.2</v>
      </c>
      <c r="I25" s="7">
        <v>4.2</v>
      </c>
      <c r="J25" s="7">
        <v>4.2</v>
      </c>
      <c r="K25" s="7">
        <v>5</v>
      </c>
      <c r="L25" s="7">
        <v>5</v>
      </c>
      <c r="M25" s="7">
        <v>5</v>
      </c>
      <c r="N25" s="24">
        <v>5</v>
      </c>
      <c r="O25" s="7">
        <v>1.81</v>
      </c>
      <c r="P25" s="7">
        <v>1.93</v>
      </c>
      <c r="Q25" s="7">
        <v>1.62</v>
      </c>
      <c r="R25" s="7">
        <f>Q25+(Q25-S25)/(Q$3-S$3)</f>
        <v>1.5866666666666667</v>
      </c>
      <c r="S25" s="7">
        <v>1.32</v>
      </c>
      <c r="T25" s="7">
        <v>1</v>
      </c>
      <c r="U25" s="7">
        <f>T25+(T25-W25)/(T$3-W$3)</f>
        <v>0.97846153846153849</v>
      </c>
      <c r="V25" s="7">
        <f>U25+(U25-W25)/(U$3-W$3)</f>
        <v>0.94615384615384612</v>
      </c>
      <c r="W25" s="7">
        <v>0.72</v>
      </c>
      <c r="Y25">
        <v>5</v>
      </c>
      <c r="Z25">
        <v>3</v>
      </c>
    </row>
    <row r="26" spans="1:27" ht="150" customHeight="1" x14ac:dyDescent="0.25">
      <c r="A26" s="7" t="s">
        <v>205</v>
      </c>
      <c r="B26" s="7" t="s">
        <v>252</v>
      </c>
      <c r="C26" s="7" t="s">
        <v>230</v>
      </c>
      <c r="D26" s="23">
        <v>1</v>
      </c>
      <c r="E26" s="7">
        <f>(23452)*(1-0.45)</f>
        <v>12898.6</v>
      </c>
      <c r="F26" s="7">
        <v>3.98</v>
      </c>
      <c r="G26" s="7">
        <v>4.75</v>
      </c>
      <c r="H26" s="7">
        <v>5.6</v>
      </c>
      <c r="I26" s="7">
        <v>6.29</v>
      </c>
      <c r="J26" s="7">
        <v>6.85</v>
      </c>
      <c r="K26" s="7">
        <v>7</v>
      </c>
      <c r="L26" s="7">
        <v>7</v>
      </c>
      <c r="M26" s="7">
        <v>7</v>
      </c>
      <c r="N26" s="24">
        <v>7</v>
      </c>
      <c r="O26" s="7">
        <v>1.88</v>
      </c>
      <c r="P26" s="7">
        <v>2</v>
      </c>
      <c r="Q26" s="7">
        <v>1.95</v>
      </c>
      <c r="R26" s="7">
        <f>Q26+(Q26-S26)/(Q$3-S$3)</f>
        <v>1.9566666666666666</v>
      </c>
      <c r="S26" s="7">
        <v>2.0099999999999998</v>
      </c>
      <c r="T26" s="7">
        <v>1.47</v>
      </c>
      <c r="U26" s="7">
        <f>T26+(T26-W26)/(T$3-W$3)</f>
        <v>1.4261538461538461</v>
      </c>
      <c r="V26" s="7">
        <f>U26+(U26-W26)/(U$3-W$3)</f>
        <v>1.3603846153846153</v>
      </c>
      <c r="W26" s="7">
        <v>0.9</v>
      </c>
      <c r="X26">
        <v>23</v>
      </c>
      <c r="Y26">
        <v>5</v>
      </c>
      <c r="Z26">
        <v>3</v>
      </c>
    </row>
    <row r="27" spans="1:27" ht="150" customHeight="1" x14ac:dyDescent="0.25">
      <c r="A27" s="7" t="s">
        <v>206</v>
      </c>
      <c r="B27" s="7" t="s">
        <v>252</v>
      </c>
      <c r="C27" s="7" t="s">
        <v>527</v>
      </c>
      <c r="D27" s="7">
        <v>1</v>
      </c>
      <c r="E27" s="7">
        <f>(25634)*(1-0.45)</f>
        <v>14098.7</v>
      </c>
      <c r="F27" s="25">
        <v>6.2</v>
      </c>
      <c r="G27" s="25">
        <v>7.4</v>
      </c>
      <c r="H27" s="25">
        <v>6.12</v>
      </c>
      <c r="I27" s="25">
        <v>6.61</v>
      </c>
      <c r="J27" s="25">
        <v>7</v>
      </c>
      <c r="K27" s="25">
        <v>9</v>
      </c>
      <c r="L27" s="25">
        <v>9</v>
      </c>
      <c r="M27" s="25">
        <v>9</v>
      </c>
      <c r="N27" s="54">
        <v>9</v>
      </c>
      <c r="O27" s="25">
        <v>3</v>
      </c>
      <c r="P27" s="25">
        <v>3.2</v>
      </c>
      <c r="Q27" s="7">
        <v>2.2000000000000002</v>
      </c>
      <c r="R27" s="7">
        <f t="shared" ref="R27" si="3">Q27+(Q27-S27)/(Q$3-S$3)</f>
        <v>2.1844444444444444</v>
      </c>
      <c r="S27" s="7">
        <v>2.06</v>
      </c>
      <c r="T27" s="7">
        <v>2.0099999999999998</v>
      </c>
      <c r="U27" s="7">
        <f>T27+(T27-W27)/(T$3-W$3)</f>
        <v>1.9546153846153844</v>
      </c>
      <c r="V27" s="7">
        <f>U27+(U27-W27)/(U$3-W$3)</f>
        <v>1.8715384615384614</v>
      </c>
      <c r="W27" s="7">
        <v>1.29</v>
      </c>
      <c r="Y27">
        <v>5</v>
      </c>
      <c r="Z27">
        <v>3</v>
      </c>
    </row>
    <row r="28" spans="1:27" ht="150" customHeight="1" x14ac:dyDescent="0.25">
      <c r="A28" s="7" t="s">
        <v>253</v>
      </c>
      <c r="B28" s="114" t="s">
        <v>254</v>
      </c>
      <c r="C28" s="114" t="s">
        <v>237</v>
      </c>
      <c r="D28" s="7">
        <v>3</v>
      </c>
      <c r="E28" s="7">
        <f>(28770)*(1-0.45)</f>
        <v>15823.500000000002</v>
      </c>
      <c r="F28" s="7">
        <v>7.5</v>
      </c>
      <c r="G28" s="7">
        <v>8.3000000000000007</v>
      </c>
      <c r="H28" s="7">
        <v>9</v>
      </c>
      <c r="I28" s="7">
        <v>9</v>
      </c>
      <c r="J28" s="7">
        <v>9</v>
      </c>
      <c r="K28" s="7">
        <v>9</v>
      </c>
      <c r="L28" s="7">
        <v>9</v>
      </c>
      <c r="M28" s="7">
        <v>9</v>
      </c>
      <c r="N28" s="24">
        <v>9</v>
      </c>
      <c r="O28" s="7">
        <v>3.4</v>
      </c>
      <c r="P28" s="7">
        <v>3.21</v>
      </c>
      <c r="Q28" s="7">
        <v>3.16</v>
      </c>
      <c r="R28" s="7">
        <f>PC[[#This Row],[E-7]]-(PC[[#This Row],[E-7]]-PC[[#This Row],[E2]])/9*5</f>
        <v>2.798888888888889</v>
      </c>
      <c r="S28" s="7">
        <v>2.5099999999999998</v>
      </c>
      <c r="T28" s="7">
        <v>1.86</v>
      </c>
      <c r="U28" s="7">
        <f>PC[[#This Row],[E7]]-(PC[[#This Row],[E7]]-PC[[#This Row],[E20]])/13*5</f>
        <v>1.6215384615384616</v>
      </c>
      <c r="V28" s="7">
        <f>PC[[#This Row],[E7]]-(PC[[#This Row],[E7]]-PC[[#This Row],[E20]])/13*8</f>
        <v>1.4784615384615385</v>
      </c>
      <c r="W28" s="7">
        <v>1.24</v>
      </c>
      <c r="Y28">
        <v>5</v>
      </c>
      <c r="Z28">
        <v>3</v>
      </c>
    </row>
    <row r="29" spans="1:27" ht="150" customHeight="1" x14ac:dyDescent="0.25">
      <c r="A29" s="7" t="s">
        <v>652</v>
      </c>
      <c r="B29" s="114" t="s">
        <v>651</v>
      </c>
      <c r="C29" s="114" t="s">
        <v>650</v>
      </c>
      <c r="D29" s="7">
        <v>1</v>
      </c>
      <c r="E29" s="7">
        <f>(31519)*(1-0.45)</f>
        <v>17335.45</v>
      </c>
      <c r="F29" s="7">
        <v>7.9</v>
      </c>
      <c r="G29" s="7">
        <v>8.9</v>
      </c>
      <c r="H29" s="7">
        <v>10</v>
      </c>
      <c r="I29" s="7">
        <f>PC[[#This Row],[-7]]+(PC[[#This Row],[2]]-PC[[#This Row],[-7]])/9*5</f>
        <v>10.777777777777779</v>
      </c>
      <c r="J29" s="7">
        <v>11.4</v>
      </c>
      <c r="K29" s="7">
        <v>12</v>
      </c>
      <c r="L29" s="7">
        <v>12</v>
      </c>
      <c r="M29" s="7">
        <v>12</v>
      </c>
      <c r="N29" s="24">
        <v>12</v>
      </c>
      <c r="O29" s="7">
        <f>PC[[#This Row],[E-15]]+(PC[[#This Row],[E-15]]-PC[[#This Row],[E-7]])/8*5</f>
        <v>3.5950000000000002</v>
      </c>
      <c r="P29" s="7">
        <v>3.62</v>
      </c>
      <c r="Q29" s="7">
        <v>3.66</v>
      </c>
      <c r="R29" s="7">
        <f>PC[[#This Row],[E-7]]-(PC[[#This Row],[E-7]]-PC[[#This Row],[E2]])/9*5</f>
        <v>3.4655555555555555</v>
      </c>
      <c r="S29" s="7">
        <v>3.31</v>
      </c>
      <c r="T29" s="7">
        <v>2.5299999999999998</v>
      </c>
      <c r="U29" s="7">
        <f>PC[[#This Row],[E7]]-(PC[[#This Row],[E7]]-PC[[#This Row],[E20]])/13*5</f>
        <v>2.195384615384615</v>
      </c>
      <c r="V29" s="7">
        <f>PC[[#This Row],[E7]]-(PC[[#This Row],[E7]]-PC[[#This Row],[E20]])/13*8</f>
        <v>1.9946153846153845</v>
      </c>
      <c r="W29" s="7">
        <v>1.66</v>
      </c>
      <c r="Y29">
        <v>5</v>
      </c>
      <c r="Z29">
        <v>6</v>
      </c>
    </row>
    <row r="30" spans="1:27" ht="150" customHeight="1" x14ac:dyDescent="0.25">
      <c r="A30" s="7" t="s">
        <v>202</v>
      </c>
      <c r="B30" s="114" t="s">
        <v>255</v>
      </c>
      <c r="C30" s="114" t="s">
        <v>256</v>
      </c>
      <c r="D30" s="7">
        <v>3</v>
      </c>
      <c r="E30" s="7">
        <f>(32822)*(1-0.45)</f>
        <v>18052.100000000002</v>
      </c>
      <c r="F30" s="7">
        <v>7.9</v>
      </c>
      <c r="G30" s="7">
        <v>8.9</v>
      </c>
      <c r="H30" s="7">
        <v>10</v>
      </c>
      <c r="I30" s="7">
        <f>PC[[#This Row],[-7]]+(PC[[#This Row],[2]]-PC[[#This Row],[-7]])/9*5</f>
        <v>10.777777777777779</v>
      </c>
      <c r="J30" s="7">
        <v>11.4</v>
      </c>
      <c r="K30" s="7">
        <v>12</v>
      </c>
      <c r="L30" s="7">
        <v>12</v>
      </c>
      <c r="M30" s="7">
        <v>12</v>
      </c>
      <c r="N30" s="24">
        <v>12</v>
      </c>
      <c r="O30" s="7">
        <f>PC[[#This Row],[E-15]]+(PC[[#This Row],[E-15]]-PC[[#This Row],[E-7]])/8*5</f>
        <v>3.5950000000000002</v>
      </c>
      <c r="P30" s="7">
        <v>3.62</v>
      </c>
      <c r="Q30" s="7">
        <v>3.66</v>
      </c>
      <c r="R30" s="7">
        <f>PC[[#This Row],[E-7]]-(PC[[#This Row],[E-7]]-PC[[#This Row],[E2]])/9*5</f>
        <v>3.4655555555555555</v>
      </c>
      <c r="S30" s="7">
        <v>3.31</v>
      </c>
      <c r="T30" s="7">
        <v>2.5299999999999998</v>
      </c>
      <c r="U30" s="7">
        <f>PC[[#This Row],[E7]]-(PC[[#This Row],[E7]]-PC[[#This Row],[E20]])/13*5</f>
        <v>2.195384615384615</v>
      </c>
      <c r="V30" s="7">
        <f>PC[[#This Row],[E7]]-(PC[[#This Row],[E7]]-PC[[#This Row],[E20]])/13*8</f>
        <v>1.9946153846153845</v>
      </c>
      <c r="W30" s="7">
        <v>1.66</v>
      </c>
      <c r="Y30">
        <v>5</v>
      </c>
      <c r="Z30">
        <v>9</v>
      </c>
    </row>
    <row r="31" spans="1:27" ht="150" customHeight="1" x14ac:dyDescent="0.25">
      <c r="A31" s="7" t="s">
        <v>653</v>
      </c>
      <c r="B31" s="115" t="s">
        <v>654</v>
      </c>
      <c r="C31" s="115" t="s">
        <v>649</v>
      </c>
      <c r="D31" s="7">
        <v>1</v>
      </c>
      <c r="E31" s="7">
        <f>(37731)*(1-0.45)</f>
        <v>20752.050000000003</v>
      </c>
      <c r="F31" s="7">
        <v>9.1999999999999993</v>
      </c>
      <c r="G31" s="7">
        <v>10.3</v>
      </c>
      <c r="H31" s="7">
        <v>11.4</v>
      </c>
      <c r="I31" s="7">
        <f>PC[[#This Row],[-7]]+(PC[[#This Row],[2]]-PC[[#This Row],[-7]])/9*5</f>
        <v>12.28888888888889</v>
      </c>
      <c r="J31" s="7">
        <v>13</v>
      </c>
      <c r="K31" s="7">
        <v>16</v>
      </c>
      <c r="L31" s="7">
        <v>16</v>
      </c>
      <c r="M31" s="7">
        <v>16</v>
      </c>
      <c r="N31" s="24">
        <v>16</v>
      </c>
      <c r="O31" s="7">
        <f>PC[[#This Row],[E-15]]+(PC[[#This Row],[E-15]]-PC[[#This Row],[E-7]])/8*5</f>
        <v>4.3487499999999999</v>
      </c>
      <c r="P31" s="7">
        <v>4.38</v>
      </c>
      <c r="Q31" s="7">
        <v>4.43</v>
      </c>
      <c r="R31" s="7">
        <f>PC[[#This Row],[E-7]]-(PC[[#This Row],[E-7]]-PC[[#This Row],[E2]])/9*5</f>
        <v>4.1688888888888886</v>
      </c>
      <c r="S31" s="7">
        <v>3.96</v>
      </c>
      <c r="T31" s="7">
        <v>3.74</v>
      </c>
      <c r="U31" s="7">
        <f>PC[[#This Row],[E7]]-(PC[[#This Row],[E7]]-PC[[#This Row],[E20]])/13*5</f>
        <v>3.336153846153846</v>
      </c>
      <c r="V31" s="7">
        <f>PC[[#This Row],[E7]]-(PC[[#This Row],[E7]]-PC[[#This Row],[E20]])/13*8</f>
        <v>3.0938461538461537</v>
      </c>
      <c r="W31" s="7">
        <v>2.69</v>
      </c>
      <c r="Y31">
        <v>5</v>
      </c>
      <c r="Z31">
        <v>6</v>
      </c>
    </row>
    <row r="32" spans="1:27" ht="150" customHeight="1" x14ac:dyDescent="0.25">
      <c r="A32" s="7" t="s">
        <v>499</v>
      </c>
      <c r="B32" s="115" t="s">
        <v>257</v>
      </c>
      <c r="C32" s="115" t="s">
        <v>258</v>
      </c>
      <c r="D32" s="7">
        <v>3</v>
      </c>
      <c r="E32" s="7">
        <f>(39374)*(1-0.45)</f>
        <v>21655.7</v>
      </c>
      <c r="F32" s="7">
        <v>9.1999999999999993</v>
      </c>
      <c r="G32" s="7">
        <v>10.3</v>
      </c>
      <c r="H32" s="7">
        <v>11.4</v>
      </c>
      <c r="I32" s="7">
        <f>PC[[#This Row],[-7]]+(PC[[#This Row],[2]]-PC[[#This Row],[-7]])/9*5</f>
        <v>12.28888888888889</v>
      </c>
      <c r="J32" s="7">
        <v>13</v>
      </c>
      <c r="K32" s="7">
        <v>16</v>
      </c>
      <c r="L32" s="7">
        <v>16</v>
      </c>
      <c r="M32" s="7">
        <v>16</v>
      </c>
      <c r="N32" s="24">
        <v>16</v>
      </c>
      <c r="O32" s="7">
        <f>PC[[#This Row],[E-15]]+(PC[[#This Row],[E-15]]-PC[[#This Row],[E-7]])/8*5</f>
        <v>4.3487499999999999</v>
      </c>
      <c r="P32" s="7">
        <v>4.38</v>
      </c>
      <c r="Q32" s="7">
        <v>4.43</v>
      </c>
      <c r="R32" s="7">
        <f>PC[[#This Row],[E-7]]-(PC[[#This Row],[E-7]]-PC[[#This Row],[E2]])/9*5</f>
        <v>4.1688888888888886</v>
      </c>
      <c r="S32" s="7">
        <v>3.96</v>
      </c>
      <c r="T32" s="7">
        <v>3.74</v>
      </c>
      <c r="U32" s="7">
        <f>PC[[#This Row],[E7]]-(PC[[#This Row],[E7]]-PC[[#This Row],[E20]])/13*5</f>
        <v>3.336153846153846</v>
      </c>
      <c r="V32" s="7">
        <f>PC[[#This Row],[E7]]-(PC[[#This Row],[E7]]-PC[[#This Row],[E20]])/13*8</f>
        <v>3.0938461538461537</v>
      </c>
      <c r="W32" s="7">
        <v>2.69</v>
      </c>
      <c r="Y32">
        <v>5</v>
      </c>
      <c r="Z32">
        <v>9</v>
      </c>
      <c r="AA32">
        <v>4.569</v>
      </c>
    </row>
    <row r="33" spans="1:26" ht="150" customHeight="1" x14ac:dyDescent="0.25">
      <c r="A33" s="7" t="s">
        <v>914</v>
      </c>
      <c r="B33" s="7" t="s">
        <v>924</v>
      </c>
      <c r="C33" s="116" t="s">
        <v>915</v>
      </c>
      <c r="D33" s="7">
        <v>1</v>
      </c>
      <c r="E33" s="7">
        <f>(22526)*(1-0.45)</f>
        <v>12389.300000000001</v>
      </c>
      <c r="F33" s="7">
        <v>3.2</v>
      </c>
      <c r="G33" s="7">
        <v>3.2</v>
      </c>
      <c r="H33" s="7">
        <v>3.3</v>
      </c>
      <c r="I33" s="7">
        <v>3.2</v>
      </c>
      <c r="J33" s="7">
        <v>3.2</v>
      </c>
      <c r="K33" s="7">
        <v>3.2</v>
      </c>
      <c r="L33" s="7">
        <v>3.2</v>
      </c>
      <c r="M33" s="7">
        <v>3.2</v>
      </c>
      <c r="N33" s="24">
        <v>3.2</v>
      </c>
      <c r="O33" s="7">
        <f>PC[[#This Row],[E-15]]+(((PC[[#This Row],[E-15]]-PC[[#This Row],[E-7]])/8)*5)</f>
        <v>1.4887500000000002</v>
      </c>
      <c r="P33" s="7">
        <v>1.37</v>
      </c>
      <c r="Q33" s="7">
        <v>1.18</v>
      </c>
      <c r="R33" s="7">
        <f>PC[[#This Row],[E2]]+(((PC[[#This Row],[E-7]]-PC[[#This Row],[E2]])/9)*4)</f>
        <v>1.0133333333333332</v>
      </c>
      <c r="S33" s="7">
        <v>0.88</v>
      </c>
      <c r="T33" s="7">
        <v>0.6</v>
      </c>
      <c r="U33" s="7">
        <v>0.6</v>
      </c>
      <c r="V33" s="7">
        <v>0.6</v>
      </c>
      <c r="W33" s="7">
        <v>0.6</v>
      </c>
      <c r="Y33">
        <v>5</v>
      </c>
      <c r="Z33">
        <v>3</v>
      </c>
    </row>
    <row r="34" spans="1:26" ht="150" customHeight="1" x14ac:dyDescent="0.25">
      <c r="A34" s="7" t="s">
        <v>916</v>
      </c>
      <c r="B34" s="7" t="s">
        <v>924</v>
      </c>
      <c r="C34" s="116" t="s">
        <v>921</v>
      </c>
      <c r="D34" s="7">
        <v>1</v>
      </c>
      <c r="E34" s="7">
        <f>(23461)*(1-0.45)</f>
        <v>12903.550000000001</v>
      </c>
      <c r="F34" s="7">
        <v>5</v>
      </c>
      <c r="G34" s="7">
        <v>5</v>
      </c>
      <c r="H34" s="7">
        <v>5</v>
      </c>
      <c r="I34" s="7">
        <v>5</v>
      </c>
      <c r="J34" s="7">
        <v>5</v>
      </c>
      <c r="K34" s="7">
        <v>5</v>
      </c>
      <c r="L34" s="7">
        <v>5</v>
      </c>
      <c r="M34" s="7">
        <v>5</v>
      </c>
      <c r="N34" s="24">
        <v>5</v>
      </c>
      <c r="O34" s="7">
        <f>PC[[#This Row],[E-15]]+(((PC[[#This Row],[E-15]]-PC[[#This Row],[E-7]])/8)*5)</f>
        <v>2.3099999999999996</v>
      </c>
      <c r="P34" s="7">
        <v>2.11</v>
      </c>
      <c r="Q34" s="7">
        <v>1.79</v>
      </c>
      <c r="R34" s="7">
        <f>PC[[#This Row],[E2]]+(((PC[[#This Row],[E-7]]-PC[[#This Row],[E2]])/9)*4)</f>
        <v>1.5733333333333333</v>
      </c>
      <c r="S34" s="7">
        <v>1.4</v>
      </c>
      <c r="T34" s="7">
        <v>0.98</v>
      </c>
      <c r="U34" s="7">
        <v>0.98</v>
      </c>
      <c r="V34" s="7">
        <v>0.98</v>
      </c>
      <c r="W34" s="7">
        <v>0.98</v>
      </c>
      <c r="Y34">
        <v>5</v>
      </c>
      <c r="Z34">
        <v>3</v>
      </c>
    </row>
    <row r="35" spans="1:26" ht="150" customHeight="1" x14ac:dyDescent="0.25">
      <c r="A35" s="7" t="s">
        <v>917</v>
      </c>
      <c r="B35" s="7" t="s">
        <v>924</v>
      </c>
      <c r="C35" s="116" t="s">
        <v>922</v>
      </c>
      <c r="D35" s="7">
        <v>1</v>
      </c>
      <c r="E35" s="7">
        <f>(24875)*(1-0.45)</f>
        <v>13681.250000000002</v>
      </c>
      <c r="F35" s="7">
        <f>PC[[#This Row],[-15]]-((PC[[#This Row],[-7]]-PC[[#This Row],[-15]])/8)*5</f>
        <v>5.5062499999999996</v>
      </c>
      <c r="G35" s="7">
        <v>5.6</v>
      </c>
      <c r="H35" s="7">
        <v>5.75</v>
      </c>
      <c r="I35" s="7">
        <f>PC[[#This Row],[-7]]+((PC[[#This Row],[2]]-PC[[#This Row],[-7]])/9)*5</f>
        <v>6.3611111111111107</v>
      </c>
      <c r="J35" s="7">
        <v>6.85</v>
      </c>
      <c r="K35" s="7">
        <v>7</v>
      </c>
      <c r="L35" s="7">
        <v>7</v>
      </c>
      <c r="M35" s="7">
        <v>7</v>
      </c>
      <c r="N35" s="24">
        <v>7</v>
      </c>
      <c r="O35" s="7">
        <f>PC[[#This Row],[E-15]]+(((PC[[#This Row],[E-15]]-PC[[#This Row],[E-7]])/8)*5)</f>
        <v>2.6487499999999997</v>
      </c>
      <c r="P35" s="7">
        <v>2.38</v>
      </c>
      <c r="Q35" s="7">
        <v>1.95</v>
      </c>
      <c r="R35" s="7">
        <f>PC[[#This Row],[E2]]+(((PC[[#This Row],[E-7]]-PC[[#This Row],[E2]])/9)*4)</f>
        <v>1.9777777777777779</v>
      </c>
      <c r="S35" s="7">
        <v>2</v>
      </c>
      <c r="T35" s="7">
        <v>1.44</v>
      </c>
      <c r="U35" s="7">
        <v>1.44</v>
      </c>
      <c r="V35" s="7">
        <v>1.44</v>
      </c>
      <c r="W35" s="7">
        <v>1.44</v>
      </c>
      <c r="Y35">
        <v>5</v>
      </c>
      <c r="Z35">
        <v>3</v>
      </c>
    </row>
    <row r="36" spans="1:26" ht="150" customHeight="1" x14ac:dyDescent="0.25">
      <c r="A36" s="7" t="s">
        <v>918</v>
      </c>
      <c r="B36" s="7" t="s">
        <v>924</v>
      </c>
      <c r="C36" s="116" t="s">
        <v>923</v>
      </c>
      <c r="D36" s="7">
        <v>1</v>
      </c>
      <c r="E36" s="7">
        <f>(27164)*(1-0.45)</f>
        <v>14940.2</v>
      </c>
      <c r="F36" s="7">
        <f>PC[[#This Row],[-15]]-((PC[[#This Row],[-7]]-PC[[#This Row],[-15]])/8)*5</f>
        <v>8.1187500000000004</v>
      </c>
      <c r="G36" s="7">
        <v>7.4</v>
      </c>
      <c r="H36" s="7">
        <v>6.25</v>
      </c>
      <c r="I36" s="7">
        <f>PC[[#This Row],[-7]]+((PC[[#This Row],[2]]-PC[[#This Row],[-7]])/9)*5</f>
        <v>6.666666666666667</v>
      </c>
      <c r="J36" s="7">
        <v>7</v>
      </c>
      <c r="K36" s="7">
        <v>9</v>
      </c>
      <c r="L36" s="7">
        <v>9</v>
      </c>
      <c r="M36" s="7">
        <v>9</v>
      </c>
      <c r="N36" s="24">
        <v>9</v>
      </c>
      <c r="O36" s="7">
        <f>PC[[#This Row],[E-15]]+(((PC[[#This Row],[E-15]]-PC[[#This Row],[E-7]])/8)*5)</f>
        <v>3.8250000000000002</v>
      </c>
      <c r="P36" s="7">
        <v>3.2</v>
      </c>
      <c r="Q36" s="7">
        <v>2.2000000000000002</v>
      </c>
      <c r="R36" s="7">
        <f>PC[[#This Row],[E2]]+(((PC[[#This Row],[E-7]]-PC[[#This Row],[E2]])/9)*4)</f>
        <v>2.1222222222222222</v>
      </c>
      <c r="S36" s="7">
        <v>2.06</v>
      </c>
      <c r="T36" s="7">
        <v>1.98</v>
      </c>
      <c r="U36" s="7">
        <v>1.98</v>
      </c>
      <c r="V36" s="7">
        <v>1.98</v>
      </c>
      <c r="W36" s="7">
        <v>1.98</v>
      </c>
      <c r="Y36">
        <v>5</v>
      </c>
      <c r="Z36">
        <v>3</v>
      </c>
    </row>
    <row r="37" spans="1:26" ht="150" customHeight="1" x14ac:dyDescent="0.25">
      <c r="A37" s="7" t="s">
        <v>945</v>
      </c>
      <c r="B37" s="7" t="s">
        <v>924</v>
      </c>
      <c r="C37" s="116" t="s">
        <v>915</v>
      </c>
      <c r="D37" s="7">
        <v>1</v>
      </c>
      <c r="E37" s="7">
        <f>(32413)*(1-0.45)</f>
        <v>17827.150000000001</v>
      </c>
      <c r="F37" s="7">
        <v>3.2</v>
      </c>
      <c r="G37" s="7">
        <v>3.2</v>
      </c>
      <c r="H37" s="7">
        <v>3.3</v>
      </c>
      <c r="I37" s="7">
        <v>3.2</v>
      </c>
      <c r="J37" s="7">
        <v>3.2</v>
      </c>
      <c r="K37" s="7">
        <v>3.2</v>
      </c>
      <c r="L37" s="7">
        <v>3.2</v>
      </c>
      <c r="M37" s="7">
        <v>3.2</v>
      </c>
      <c r="N37" s="24">
        <v>3.2</v>
      </c>
      <c r="O37" s="7">
        <f>PC[[#This Row],[E-15]]+(((PC[[#This Row],[E-15]]-PC[[#This Row],[E-7]])/8)*5)</f>
        <v>1.4887500000000002</v>
      </c>
      <c r="P37" s="7">
        <v>1.37</v>
      </c>
      <c r="Q37" s="7">
        <v>1.18</v>
      </c>
      <c r="R37" s="7">
        <f>PC[[#This Row],[E2]]+(((PC[[#This Row],[E-7]]-PC[[#This Row],[E2]])/9)*4)</f>
        <v>1.0133333333333332</v>
      </c>
      <c r="S37" s="7">
        <v>0.88</v>
      </c>
      <c r="T37" s="7">
        <v>0.6</v>
      </c>
      <c r="U37" s="7">
        <v>0.6</v>
      </c>
      <c r="V37" s="7">
        <v>0.6</v>
      </c>
      <c r="W37" s="7">
        <v>0.6</v>
      </c>
      <c r="Y37">
        <v>5</v>
      </c>
      <c r="Z37">
        <v>3</v>
      </c>
    </row>
    <row r="38" spans="1:26" ht="150" customHeight="1" x14ac:dyDescent="0.25">
      <c r="A38" s="7" t="s">
        <v>946</v>
      </c>
      <c r="B38" s="7" t="s">
        <v>924</v>
      </c>
      <c r="C38" s="116" t="s">
        <v>921</v>
      </c>
      <c r="D38" s="7">
        <v>1</v>
      </c>
      <c r="E38" s="7">
        <f>(33348)*(1-0.45)</f>
        <v>18341.400000000001</v>
      </c>
      <c r="F38" s="7">
        <v>5</v>
      </c>
      <c r="G38" s="7">
        <v>5</v>
      </c>
      <c r="H38" s="7">
        <v>5</v>
      </c>
      <c r="I38" s="7">
        <v>5</v>
      </c>
      <c r="J38" s="7">
        <v>5</v>
      </c>
      <c r="K38" s="7">
        <v>5</v>
      </c>
      <c r="L38" s="7">
        <v>5</v>
      </c>
      <c r="M38" s="7">
        <v>5</v>
      </c>
      <c r="N38" s="24">
        <v>5</v>
      </c>
      <c r="O38" s="7">
        <f>PC[[#This Row],[E-15]]+(((PC[[#This Row],[E-15]]-PC[[#This Row],[E-7]])/8)*5)</f>
        <v>2.3099999999999996</v>
      </c>
      <c r="P38" s="7">
        <v>2.11</v>
      </c>
      <c r="Q38" s="7">
        <v>1.79</v>
      </c>
      <c r="R38" s="7">
        <f>PC[[#This Row],[E2]]+(((PC[[#This Row],[E-7]]-PC[[#This Row],[E2]])/9)*4)</f>
        <v>1.5733333333333333</v>
      </c>
      <c r="S38" s="7">
        <v>1.4</v>
      </c>
      <c r="T38" s="7">
        <v>0.98</v>
      </c>
      <c r="U38" s="7">
        <v>0.98</v>
      </c>
      <c r="V38" s="7">
        <v>0.98</v>
      </c>
      <c r="W38" s="7">
        <v>0.98</v>
      </c>
      <c r="Y38">
        <v>5</v>
      </c>
      <c r="Z38">
        <v>3</v>
      </c>
    </row>
    <row r="39" spans="1:26" ht="150" customHeight="1" x14ac:dyDescent="0.25">
      <c r="A39" s="7" t="s">
        <v>947</v>
      </c>
      <c r="B39" s="7" t="s">
        <v>924</v>
      </c>
      <c r="C39" s="116" t="s">
        <v>922</v>
      </c>
      <c r="D39" s="7">
        <v>1</v>
      </c>
      <c r="E39" s="7">
        <f>(34762)*(1-0.45)</f>
        <v>19119.100000000002</v>
      </c>
      <c r="F39" s="7">
        <f>PC[[#This Row],[-15]]-((PC[[#This Row],[-7]]-PC[[#This Row],[-15]])/8)*5</f>
        <v>5.5062499999999996</v>
      </c>
      <c r="G39" s="7">
        <v>5.6</v>
      </c>
      <c r="H39" s="7">
        <v>5.75</v>
      </c>
      <c r="I39" s="7">
        <f>PC[[#This Row],[-7]]+((PC[[#This Row],[2]]-PC[[#This Row],[-7]])/9)*5</f>
        <v>6.3611111111111107</v>
      </c>
      <c r="J39" s="7">
        <v>6.85</v>
      </c>
      <c r="K39" s="7">
        <v>7</v>
      </c>
      <c r="L39" s="7">
        <v>7</v>
      </c>
      <c r="M39" s="7">
        <v>7</v>
      </c>
      <c r="N39" s="24">
        <v>7</v>
      </c>
      <c r="O39" s="7">
        <f>PC[[#This Row],[E-15]]+(((PC[[#This Row],[E-15]]-PC[[#This Row],[E-7]])/8)*5)</f>
        <v>2.6487499999999997</v>
      </c>
      <c r="P39" s="7">
        <v>2.38</v>
      </c>
      <c r="Q39" s="7">
        <v>1.95</v>
      </c>
      <c r="R39" s="7">
        <f>PC[[#This Row],[E2]]+(((PC[[#This Row],[E-7]]-PC[[#This Row],[E2]])/9)*4)</f>
        <v>1.9777777777777779</v>
      </c>
      <c r="S39" s="7">
        <v>2</v>
      </c>
      <c r="T39" s="7">
        <v>1.44</v>
      </c>
      <c r="U39" s="7">
        <v>1.44</v>
      </c>
      <c r="V39" s="7">
        <v>1.44</v>
      </c>
      <c r="W39" s="7">
        <v>1.44</v>
      </c>
      <c r="Y39">
        <v>5</v>
      </c>
      <c r="Z39">
        <v>3</v>
      </c>
    </row>
    <row r="40" spans="1:26" ht="150" customHeight="1" x14ac:dyDescent="0.25">
      <c r="A40" s="7" t="s">
        <v>948</v>
      </c>
      <c r="B40" s="7" t="s">
        <v>924</v>
      </c>
      <c r="C40" s="116" t="s">
        <v>923</v>
      </c>
      <c r="D40" s="7">
        <v>1</v>
      </c>
      <c r="E40" s="7">
        <f>(37051)*(1-0.45)</f>
        <v>20378.050000000003</v>
      </c>
      <c r="F40" s="7">
        <f>PC[[#This Row],[-15]]-((PC[[#This Row],[-7]]-PC[[#This Row],[-15]])/8)*5</f>
        <v>8.1187500000000004</v>
      </c>
      <c r="G40" s="7">
        <v>7.4</v>
      </c>
      <c r="H40" s="7">
        <v>6.25</v>
      </c>
      <c r="I40" s="7">
        <f>PC[[#This Row],[-7]]+((PC[[#This Row],[2]]-PC[[#This Row],[-7]])/9)*5</f>
        <v>6.666666666666667</v>
      </c>
      <c r="J40" s="7">
        <v>7</v>
      </c>
      <c r="K40" s="7">
        <v>9</v>
      </c>
      <c r="L40" s="7">
        <v>9</v>
      </c>
      <c r="M40" s="7">
        <v>9</v>
      </c>
      <c r="N40" s="24">
        <v>9</v>
      </c>
      <c r="O40" s="7">
        <f>PC[[#This Row],[E-15]]+(((PC[[#This Row],[E-15]]-PC[[#This Row],[E-7]])/8)*5)</f>
        <v>3.8250000000000002</v>
      </c>
      <c r="P40" s="7">
        <v>3.2</v>
      </c>
      <c r="Q40" s="7">
        <v>2.2000000000000002</v>
      </c>
      <c r="R40" s="7">
        <f>PC[[#This Row],[E2]]+(((PC[[#This Row],[E-7]]-PC[[#This Row],[E2]])/9)*4)</f>
        <v>2.1222222222222222</v>
      </c>
      <c r="S40" s="7">
        <v>2.06</v>
      </c>
      <c r="T40" s="7">
        <v>1.98</v>
      </c>
      <c r="U40" s="7">
        <v>1.98</v>
      </c>
      <c r="V40" s="7">
        <v>1.98</v>
      </c>
      <c r="W40" s="7">
        <v>1.98</v>
      </c>
      <c r="Y40">
        <v>5</v>
      </c>
      <c r="Z40">
        <v>3</v>
      </c>
    </row>
    <row r="41" spans="1:26" ht="150" customHeight="1" x14ac:dyDescent="0.25">
      <c r="A41" s="7" t="s">
        <v>925</v>
      </c>
      <c r="B41" s="7" t="s">
        <v>926</v>
      </c>
      <c r="C41" s="116" t="s">
        <v>927</v>
      </c>
      <c r="D41" s="7">
        <v>1</v>
      </c>
      <c r="E41" s="7">
        <f>(26009)*(1-0.45)</f>
        <v>14304.95</v>
      </c>
      <c r="F41" s="7">
        <v>5</v>
      </c>
      <c r="G41" s="7">
        <v>5</v>
      </c>
      <c r="H41" s="7">
        <v>5</v>
      </c>
      <c r="I41" s="7">
        <v>5</v>
      </c>
      <c r="J41" s="7">
        <v>5</v>
      </c>
      <c r="K41" s="7">
        <v>5</v>
      </c>
      <c r="L41" s="7">
        <v>5</v>
      </c>
      <c r="M41" s="7">
        <v>5</v>
      </c>
      <c r="N41" s="24">
        <v>5</v>
      </c>
      <c r="O41" s="7">
        <f>PC[[#This Row],[E-15]]+(((PC[[#This Row],[E-15]]-PC[[#This Row],[E-7]])/8)*5)</f>
        <v>2.1149999999999998</v>
      </c>
      <c r="P41" s="7">
        <v>1.94</v>
      </c>
      <c r="Q41" s="7">
        <v>1.66</v>
      </c>
      <c r="R41" s="7">
        <f>PC[[#This Row],[E2]]+(((PC[[#This Row],[E-7]]-PC[[#This Row],[E2]])/9)*4)</f>
        <v>1.5266666666666666</v>
      </c>
      <c r="S41" s="7">
        <v>1.42</v>
      </c>
      <c r="T41" s="7">
        <v>0.99</v>
      </c>
      <c r="U41" s="7">
        <v>0.99</v>
      </c>
      <c r="V41" s="7">
        <v>0.99</v>
      </c>
      <c r="W41" s="7">
        <v>0.99</v>
      </c>
      <c r="Y41">
        <v>5</v>
      </c>
      <c r="Z41">
        <v>3</v>
      </c>
    </row>
    <row r="42" spans="1:26" ht="150" customHeight="1" x14ac:dyDescent="0.25">
      <c r="A42" s="7" t="s">
        <v>930</v>
      </c>
      <c r="B42" s="7" t="s">
        <v>926</v>
      </c>
      <c r="C42" s="116" t="s">
        <v>928</v>
      </c>
      <c r="D42" s="7">
        <v>1</v>
      </c>
      <c r="E42" s="7">
        <f>(27593)*(1-0.45)</f>
        <v>15176.150000000001</v>
      </c>
      <c r="F42" s="7">
        <f>PC[[#This Row],[-15]]-((PC[[#This Row],[-7]]-PC[[#This Row],[-15]])/8)*5</f>
        <v>6.125</v>
      </c>
      <c r="G42" s="7">
        <v>6</v>
      </c>
      <c r="H42" s="7">
        <v>5.8</v>
      </c>
      <c r="I42" s="7">
        <f>PC[[#This Row],[-7]]+((PC[[#This Row],[2]]-PC[[#This Row],[-7]])/9)*5</f>
        <v>6.3833333333333329</v>
      </c>
      <c r="J42" s="7">
        <v>6.85</v>
      </c>
      <c r="K42" s="7">
        <v>7</v>
      </c>
      <c r="L42" s="7">
        <v>7</v>
      </c>
      <c r="M42" s="7">
        <v>7</v>
      </c>
      <c r="N42" s="24">
        <v>7</v>
      </c>
      <c r="O42" s="7">
        <f>PC[[#This Row],[E-15]]+(((PC[[#This Row],[E-15]]-PC[[#This Row],[E-7]])/8)*5)</f>
        <v>2.8562500000000002</v>
      </c>
      <c r="P42" s="7">
        <v>2.5</v>
      </c>
      <c r="Q42" s="7">
        <v>1.93</v>
      </c>
      <c r="R42" s="7">
        <f>PC[[#This Row],[E2]]+(((PC[[#This Row],[E-7]]-PC[[#This Row],[E2]])/9)*4)</f>
        <v>1.9688888888888889</v>
      </c>
      <c r="S42" s="7">
        <v>2</v>
      </c>
      <c r="T42" s="7">
        <v>1.42</v>
      </c>
      <c r="U42" s="7">
        <v>1.42</v>
      </c>
      <c r="V42" s="7">
        <v>1.42</v>
      </c>
      <c r="W42" s="7">
        <v>1.42</v>
      </c>
      <c r="Y42">
        <v>5</v>
      </c>
      <c r="Z42">
        <v>3</v>
      </c>
    </row>
    <row r="43" spans="1:26" ht="150" customHeight="1" x14ac:dyDescent="0.25">
      <c r="A43" s="7" t="s">
        <v>931</v>
      </c>
      <c r="B43" s="7" t="s">
        <v>926</v>
      </c>
      <c r="C43" s="116" t="s">
        <v>929</v>
      </c>
      <c r="D43" s="7">
        <v>1</v>
      </c>
      <c r="E43" s="7">
        <f>(30132)*(1-0.45)</f>
        <v>16572.600000000002</v>
      </c>
      <c r="F43" s="7">
        <f>PC[[#This Row],[-15]]-((PC[[#This Row],[-7]]-PC[[#This Row],[-15]])/8)*5</f>
        <v>7.65</v>
      </c>
      <c r="G43" s="7">
        <v>7.4</v>
      </c>
      <c r="H43" s="7">
        <v>7</v>
      </c>
      <c r="I43" s="7">
        <f>PC[[#This Row],[-7]]+((PC[[#This Row],[2]]-PC[[#This Row],[-7]])/9)*5</f>
        <v>7</v>
      </c>
      <c r="J43" s="7">
        <v>7</v>
      </c>
      <c r="K43" s="7">
        <v>9</v>
      </c>
      <c r="L43" s="7">
        <v>9</v>
      </c>
      <c r="M43" s="7">
        <v>9</v>
      </c>
      <c r="N43" s="7">
        <v>9</v>
      </c>
      <c r="O43" s="7">
        <f>PC[[#This Row],[E-15]]+(((PC[[#This Row],[E-15]]-PC[[#This Row],[E-7]])/8)*5)</f>
        <v>3.6375000000000002</v>
      </c>
      <c r="P43" s="7">
        <v>3.2</v>
      </c>
      <c r="Q43" s="7">
        <v>2.5</v>
      </c>
      <c r="R43" s="7">
        <f>PC[[#This Row],[E2]]+(((PC[[#This Row],[E-7]]-PC[[#This Row],[E2]])/9)*4)</f>
        <v>2.25</v>
      </c>
      <c r="S43" s="7">
        <v>2.0499999999999998</v>
      </c>
      <c r="T43" s="7">
        <v>1.98</v>
      </c>
      <c r="U43" s="7">
        <v>1.98</v>
      </c>
      <c r="V43" s="7">
        <v>1.98</v>
      </c>
      <c r="W43" s="7">
        <v>1.98</v>
      </c>
      <c r="Y43">
        <v>5</v>
      </c>
      <c r="Z43">
        <v>3</v>
      </c>
    </row>
    <row r="44" spans="1:26" ht="150" customHeight="1" x14ac:dyDescent="0.25">
      <c r="A44" s="7" t="s">
        <v>919</v>
      </c>
      <c r="B44" s="7" t="s">
        <v>932</v>
      </c>
      <c r="C44" s="117" t="s">
        <v>933</v>
      </c>
      <c r="D44" s="7">
        <v>1</v>
      </c>
      <c r="E44" s="7">
        <f>(32350)*(1-0.45)</f>
        <v>17792.5</v>
      </c>
      <c r="F44" s="7">
        <v>9</v>
      </c>
      <c r="G44" s="7">
        <v>9</v>
      </c>
      <c r="H44" s="7">
        <v>9</v>
      </c>
      <c r="I44" s="7">
        <v>9</v>
      </c>
      <c r="J44" s="7">
        <v>9</v>
      </c>
      <c r="K44" s="7">
        <v>9</v>
      </c>
      <c r="L44" s="7">
        <v>9</v>
      </c>
      <c r="M44" s="7">
        <v>9</v>
      </c>
      <c r="N44" s="24">
        <v>9</v>
      </c>
      <c r="O44" s="7">
        <f>PC[[#This Row],[E-15]]+(((PC[[#This Row],[E-15]]-PC[[#This Row],[E-7]])/8)*5)</f>
        <v>3.7312500000000002</v>
      </c>
      <c r="P44" s="7">
        <v>3.45</v>
      </c>
      <c r="Q44" s="7">
        <v>3</v>
      </c>
      <c r="R44" s="7">
        <f>PC[[#This Row],[E2]]+(((PC[[#This Row],[E-7]]-PC[[#This Row],[E2]])/9)*4)</f>
        <v>2.6888888888888887</v>
      </c>
      <c r="S44" s="7">
        <v>2.44</v>
      </c>
      <c r="T44" s="7">
        <v>1.79</v>
      </c>
      <c r="U44" s="7">
        <v>1.79</v>
      </c>
      <c r="V44" s="7">
        <v>1.79</v>
      </c>
      <c r="W44" s="7">
        <v>1.79</v>
      </c>
      <c r="Y44">
        <v>5</v>
      </c>
      <c r="Z44">
        <v>3</v>
      </c>
    </row>
    <row r="45" spans="1:26" ht="150" customHeight="1" x14ac:dyDescent="0.25">
      <c r="A45" s="7" t="s">
        <v>920</v>
      </c>
      <c r="B45" s="7" t="s">
        <v>934</v>
      </c>
      <c r="C45" s="117" t="s">
        <v>935</v>
      </c>
      <c r="D45" s="7">
        <v>1</v>
      </c>
      <c r="E45" s="7">
        <f>(37726)*(1-0.45)</f>
        <v>20749.300000000003</v>
      </c>
      <c r="F45" s="7">
        <v>12</v>
      </c>
      <c r="G45" s="7">
        <v>12</v>
      </c>
      <c r="H45" s="7">
        <v>12</v>
      </c>
      <c r="I45" s="7">
        <v>12</v>
      </c>
      <c r="J45" s="7">
        <v>12</v>
      </c>
      <c r="K45" s="7">
        <v>12</v>
      </c>
      <c r="L45" s="7">
        <v>12</v>
      </c>
      <c r="M45" s="7">
        <v>12</v>
      </c>
      <c r="N45" s="24">
        <v>12</v>
      </c>
      <c r="O45" s="7">
        <f>PC[[#This Row],[E-15]]+(((PC[[#This Row],[E-15]]-PC[[#This Row],[E-7]])/8)*5)</f>
        <v>5.2062500000000007</v>
      </c>
      <c r="P45" s="7">
        <v>4.9000000000000004</v>
      </c>
      <c r="Q45" s="7">
        <v>4.41</v>
      </c>
      <c r="R45" s="7">
        <f>PC[[#This Row],[E2]]+(((PC[[#This Row],[E-7]]-PC[[#This Row],[E2]])/9)*4)</f>
        <v>3.8988888888888891</v>
      </c>
      <c r="S45" s="7">
        <v>3.49</v>
      </c>
      <c r="T45" s="7">
        <v>2.5</v>
      </c>
      <c r="U45" s="7">
        <v>2.5</v>
      </c>
      <c r="V45" s="7">
        <v>2.5</v>
      </c>
      <c r="W45" s="7">
        <v>2.5</v>
      </c>
      <c r="Y45">
        <v>5</v>
      </c>
      <c r="Z45">
        <v>6</v>
      </c>
    </row>
    <row r="46" spans="1:26" ht="150" customHeight="1" x14ac:dyDescent="0.25">
      <c r="A46" s="7" t="s">
        <v>936</v>
      </c>
      <c r="B46" s="7" t="s">
        <v>940</v>
      </c>
      <c r="C46" s="117" t="s">
        <v>941</v>
      </c>
      <c r="D46" s="7">
        <v>3</v>
      </c>
      <c r="E46" s="7">
        <f>(35795)*(1-0.45)</f>
        <v>19687.25</v>
      </c>
      <c r="F46" s="7">
        <v>9</v>
      </c>
      <c r="G46" s="7">
        <v>9</v>
      </c>
      <c r="H46" s="7">
        <v>9</v>
      </c>
      <c r="I46" s="7">
        <v>9</v>
      </c>
      <c r="J46" s="7">
        <v>9</v>
      </c>
      <c r="K46" s="7">
        <v>9</v>
      </c>
      <c r="L46" s="7">
        <v>9</v>
      </c>
      <c r="M46" s="7">
        <v>9</v>
      </c>
      <c r="N46" s="24">
        <v>9</v>
      </c>
      <c r="O46" s="7"/>
      <c r="P46" s="7"/>
      <c r="Q46" s="7"/>
      <c r="R46" s="7"/>
      <c r="S46" s="7"/>
      <c r="T46" s="7"/>
      <c r="U46" s="7"/>
      <c r="V46" s="7"/>
      <c r="W46" s="7"/>
      <c r="Y46">
        <v>5</v>
      </c>
      <c r="Z46">
        <v>3</v>
      </c>
    </row>
    <row r="47" spans="1:26" ht="150" customHeight="1" x14ac:dyDescent="0.25">
      <c r="A47" s="7" t="s">
        <v>938</v>
      </c>
      <c r="B47" s="7" t="s">
        <v>939</v>
      </c>
      <c r="C47" s="117" t="s">
        <v>942</v>
      </c>
      <c r="D47" s="7">
        <v>3</v>
      </c>
      <c r="E47" s="7">
        <f>(40971)*(1-0.45)</f>
        <v>22534.050000000003</v>
      </c>
      <c r="F47" s="7">
        <v>12</v>
      </c>
      <c r="G47" s="7">
        <v>12</v>
      </c>
      <c r="H47" s="7">
        <v>12</v>
      </c>
      <c r="I47" s="7">
        <v>12</v>
      </c>
      <c r="J47" s="7">
        <v>12</v>
      </c>
      <c r="K47" s="7">
        <v>12</v>
      </c>
      <c r="L47" s="7">
        <v>12</v>
      </c>
      <c r="M47" s="7">
        <v>12</v>
      </c>
      <c r="N47" s="24">
        <v>12</v>
      </c>
      <c r="O47" s="7"/>
      <c r="P47" s="7"/>
      <c r="Q47" s="7"/>
      <c r="R47" s="7"/>
      <c r="S47" s="7"/>
      <c r="T47" s="7"/>
      <c r="U47" s="7"/>
      <c r="V47" s="7"/>
      <c r="W47" s="7"/>
      <c r="Y47">
        <v>5</v>
      </c>
      <c r="Z47">
        <v>9</v>
      </c>
    </row>
    <row r="48" spans="1:26" ht="150" customHeight="1" x14ac:dyDescent="0.25">
      <c r="A48" s="7" t="s">
        <v>937</v>
      </c>
      <c r="B48" s="7" t="s">
        <v>943</v>
      </c>
      <c r="C48" s="117" t="s">
        <v>944</v>
      </c>
      <c r="D48" s="7">
        <v>3</v>
      </c>
      <c r="E48" s="7">
        <f>(47407)*(1-0.45)</f>
        <v>26073.850000000002</v>
      </c>
      <c r="F48" s="7">
        <v>16</v>
      </c>
      <c r="G48" s="7">
        <v>16</v>
      </c>
      <c r="H48" s="7">
        <v>16</v>
      </c>
      <c r="I48" s="7">
        <v>16</v>
      </c>
      <c r="J48" s="7">
        <v>16</v>
      </c>
      <c r="K48" s="7">
        <v>16</v>
      </c>
      <c r="L48" s="7">
        <v>16</v>
      </c>
      <c r="M48" s="7">
        <v>16</v>
      </c>
      <c r="N48" s="24">
        <v>16</v>
      </c>
      <c r="O48" s="7"/>
      <c r="P48" s="7"/>
      <c r="Q48" s="7"/>
      <c r="R48" s="7"/>
      <c r="S48" s="7"/>
      <c r="T48" s="7"/>
      <c r="U48" s="7"/>
      <c r="V48" s="7"/>
      <c r="W48" s="7"/>
      <c r="Y48">
        <v>5</v>
      </c>
      <c r="Z48">
        <v>9</v>
      </c>
    </row>
    <row r="49" spans="1:26" ht="150" customHeight="1" x14ac:dyDescent="0.25">
      <c r="A49" s="7" t="s">
        <v>655</v>
      </c>
      <c r="B49" s="7"/>
      <c r="C49" s="58" t="s">
        <v>656</v>
      </c>
      <c r="D49" s="7">
        <v>1</v>
      </c>
      <c r="E49" s="7">
        <f>(21090)*(1-0.45)</f>
        <v>11599.500000000002</v>
      </c>
      <c r="F49" s="7">
        <v>4.16</v>
      </c>
      <c r="G49" s="7">
        <v>5</v>
      </c>
      <c r="H49" s="7">
        <v>5</v>
      </c>
      <c r="I49" s="7">
        <v>5</v>
      </c>
      <c r="J49" s="7">
        <v>5</v>
      </c>
      <c r="K49" s="7">
        <v>5</v>
      </c>
      <c r="L49" s="7">
        <v>5</v>
      </c>
      <c r="M49" s="7">
        <v>5</v>
      </c>
      <c r="N49" s="24">
        <v>5</v>
      </c>
      <c r="O49" s="7">
        <v>2.0299999999999998</v>
      </c>
      <c r="P49" s="7">
        <v>2.17</v>
      </c>
      <c r="Q49" s="7">
        <v>1.8</v>
      </c>
      <c r="R49" s="7">
        <f>PC[[#This Row],[E-7]]-(PC[[#This Row],[E-7]]-PC[[#This Row],[E2]])/9*5</f>
        <v>1.5777777777777777</v>
      </c>
      <c r="S49" s="7">
        <v>1.4</v>
      </c>
      <c r="T49" s="7">
        <v>0.99</v>
      </c>
      <c r="U49" s="7">
        <f>PC[[#This Row],[E7]]-(PC[[#This Row],[E7]]-PC[[#This Row],[E15]])/8*5</f>
        <v>0.95538461538461539</v>
      </c>
      <c r="V49" s="7">
        <f>PC[[#This Row],[E7]]-(PC[[#This Row],[E7]]-PC[[#This Row],[E20]])/13*8</f>
        <v>0.93461538461538463</v>
      </c>
      <c r="W49" s="7">
        <v>0.9</v>
      </c>
      <c r="Y49">
        <v>5</v>
      </c>
      <c r="Z49">
        <v>3</v>
      </c>
    </row>
    <row r="50" spans="1:26" ht="150" customHeight="1" x14ac:dyDescent="0.25">
      <c r="A50" s="7" t="s">
        <v>259</v>
      </c>
      <c r="B50" s="7"/>
      <c r="C50" s="58" t="s">
        <v>657</v>
      </c>
      <c r="D50" s="7">
        <v>1</v>
      </c>
      <c r="E50" s="7">
        <f>22082*(1-0.45)</f>
        <v>12145.1</v>
      </c>
      <c r="F50" s="7">
        <v>4.3</v>
      </c>
      <c r="G50" s="7">
        <v>4.5999999999999996</v>
      </c>
      <c r="H50" s="7">
        <v>5.5</v>
      </c>
      <c r="I50" s="7">
        <f>PC[[#This Row],[-7]]+(PC[[#This Row],[2]]-PC[[#This Row],[-7]])/9*5</f>
        <v>6.1111111111111107</v>
      </c>
      <c r="J50" s="7">
        <v>6.6</v>
      </c>
      <c r="K50" s="7">
        <v>7</v>
      </c>
      <c r="L50" s="7">
        <v>7</v>
      </c>
      <c r="M50" s="7">
        <v>7</v>
      </c>
      <c r="N50" s="24">
        <v>7</v>
      </c>
      <c r="O50" s="7">
        <f>PC[[#This Row],[E-15]]+(PC[[#This Row],[E-15]]-PC[[#This Row],[E-7]])/8*5</f>
        <v>1.7962499999999999</v>
      </c>
      <c r="P50" s="7">
        <v>1.89</v>
      </c>
      <c r="Q50" s="7">
        <v>2.04</v>
      </c>
      <c r="R50" s="7">
        <f>PC[[#This Row],[E-7]]-(PC[[#This Row],[E-7]]-PC[[#This Row],[E2]])/9*5</f>
        <v>2.0177777777777779</v>
      </c>
      <c r="S50" s="7">
        <v>2</v>
      </c>
      <c r="T50" s="7">
        <v>1.55</v>
      </c>
      <c r="U50" s="7">
        <v>1.45</v>
      </c>
      <c r="V50" s="7">
        <f>PC[[#This Row],[E7]]-(PC[[#This Row],[E7]]-PC[[#This Row],[E20]])/13*8</f>
        <v>1.8269230769230769</v>
      </c>
      <c r="W50" s="7">
        <v>2</v>
      </c>
      <c r="Y50">
        <v>5</v>
      </c>
      <c r="Z50">
        <v>3</v>
      </c>
    </row>
    <row r="51" spans="1:26" ht="150" customHeight="1" x14ac:dyDescent="0.25">
      <c r="A51" s="7" t="s">
        <v>537</v>
      </c>
      <c r="B51" s="7"/>
      <c r="C51" s="58" t="s">
        <v>658</v>
      </c>
      <c r="D51" s="7">
        <v>1</v>
      </c>
      <c r="E51" s="7">
        <f>(26589)*(1-0.45)</f>
        <v>14623.95</v>
      </c>
      <c r="F51" s="25">
        <v>6.2</v>
      </c>
      <c r="G51" s="25">
        <v>7.4</v>
      </c>
      <c r="H51" s="25">
        <v>6.12</v>
      </c>
      <c r="I51" s="25">
        <v>6.61</v>
      </c>
      <c r="J51" s="25">
        <v>7</v>
      </c>
      <c r="K51" s="25">
        <v>9</v>
      </c>
      <c r="L51" s="25">
        <v>9</v>
      </c>
      <c r="M51" s="25">
        <v>9</v>
      </c>
      <c r="N51" s="54">
        <v>9</v>
      </c>
      <c r="O51" s="25">
        <v>3</v>
      </c>
      <c r="P51" s="25">
        <v>3.2</v>
      </c>
      <c r="Q51" s="7">
        <v>2.2000000000000002</v>
      </c>
      <c r="R51" s="7">
        <f t="shared" ref="R51" si="4">Q51+(Q51-S51)/(Q$3-S$3)</f>
        <v>2.1844444444444444</v>
      </c>
      <c r="S51" s="7">
        <v>2.06</v>
      </c>
      <c r="T51" s="7">
        <v>2.0099999999999998</v>
      </c>
      <c r="U51" s="7">
        <f>T51+(T51-W51)/(T$3-W$3)</f>
        <v>1.9546153846153844</v>
      </c>
      <c r="V51" s="7">
        <f>U51+(U51-W51)/(U$3-W$3)</f>
        <v>1.8715384615384614</v>
      </c>
      <c r="W51" s="7">
        <v>1.29</v>
      </c>
      <c r="Y51">
        <v>5</v>
      </c>
      <c r="Z51">
        <v>3</v>
      </c>
    </row>
    <row r="52" spans="1:26" ht="150" customHeight="1" x14ac:dyDescent="0.25">
      <c r="A52" s="7" t="s">
        <v>538</v>
      </c>
      <c r="B52" s="7"/>
      <c r="C52" s="58" t="s">
        <v>539</v>
      </c>
      <c r="D52" s="7">
        <v>1</v>
      </c>
      <c r="E52" s="7">
        <f>(28978)*(1-0.45)</f>
        <v>15937.900000000001</v>
      </c>
      <c r="F52" s="7">
        <v>7.9</v>
      </c>
      <c r="G52" s="7">
        <v>8.9</v>
      </c>
      <c r="H52" s="7">
        <v>10</v>
      </c>
      <c r="I52" s="7">
        <f>PC[[#This Row],[-7]]+(PC[[#This Row],[2]]-PC[[#This Row],[-7]])/9*5</f>
        <v>10.777777777777779</v>
      </c>
      <c r="J52" s="7">
        <v>11.4</v>
      </c>
      <c r="K52" s="7">
        <v>12</v>
      </c>
      <c r="L52" s="7">
        <v>12</v>
      </c>
      <c r="M52" s="7">
        <v>12</v>
      </c>
      <c r="N52" s="24">
        <v>12</v>
      </c>
      <c r="O52" s="7">
        <f>PC[[#This Row],[E-15]]+(PC[[#This Row],[E-15]]-PC[[#This Row],[E-7]])/8*5</f>
        <v>3.5950000000000002</v>
      </c>
      <c r="P52" s="7">
        <v>3.62</v>
      </c>
      <c r="Q52" s="7">
        <v>3.66</v>
      </c>
      <c r="R52" s="7">
        <f>PC[[#This Row],[E-7]]-(PC[[#This Row],[E-7]]-PC[[#This Row],[E2]])/9*5</f>
        <v>3.4655555555555555</v>
      </c>
      <c r="S52" s="7">
        <v>3.31</v>
      </c>
      <c r="T52" s="7">
        <v>2.5299999999999998</v>
      </c>
      <c r="U52" s="7">
        <f>PC[[#This Row],[E7]]-(PC[[#This Row],[E7]]-PC[[#This Row],[E20]])/13*5</f>
        <v>2.195384615384615</v>
      </c>
      <c r="V52" s="7">
        <f>PC[[#This Row],[E7]]-(PC[[#This Row],[E7]]-PC[[#This Row],[E20]])/13*8</f>
        <v>1.9946153846153845</v>
      </c>
      <c r="W52" s="7">
        <v>1.66</v>
      </c>
      <c r="Y52">
        <v>5</v>
      </c>
      <c r="Z52">
        <v>6</v>
      </c>
    </row>
    <row r="53" spans="1:26" ht="150" customHeight="1" x14ac:dyDescent="0.25">
      <c r="A53" s="7" t="s">
        <v>659</v>
      </c>
      <c r="B53" s="7"/>
      <c r="C53" s="58" t="s">
        <v>660</v>
      </c>
      <c r="D53" s="7">
        <v>1</v>
      </c>
      <c r="E53" s="7">
        <f>(230946)*(1-0.45)</f>
        <v>127020.30000000002</v>
      </c>
      <c r="F53" s="7">
        <v>9.8699999999999992</v>
      </c>
      <c r="G53" s="7">
        <v>10.3</v>
      </c>
      <c r="H53" s="7">
        <v>11.4</v>
      </c>
      <c r="I53" s="7">
        <f>PC[[#This Row],[-7]]-(PC[[#This Row],[-7]]-PC[[#This Row],[2]])/9*5</f>
        <v>12.28888888888889</v>
      </c>
      <c r="J53" s="7">
        <v>13</v>
      </c>
      <c r="K53" s="7">
        <v>16</v>
      </c>
      <c r="L53" s="7">
        <v>16</v>
      </c>
      <c r="M53" s="7">
        <v>16</v>
      </c>
      <c r="N53" s="24">
        <v>16</v>
      </c>
      <c r="O53" s="7">
        <f>PC[[#This Row],[E-15]]+(PC[[#This Row],[E-15]]-PC[[#This Row],[E-7]])/8*5</f>
        <v>4.3487499999999999</v>
      </c>
      <c r="P53" s="7">
        <v>4.38</v>
      </c>
      <c r="Q53" s="7">
        <v>4.43</v>
      </c>
      <c r="R53" s="7">
        <f>PC[[#This Row],[E-7]]-(PC[[#This Row],[E-7]]-PC[[#This Row],[E2]])/9*5</f>
        <v>4.1688888888888886</v>
      </c>
      <c r="S53" s="7">
        <v>3.96</v>
      </c>
      <c r="T53" s="7">
        <v>3.74</v>
      </c>
      <c r="U53" s="7">
        <v>2.69</v>
      </c>
      <c r="V53" s="7">
        <f>PC[[#This Row],[E7]]-(PC[[#This Row],[E7]]-PC[[#This Row],[E20]])/13*8</f>
        <v>2.8600000000000003</v>
      </c>
      <c r="W53" s="7">
        <v>2.31</v>
      </c>
      <c r="Y53">
        <v>5</v>
      </c>
      <c r="Z53">
        <v>6</v>
      </c>
    </row>
    <row r="54" spans="1:26" ht="150" customHeight="1" x14ac:dyDescent="0.25">
      <c r="A54" s="7" t="s">
        <v>260</v>
      </c>
      <c r="B54" s="7"/>
      <c r="C54" s="32" t="s">
        <v>661</v>
      </c>
      <c r="D54" s="7">
        <v>1</v>
      </c>
      <c r="E54" s="7">
        <f>28437*(1-0.45)</f>
        <v>15640.35</v>
      </c>
      <c r="F54" s="7">
        <v>9</v>
      </c>
      <c r="G54" s="7">
        <v>9</v>
      </c>
      <c r="H54" s="7">
        <v>9</v>
      </c>
      <c r="I54" s="7">
        <f>PC[[#This Row],[-7]]+(PC[[#This Row],[2]]-PC[[#This Row],[-7]])/9*5</f>
        <v>9</v>
      </c>
      <c r="J54" s="7">
        <v>9</v>
      </c>
      <c r="K54" s="7">
        <v>9</v>
      </c>
      <c r="L54" s="7">
        <v>9</v>
      </c>
      <c r="M54" s="7">
        <v>9</v>
      </c>
      <c r="N54" s="24">
        <v>13.6</v>
      </c>
      <c r="O54" s="7">
        <f>PC[[#This Row],[E-15]]+(PC[[#This Row],[E-15]]-PC[[#This Row],[E-7]])/8*5</f>
        <v>3.7287499999999998</v>
      </c>
      <c r="P54" s="7">
        <v>3.51</v>
      </c>
      <c r="Q54" s="7">
        <v>3.16</v>
      </c>
      <c r="R54" s="7">
        <f>PC[[#This Row],[E-7]]-(PC[[#This Row],[E-7]]-PC[[#This Row],[E2]])/9*5</f>
        <v>2.798888888888889</v>
      </c>
      <c r="S54" s="7">
        <v>2.5099999999999998</v>
      </c>
      <c r="T54" s="7">
        <v>1.86</v>
      </c>
      <c r="U54" s="7">
        <v>1.86</v>
      </c>
      <c r="V54" s="7">
        <f>PC[[#This Row],[E7]]-(PC[[#This Row],[E7]]-PC[[#This Row],[E20]])/13*8</f>
        <v>1.7676923076923077</v>
      </c>
      <c r="W54" s="7">
        <v>1.71</v>
      </c>
      <c r="Y54">
        <v>5</v>
      </c>
      <c r="Z54">
        <v>3</v>
      </c>
    </row>
    <row r="55" spans="1:26" ht="150" customHeight="1" x14ac:dyDescent="0.25">
      <c r="A55" s="7" t="s">
        <v>402</v>
      </c>
      <c r="B55" s="7"/>
      <c r="C55" s="31" t="s">
        <v>662</v>
      </c>
      <c r="D55" s="7">
        <v>3</v>
      </c>
      <c r="E55" s="7">
        <f>32354*(1-0.45)</f>
        <v>17794.7</v>
      </c>
      <c r="F55" s="7">
        <v>9</v>
      </c>
      <c r="G55" s="7">
        <v>9</v>
      </c>
      <c r="H55" s="7">
        <v>9</v>
      </c>
      <c r="I55" s="7">
        <f>PC[[#This Row],[-7]]+(PC[[#This Row],[2]]-PC[[#This Row],[-7]])/9*5</f>
        <v>9</v>
      </c>
      <c r="J55" s="7">
        <v>9</v>
      </c>
      <c r="K55" s="7">
        <v>9</v>
      </c>
      <c r="L55" s="7">
        <v>9</v>
      </c>
      <c r="M55" s="7">
        <v>9</v>
      </c>
      <c r="N55" s="24">
        <v>13.6</v>
      </c>
      <c r="O55" s="7">
        <f>PC[[#This Row],[E-15]]+(PC[[#This Row],[E-15]]-PC[[#This Row],[E-7]])/8*5</f>
        <v>3.7287499999999998</v>
      </c>
      <c r="P55" s="7">
        <v>3.51</v>
      </c>
      <c r="Q55" s="7">
        <v>3.16</v>
      </c>
      <c r="R55" s="7">
        <f>PC[[#This Row],[E-7]]-(PC[[#This Row],[E-7]]-PC[[#This Row],[E2]])/9*5</f>
        <v>2.798888888888889</v>
      </c>
      <c r="S55" s="7">
        <v>2.5099999999999998</v>
      </c>
      <c r="T55" s="7">
        <v>1.86</v>
      </c>
      <c r="U55" s="7">
        <v>1.86</v>
      </c>
      <c r="V55" s="7">
        <f>PC[[#This Row],[E7]]-(PC[[#This Row],[E7]]-PC[[#This Row],[E20]])/13*8</f>
        <v>1.7676923076923077</v>
      </c>
      <c r="W55" s="7">
        <v>1.71</v>
      </c>
      <c r="Y55">
        <v>5</v>
      </c>
      <c r="Z55">
        <v>3</v>
      </c>
    </row>
    <row r="56" spans="1:26" ht="150" customHeight="1" x14ac:dyDescent="0.25">
      <c r="A56" s="7" t="s">
        <v>666</v>
      </c>
      <c r="B56" s="7"/>
      <c r="C56" s="31" t="s">
        <v>665</v>
      </c>
      <c r="D56" s="7">
        <v>1</v>
      </c>
      <c r="E56" s="7">
        <f>39414*(1-0.45)</f>
        <v>21677.7</v>
      </c>
      <c r="F56" s="7">
        <v>12</v>
      </c>
      <c r="G56" s="7">
        <v>12</v>
      </c>
      <c r="H56" s="7">
        <v>12</v>
      </c>
      <c r="I56" s="7">
        <v>12</v>
      </c>
      <c r="J56" s="7">
        <v>12</v>
      </c>
      <c r="K56" s="7">
        <v>12</v>
      </c>
      <c r="L56" s="7">
        <v>12</v>
      </c>
      <c r="M56" s="7">
        <v>12</v>
      </c>
      <c r="N56" s="24">
        <v>12</v>
      </c>
      <c r="O56" s="7">
        <v>5.8</v>
      </c>
      <c r="P56" s="7">
        <v>4.83</v>
      </c>
      <c r="Q56" s="7">
        <v>4.25</v>
      </c>
      <c r="R56" s="7"/>
      <c r="S56" s="7">
        <v>3.4</v>
      </c>
      <c r="T56" s="7">
        <v>2.5</v>
      </c>
      <c r="U56" s="7"/>
      <c r="V56" s="7">
        <f>PC[[#This Row],[E7]]-(PC[[#This Row],[E7]]-PC[[#This Row],[E20]])/13*8</f>
        <v>1.8784615384615384</v>
      </c>
      <c r="W56" s="7">
        <v>1.49</v>
      </c>
      <c r="Y56">
        <v>5</v>
      </c>
      <c r="Z56">
        <v>6</v>
      </c>
    </row>
    <row r="57" spans="1:26" ht="150" customHeight="1" x14ac:dyDescent="0.25">
      <c r="A57" s="7" t="s">
        <v>663</v>
      </c>
      <c r="B57" s="7"/>
      <c r="C57" s="31" t="s">
        <v>664</v>
      </c>
      <c r="D57" s="7">
        <v>3</v>
      </c>
      <c r="E57" s="7">
        <f>39414*(1-0.45)</f>
        <v>21677.7</v>
      </c>
      <c r="F57" s="7">
        <v>12</v>
      </c>
      <c r="G57" s="7">
        <v>12</v>
      </c>
      <c r="H57" s="7">
        <v>12</v>
      </c>
      <c r="I57" s="7">
        <v>12</v>
      </c>
      <c r="J57" s="7">
        <v>12</v>
      </c>
      <c r="K57" s="7">
        <v>12</v>
      </c>
      <c r="L57" s="7">
        <v>12</v>
      </c>
      <c r="M57" s="7">
        <v>12</v>
      </c>
      <c r="N57" s="24">
        <v>13.6</v>
      </c>
      <c r="O57" s="7">
        <f>PC[[#This Row],[E-15]]+(PC[[#This Row],[E-15]]-PC[[#This Row],[E-7]])/8*5</f>
        <v>5.30375</v>
      </c>
      <c r="P57" s="7">
        <v>4.96</v>
      </c>
      <c r="Q57" s="7">
        <v>4.41</v>
      </c>
      <c r="R57" s="7">
        <f>PC[[#This Row],[E-7]]-(PC[[#This Row],[E-7]]-PC[[#This Row],[E2]])/9*5</f>
        <v>3.8988888888888891</v>
      </c>
      <c r="S57" s="7">
        <v>3.49</v>
      </c>
      <c r="T57" s="7">
        <v>2.5299999999999998</v>
      </c>
      <c r="U57" s="7">
        <v>2.2999999999999998</v>
      </c>
      <c r="V57" s="7">
        <f>PC[[#This Row],[E7]]-(PC[[#This Row],[E7]]-PC[[#This Row],[E20]])/13*8</f>
        <v>2.0561538461538462</v>
      </c>
      <c r="W57" s="7">
        <v>1.76</v>
      </c>
      <c r="Y57">
        <v>5</v>
      </c>
      <c r="Z57">
        <v>9</v>
      </c>
    </row>
    <row r="58" spans="1:26" ht="150" customHeight="1" x14ac:dyDescent="0.25">
      <c r="A58" s="7" t="s">
        <v>261</v>
      </c>
      <c r="B58" s="7"/>
      <c r="C58" s="31" t="s">
        <v>262</v>
      </c>
      <c r="D58" s="7">
        <v>3</v>
      </c>
      <c r="E58" s="7">
        <f>44489*(1-0.45)</f>
        <v>24468.95</v>
      </c>
      <c r="F58" s="7">
        <v>16</v>
      </c>
      <c r="G58" s="7">
        <v>16</v>
      </c>
      <c r="H58" s="7">
        <v>16</v>
      </c>
      <c r="I58" s="7">
        <v>16</v>
      </c>
      <c r="J58" s="7">
        <v>16</v>
      </c>
      <c r="K58" s="7">
        <v>16</v>
      </c>
      <c r="L58" s="7">
        <v>16</v>
      </c>
      <c r="M58" s="7">
        <v>16</v>
      </c>
      <c r="N58" s="24">
        <v>16</v>
      </c>
      <c r="O58" s="7">
        <f>PC[[#This Row],[E-15]]+(PC[[#This Row],[E-15]]-PC[[#This Row],[E-7]])/8*5</f>
        <v>7.1837499999999999</v>
      </c>
      <c r="P58" s="7">
        <v>6.89</v>
      </c>
      <c r="Q58" s="7">
        <v>6.42</v>
      </c>
      <c r="R58" s="7">
        <f>PC[[#This Row],[E-7]]-(PC[[#This Row],[E-7]]-PC[[#This Row],[E2]])/9*5</f>
        <v>5.7477777777777774</v>
      </c>
      <c r="S58" s="7">
        <v>5.21</v>
      </c>
      <c r="T58" s="7">
        <v>3.74</v>
      </c>
      <c r="U58" s="7">
        <v>3.4</v>
      </c>
      <c r="V58" s="7">
        <v>3.18</v>
      </c>
      <c r="W58" s="7">
        <v>2.58</v>
      </c>
      <c r="Y58">
        <v>5</v>
      </c>
      <c r="Z58">
        <v>9</v>
      </c>
    </row>
    <row r="59" spans="1:26" ht="150" customHeight="1" x14ac:dyDescent="0.25">
      <c r="A59" s="7" t="s">
        <v>526</v>
      </c>
      <c r="B59" s="33" t="s">
        <v>667</v>
      </c>
      <c r="C59" s="33" t="s">
        <v>668</v>
      </c>
      <c r="D59" s="7">
        <v>1</v>
      </c>
      <c r="E59" s="7">
        <f>22200*(1-0.55)</f>
        <v>9989.9999999999982</v>
      </c>
      <c r="F59" s="7">
        <v>4.51</v>
      </c>
      <c r="G59" s="7">
        <v>5.12</v>
      </c>
      <c r="H59" s="7">
        <v>5.5</v>
      </c>
      <c r="I59" s="7">
        <v>5.5</v>
      </c>
      <c r="J59" s="7">
        <v>5.5</v>
      </c>
      <c r="K59" s="7">
        <v>5.5</v>
      </c>
      <c r="L59" s="7">
        <v>5.5</v>
      </c>
      <c r="M59" s="7">
        <v>5.5</v>
      </c>
      <c r="N59" s="24">
        <v>5.5</v>
      </c>
      <c r="O59" s="7">
        <f>PC[[#This Row],[-20]]/2.07</f>
        <v>2.1787439613526569</v>
      </c>
      <c r="P59" s="7">
        <f>PC[[#This Row],[-15]]/2.3</f>
        <v>2.2260869565217392</v>
      </c>
      <c r="Q59" s="7">
        <f>PC[[#This Row],[-7]]/2.7</f>
        <v>2.0370370370370368</v>
      </c>
      <c r="R59" s="7">
        <f>PC[[#This Row],[-2]]/3.14</f>
        <v>1.7515923566878979</v>
      </c>
      <c r="S59" s="7">
        <f>PC[[#This Row],[2]]/3.5</f>
        <v>1.5714285714285714</v>
      </c>
      <c r="T59" s="7">
        <f>PC[[#This Row],[7]]/4.9</f>
        <v>1.1224489795918366</v>
      </c>
      <c r="U59" s="7">
        <f>PC[[#This Row],[12]]/5.6</f>
        <v>0.98214285714285721</v>
      </c>
      <c r="V59" s="7">
        <f>PC[[#This Row],[15]]/6.06</f>
        <v>0.90759075907590769</v>
      </c>
      <c r="W59" s="7">
        <f>PC[[#This Row],[20]]/6.79</f>
        <v>0.81001472754050075</v>
      </c>
      <c r="Y59">
        <v>5</v>
      </c>
      <c r="Z59">
        <v>6</v>
      </c>
    </row>
    <row r="60" spans="1:26" ht="150" customHeight="1" x14ac:dyDescent="0.25">
      <c r="A60" s="7" t="s">
        <v>263</v>
      </c>
      <c r="B60" s="33" t="s">
        <v>667</v>
      </c>
      <c r="C60" s="33" t="s">
        <v>669</v>
      </c>
      <c r="D60" s="7">
        <v>1</v>
      </c>
      <c r="E60" s="7">
        <f>22600*(1-0.55)</f>
        <v>10169.999999999998</v>
      </c>
      <c r="F60" s="7">
        <v>5.43</v>
      </c>
      <c r="G60" s="7">
        <v>6</v>
      </c>
      <c r="H60" s="7">
        <v>7</v>
      </c>
      <c r="I60" s="7">
        <v>7</v>
      </c>
      <c r="J60" s="7">
        <v>7</v>
      </c>
      <c r="K60" s="7">
        <v>7</v>
      </c>
      <c r="L60" s="7">
        <v>7</v>
      </c>
      <c r="M60" s="7">
        <v>7</v>
      </c>
      <c r="N60" s="24">
        <v>7</v>
      </c>
      <c r="O60" s="7">
        <f>PC[[#This Row],[-20]]/2.02</f>
        <v>2.6881188118811878</v>
      </c>
      <c r="P60" s="7">
        <f>PC[[#This Row],[-15]]/2.25</f>
        <v>2.6666666666666665</v>
      </c>
      <c r="Q60" s="7">
        <f>PC[[#This Row],[-7]]/2.72</f>
        <v>2.5735294117647056</v>
      </c>
      <c r="R60" s="7">
        <f>PC[[#This Row],[-2]]/3.04</f>
        <v>2.3026315789473686</v>
      </c>
      <c r="S60" s="7">
        <f>PC[[#This Row],[2]]/3.4</f>
        <v>2.0588235294117649</v>
      </c>
      <c r="T60" s="7">
        <f>PC[[#This Row],[7]]/4.9</f>
        <v>1.4285714285714284</v>
      </c>
      <c r="U60" s="7">
        <f>PC[[#This Row],[12]]/5.55</f>
        <v>1.2612612612612613</v>
      </c>
      <c r="V60" s="7">
        <f>PC[[#This Row],[15]]/5.92</f>
        <v>1.1824324324324325</v>
      </c>
      <c r="W60" s="7">
        <f>PC[[#This Row],[20]]/6.55</f>
        <v>1.0687022900763359</v>
      </c>
      <c r="Y60">
        <v>5</v>
      </c>
      <c r="Z60">
        <v>6</v>
      </c>
    </row>
    <row r="61" spans="1:26" ht="150" customHeight="1" x14ac:dyDescent="0.25">
      <c r="A61" s="7" t="s">
        <v>264</v>
      </c>
      <c r="B61" s="33" t="s">
        <v>667</v>
      </c>
      <c r="C61" s="33" t="s">
        <v>670</v>
      </c>
      <c r="D61" s="7">
        <v>1</v>
      </c>
      <c r="E61" s="7">
        <f>23500*(1-0.55)</f>
        <v>10574.999999999998</v>
      </c>
      <c r="F61" s="7">
        <v>7</v>
      </c>
      <c r="G61" s="7">
        <v>7.8</v>
      </c>
      <c r="H61" s="7">
        <v>9</v>
      </c>
      <c r="I61" s="7">
        <v>9</v>
      </c>
      <c r="J61" s="7">
        <v>9</v>
      </c>
      <c r="K61" s="7">
        <v>9</v>
      </c>
      <c r="L61" s="7">
        <v>9</v>
      </c>
      <c r="M61" s="7">
        <v>9</v>
      </c>
      <c r="N61" s="24">
        <v>9</v>
      </c>
      <c r="O61" s="7">
        <f>PC[[#This Row],[-20]]/1.96</f>
        <v>3.5714285714285716</v>
      </c>
      <c r="P61" s="7">
        <f>PC[[#This Row],[-15]]/2.22</f>
        <v>3.5135135135135132</v>
      </c>
      <c r="Q61" s="7">
        <f>PC[[#This Row],[-7]]/2.71</f>
        <v>3.3210332103321032</v>
      </c>
      <c r="R61" s="7">
        <f>PC[[#This Row],[-2]]/2.97</f>
        <v>3.0303030303030303</v>
      </c>
      <c r="S61" s="7">
        <f>PC[[#This Row],[2]]/3.35</f>
        <v>2.6865671641791042</v>
      </c>
      <c r="T61" s="7">
        <f>PC[[#This Row],[7]]/4.65</f>
        <v>1.9354838709677418</v>
      </c>
      <c r="U61" s="7">
        <f>PC[[#This Row],[12]]/5.65</f>
        <v>1.5929203539823007</v>
      </c>
      <c r="V61" s="7">
        <f>PC[[#This Row],[15]]/5.83</f>
        <v>1.5437392795883362</v>
      </c>
      <c r="W61" s="7">
        <f>PC[[#This Row],[20]]/6.04</f>
        <v>1.490066225165563</v>
      </c>
      <c r="Y61">
        <v>5</v>
      </c>
      <c r="Z61">
        <v>6</v>
      </c>
    </row>
    <row r="62" spans="1:26" ht="150" customHeight="1" x14ac:dyDescent="0.25">
      <c r="A62" s="7" t="s">
        <v>675</v>
      </c>
      <c r="B62" s="33" t="s">
        <v>674</v>
      </c>
      <c r="C62" s="33" t="s">
        <v>673</v>
      </c>
      <c r="D62" s="7">
        <v>1</v>
      </c>
      <c r="E62" s="7">
        <f>26200*(1-0.55)</f>
        <v>11789.999999999998</v>
      </c>
      <c r="F62" s="7">
        <v>11.32</v>
      </c>
      <c r="G62" s="7">
        <v>11.66</v>
      </c>
      <c r="H62" s="7">
        <v>12</v>
      </c>
      <c r="I62" s="7">
        <v>12</v>
      </c>
      <c r="J62" s="7">
        <v>12</v>
      </c>
      <c r="K62" s="7">
        <v>12</v>
      </c>
      <c r="L62" s="7">
        <v>12</v>
      </c>
      <c r="M62" s="7">
        <v>12</v>
      </c>
      <c r="N62" s="24">
        <v>12</v>
      </c>
      <c r="O62" s="7">
        <f>PC[[#This Row],[-20]]/3.01</f>
        <v>3.7607973421926912</v>
      </c>
      <c r="P62" s="7">
        <f>PC[[#This Row],[-15]]/3.27</f>
        <v>3.5657492354740064</v>
      </c>
      <c r="Q62" s="7">
        <f>PC[[#This Row],[-7]]/3.52</f>
        <v>3.4090909090909092</v>
      </c>
      <c r="R62" s="7">
        <f>PC[[#This Row],[-2]]/3.6</f>
        <v>3.333333333333333</v>
      </c>
      <c r="S62" s="7">
        <f>PC[[#This Row],[2]]/3.85</f>
        <v>3.116883116883117</v>
      </c>
      <c r="T62" s="7">
        <f>PC[[#This Row],[7]]/4.55</f>
        <v>2.6373626373626373</v>
      </c>
      <c r="U62" s="7">
        <f>PC[[#This Row],[12]]/6.66</f>
        <v>1.8018018018018018</v>
      </c>
      <c r="V62" s="7">
        <f>PC[[#This Row],[15]]/7.91</f>
        <v>1.5170670037926675</v>
      </c>
      <c r="W62" s="7">
        <f>PC[[#This Row],[20]]/9.05</f>
        <v>1.3259668508287292</v>
      </c>
      <c r="Y62">
        <v>5</v>
      </c>
      <c r="Z62">
        <v>6</v>
      </c>
    </row>
    <row r="63" spans="1:26" ht="150" customHeight="1" x14ac:dyDescent="0.25">
      <c r="A63" s="7" t="s">
        <v>676</v>
      </c>
      <c r="B63" s="33" t="s">
        <v>671</v>
      </c>
      <c r="C63" s="33" t="s">
        <v>672</v>
      </c>
      <c r="D63" s="7">
        <v>3</v>
      </c>
      <c r="E63" s="7">
        <f>30400*(1-0.55)</f>
        <v>13679.999999999998</v>
      </c>
      <c r="F63" s="7">
        <v>11.32</v>
      </c>
      <c r="G63" s="7">
        <v>11.66</v>
      </c>
      <c r="H63" s="7">
        <v>12</v>
      </c>
      <c r="I63" s="7">
        <v>12</v>
      </c>
      <c r="J63" s="7">
        <v>12</v>
      </c>
      <c r="K63" s="7">
        <v>12</v>
      </c>
      <c r="L63" s="7">
        <v>12</v>
      </c>
      <c r="M63" s="7">
        <v>12</v>
      </c>
      <c r="N63" s="24">
        <v>12</v>
      </c>
      <c r="O63" s="7">
        <f>PC[[#This Row],[-20]]/3.01</f>
        <v>3.7607973421926912</v>
      </c>
      <c r="P63" s="7">
        <f>PC[[#This Row],[-15]]/3.27</f>
        <v>3.5657492354740064</v>
      </c>
      <c r="Q63" s="7">
        <f>PC[[#This Row],[-7]]/3.52</f>
        <v>3.4090909090909092</v>
      </c>
      <c r="R63" s="7">
        <f>PC[[#This Row],[-2]]/3.6</f>
        <v>3.333333333333333</v>
      </c>
      <c r="S63" s="7">
        <f>PC[[#This Row],[2]]/3.85</f>
        <v>3.116883116883117</v>
      </c>
      <c r="T63" s="7">
        <f>PC[[#This Row],[7]]/4.55</f>
        <v>2.6373626373626373</v>
      </c>
      <c r="U63" s="7">
        <f>PC[[#This Row],[12]]/6.66</f>
        <v>1.8018018018018018</v>
      </c>
      <c r="V63" s="7">
        <f>PC[[#This Row],[15]]/7.91</f>
        <v>1.5170670037926675</v>
      </c>
      <c r="W63" s="7">
        <f>PC[[#This Row],[20]]/9.05</f>
        <v>1.3259668508287292</v>
      </c>
      <c r="Y63">
        <v>5</v>
      </c>
      <c r="Z63">
        <v>6</v>
      </c>
    </row>
    <row r="64" spans="1:26" ht="150" customHeight="1" x14ac:dyDescent="0.25">
      <c r="A64" s="7" t="s">
        <v>678</v>
      </c>
      <c r="B64" s="33" t="s">
        <v>674</v>
      </c>
      <c r="C64" s="33" t="s">
        <v>679</v>
      </c>
      <c r="D64" s="7">
        <v>1</v>
      </c>
      <c r="E64" s="7">
        <f>27600*(1-0.55)</f>
        <v>12419.999999999998</v>
      </c>
      <c r="F64" s="7">
        <v>11.98</v>
      </c>
      <c r="G64" s="7">
        <v>12.99</v>
      </c>
      <c r="H64" s="7">
        <v>14</v>
      </c>
      <c r="I64" s="7">
        <v>14</v>
      </c>
      <c r="J64" s="7">
        <v>14</v>
      </c>
      <c r="K64" s="7">
        <v>14</v>
      </c>
      <c r="L64" s="7">
        <v>14</v>
      </c>
      <c r="M64" s="7">
        <v>14</v>
      </c>
      <c r="N64" s="24">
        <v>14</v>
      </c>
      <c r="O64" s="7">
        <f>PC[[#This Row],[-20]]/2.71</f>
        <v>4.4206642066420665</v>
      </c>
      <c r="P64" s="7">
        <f>PC[[#This Row],[-15]]/3.01</f>
        <v>4.3156146179401995</v>
      </c>
      <c r="Q64" s="7">
        <f>PC[[#This Row],[-7]]/3.3</f>
        <v>4.2424242424242422</v>
      </c>
      <c r="R64" s="7">
        <f>PC[[#This Row],[-2]]/3.5</f>
        <v>4</v>
      </c>
      <c r="S64" s="7">
        <f>PC[[#This Row],[2]]/3.78</f>
        <v>3.7037037037037037</v>
      </c>
      <c r="T64" s="7">
        <f>PC[[#This Row],[7]]/4.41</f>
        <v>3.1746031746031744</v>
      </c>
      <c r="U64" s="7">
        <f>PC[[#This Row],[12]]/5.81</f>
        <v>2.4096385542168677</v>
      </c>
      <c r="V64" s="7">
        <f>PC[[#This Row],[15]]/6.37</f>
        <v>2.1978021978021975</v>
      </c>
      <c r="W64" s="7">
        <f>PC[[#This Row],[20]]/7.92</f>
        <v>1.7676767676767677</v>
      </c>
      <c r="Y64">
        <v>5</v>
      </c>
      <c r="Z64">
        <v>6</v>
      </c>
    </row>
    <row r="65" spans="1:26" ht="150" customHeight="1" x14ac:dyDescent="0.25">
      <c r="A65" s="7" t="s">
        <v>677</v>
      </c>
      <c r="B65" s="33" t="s">
        <v>671</v>
      </c>
      <c r="C65" s="33" t="s">
        <v>680</v>
      </c>
      <c r="D65" s="7">
        <v>3</v>
      </c>
      <c r="E65" s="7">
        <f>31400*(1-0.55)</f>
        <v>14129.999999999998</v>
      </c>
      <c r="F65" s="7">
        <v>11.98</v>
      </c>
      <c r="G65" s="7">
        <v>12.99</v>
      </c>
      <c r="H65" s="7">
        <v>14</v>
      </c>
      <c r="I65" s="7">
        <v>14</v>
      </c>
      <c r="J65" s="7">
        <v>14</v>
      </c>
      <c r="K65" s="7">
        <v>14</v>
      </c>
      <c r="L65" s="7">
        <v>14</v>
      </c>
      <c r="M65" s="7">
        <v>14</v>
      </c>
      <c r="N65" s="24">
        <v>14</v>
      </c>
      <c r="O65" s="7">
        <f>PC[[#This Row],[-20]]/2.71</f>
        <v>4.4206642066420665</v>
      </c>
      <c r="P65" s="7">
        <f>PC[[#This Row],[-15]]/3.01</f>
        <v>4.3156146179401995</v>
      </c>
      <c r="Q65" s="7">
        <f>PC[[#This Row],[-7]]/3.3</f>
        <v>4.2424242424242422</v>
      </c>
      <c r="R65" s="7">
        <f>PC[[#This Row],[-2]]/3.5</f>
        <v>4</v>
      </c>
      <c r="S65" s="7">
        <f>PC[[#This Row],[2]]/3.78</f>
        <v>3.7037037037037037</v>
      </c>
      <c r="T65" s="7">
        <f>PC[[#This Row],[7]]/4.41</f>
        <v>3.1746031746031744</v>
      </c>
      <c r="U65" s="7">
        <f>PC[[#This Row],[12]]/5.81</f>
        <v>2.4096385542168677</v>
      </c>
      <c r="V65" s="7">
        <f>PC[[#This Row],[15]]/6.37</f>
        <v>2.1978021978021975</v>
      </c>
      <c r="W65" s="7">
        <f>PC[[#This Row],[20]]/7.92</f>
        <v>1.7676767676767677</v>
      </c>
      <c r="Y65">
        <v>5</v>
      </c>
      <c r="Z65">
        <v>6</v>
      </c>
    </row>
    <row r="66" spans="1:26" ht="150" customHeight="1" x14ac:dyDescent="0.25">
      <c r="A66" s="7" t="s">
        <v>683</v>
      </c>
      <c r="B66" s="33" t="s">
        <v>674</v>
      </c>
      <c r="C66" s="33" t="s">
        <v>681</v>
      </c>
      <c r="D66" s="7">
        <v>1</v>
      </c>
      <c r="E66" s="7">
        <f>29800*(1-0.55)</f>
        <v>13409.999999999998</v>
      </c>
      <c r="F66" s="7">
        <v>12.9</v>
      </c>
      <c r="G66" s="7">
        <v>13.7</v>
      </c>
      <c r="H66" s="7">
        <v>14.5</v>
      </c>
      <c r="I66" s="7">
        <v>14.8</v>
      </c>
      <c r="J66" s="7">
        <v>16</v>
      </c>
      <c r="K66" s="7">
        <v>16</v>
      </c>
      <c r="L66" s="7">
        <v>16</v>
      </c>
      <c r="M66" s="7">
        <v>16</v>
      </c>
      <c r="N66" s="24">
        <v>16</v>
      </c>
      <c r="O66" s="7">
        <f>PC[[#This Row],[-20]]/2.41</f>
        <v>5.3526970954356843</v>
      </c>
      <c r="P66" s="7">
        <f>PC[[#This Row],[-15]]/2.72</f>
        <v>5.0367647058823524</v>
      </c>
      <c r="Q66" s="7">
        <f>PC[[#This Row],[-7]]/3.02</f>
        <v>4.8013245033112586</v>
      </c>
      <c r="R66" s="7">
        <f>PC[[#This Row],[-2]]/3.18</f>
        <v>4.6540880503144653</v>
      </c>
      <c r="S66" s="7">
        <f>PC[[#This Row],[2]]/3.38</f>
        <v>4.7337278106508878</v>
      </c>
      <c r="T66" s="7">
        <f>PC[[#This Row],[7]]/4.26</f>
        <v>3.755868544600939</v>
      </c>
      <c r="U66" s="7">
        <f>PC[[#This Row],[12]]/5.4</f>
        <v>2.9629629629629628</v>
      </c>
      <c r="V66" s="7">
        <f>PC[[#This Row],[15]]/6.02</f>
        <v>2.6578073089700998</v>
      </c>
      <c r="W66" s="7">
        <f>PC[[#This Row],[20]]/6.92</f>
        <v>2.3121387283236996</v>
      </c>
      <c r="Y66">
        <v>5</v>
      </c>
      <c r="Z66">
        <v>6</v>
      </c>
    </row>
    <row r="67" spans="1:26" ht="150" customHeight="1" x14ac:dyDescent="0.25">
      <c r="A67" s="7" t="s">
        <v>684</v>
      </c>
      <c r="B67" s="33" t="s">
        <v>671</v>
      </c>
      <c r="C67" s="33" t="s">
        <v>682</v>
      </c>
      <c r="D67" s="7">
        <v>3</v>
      </c>
      <c r="E67" s="7">
        <f>32200*(1-0.55)</f>
        <v>14489.999999999998</v>
      </c>
      <c r="F67" s="7">
        <v>12.9</v>
      </c>
      <c r="G67" s="7">
        <v>13.7</v>
      </c>
      <c r="H67" s="7">
        <v>14.5</v>
      </c>
      <c r="I67" s="7">
        <v>14.8</v>
      </c>
      <c r="J67" s="7">
        <v>16</v>
      </c>
      <c r="K67" s="7">
        <v>16</v>
      </c>
      <c r="L67" s="7">
        <v>16</v>
      </c>
      <c r="M67" s="7">
        <v>16</v>
      </c>
      <c r="N67" s="24">
        <v>16</v>
      </c>
      <c r="O67" s="7">
        <f>PC[[#This Row],[-20]]/2.41</f>
        <v>5.3526970954356843</v>
      </c>
      <c r="P67" s="7">
        <f>PC[[#This Row],[-15]]/2.72</f>
        <v>5.0367647058823524</v>
      </c>
      <c r="Q67" s="7">
        <f>PC[[#This Row],[-7]]/3.02</f>
        <v>4.8013245033112586</v>
      </c>
      <c r="R67" s="7">
        <f>PC[[#This Row],[-2]]/3.18</f>
        <v>4.6540880503144653</v>
      </c>
      <c r="S67" s="7">
        <f>PC[[#This Row],[2]]/3.38</f>
        <v>4.7337278106508878</v>
      </c>
      <c r="T67" s="7">
        <f>PC[[#This Row],[7]]/4.26</f>
        <v>3.755868544600939</v>
      </c>
      <c r="U67" s="7">
        <f>PC[[#This Row],[12]]/5.4</f>
        <v>2.9629629629629628</v>
      </c>
      <c r="V67" s="7">
        <f>PC[[#This Row],[15]]/6.02</f>
        <v>2.6578073089700998</v>
      </c>
      <c r="W67" s="7">
        <f>PC[[#This Row],[20]]/6.92</f>
        <v>2.3121387283236996</v>
      </c>
      <c r="Y67">
        <v>5</v>
      </c>
      <c r="Z67">
        <v>6</v>
      </c>
    </row>
    <row r="68" spans="1:26" ht="150" customHeight="1" x14ac:dyDescent="0.25">
      <c r="A68" s="7" t="s">
        <v>687</v>
      </c>
      <c r="B68" s="33" t="s">
        <v>688</v>
      </c>
      <c r="C68" s="33" t="s">
        <v>668</v>
      </c>
      <c r="D68" s="7">
        <v>1</v>
      </c>
      <c r="E68" s="7">
        <f>34400*(1-0.55)</f>
        <v>15479.999999999998</v>
      </c>
      <c r="F68" s="7">
        <v>4.51</v>
      </c>
      <c r="G68" s="7">
        <v>5.12</v>
      </c>
      <c r="H68" s="7">
        <v>5.5</v>
      </c>
      <c r="I68" s="7">
        <v>5.5</v>
      </c>
      <c r="J68" s="7">
        <v>5.5</v>
      </c>
      <c r="K68" s="7">
        <v>5.5</v>
      </c>
      <c r="L68" s="7">
        <v>5.5</v>
      </c>
      <c r="M68" s="7">
        <v>5.5</v>
      </c>
      <c r="N68" s="24">
        <v>5.5</v>
      </c>
      <c r="O68" s="7">
        <f>PC[[#This Row],[-20]]/2.07</f>
        <v>2.1787439613526569</v>
      </c>
      <c r="P68" s="7">
        <f>PC[[#This Row],[-15]]/2.3</f>
        <v>2.2260869565217392</v>
      </c>
      <c r="Q68" s="7">
        <f>PC[[#This Row],[-7]]/2.7</f>
        <v>2.0370370370370368</v>
      </c>
      <c r="R68" s="7">
        <f>PC[[#This Row],[-2]]/3.14</f>
        <v>1.7515923566878979</v>
      </c>
      <c r="S68" s="7">
        <f>PC[[#This Row],[2]]/3.5</f>
        <v>1.5714285714285714</v>
      </c>
      <c r="T68" s="7">
        <f>PC[[#This Row],[7]]/4.9</f>
        <v>1.1224489795918366</v>
      </c>
      <c r="U68" s="7">
        <f>PC[[#This Row],[12]]/5.6</f>
        <v>0.98214285714285721</v>
      </c>
      <c r="V68" s="7">
        <f>PC[[#This Row],[15]]/6.06</f>
        <v>0.90759075907590769</v>
      </c>
      <c r="W68" s="7">
        <f>PC[[#This Row],[20]]/6.79</f>
        <v>0.81001472754050075</v>
      </c>
      <c r="Y68">
        <v>5</v>
      </c>
      <c r="Z68">
        <v>6</v>
      </c>
    </row>
    <row r="69" spans="1:26" ht="150" customHeight="1" x14ac:dyDescent="0.25">
      <c r="A69" s="7" t="s">
        <v>685</v>
      </c>
      <c r="B69" s="33" t="s">
        <v>688</v>
      </c>
      <c r="C69" s="33" t="s">
        <v>669</v>
      </c>
      <c r="D69" s="7">
        <v>1</v>
      </c>
      <c r="E69" s="7">
        <f>33480*(1-0.55)</f>
        <v>15065.999999999998</v>
      </c>
      <c r="F69" s="7">
        <v>5.43</v>
      </c>
      <c r="G69" s="7">
        <v>6</v>
      </c>
      <c r="H69" s="7">
        <v>7</v>
      </c>
      <c r="I69" s="7">
        <v>7</v>
      </c>
      <c r="J69" s="7">
        <v>7</v>
      </c>
      <c r="K69" s="7">
        <v>7</v>
      </c>
      <c r="L69" s="7">
        <v>7</v>
      </c>
      <c r="M69" s="7">
        <v>7</v>
      </c>
      <c r="N69" s="24">
        <v>7</v>
      </c>
      <c r="O69" s="7">
        <f>PC[[#This Row],[-20]]/2.02</f>
        <v>2.6881188118811878</v>
      </c>
      <c r="P69" s="7">
        <f>PC[[#This Row],[-15]]/2.25</f>
        <v>2.6666666666666665</v>
      </c>
      <c r="Q69" s="7">
        <f>PC[[#This Row],[-7]]/2.72</f>
        <v>2.5735294117647056</v>
      </c>
      <c r="R69" s="7">
        <f>PC[[#This Row],[-2]]/3.04</f>
        <v>2.3026315789473686</v>
      </c>
      <c r="S69" s="7">
        <f>PC[[#This Row],[2]]/3.4</f>
        <v>2.0588235294117649</v>
      </c>
      <c r="T69" s="7">
        <f>PC[[#This Row],[7]]/4.9</f>
        <v>1.4285714285714284</v>
      </c>
      <c r="U69" s="7">
        <f>PC[[#This Row],[12]]/5.55</f>
        <v>1.2612612612612613</v>
      </c>
      <c r="V69" s="7">
        <f>PC[[#This Row],[15]]/5.92</f>
        <v>1.1824324324324325</v>
      </c>
      <c r="W69" s="7">
        <f>PC[[#This Row],[20]]/6.55</f>
        <v>1.0687022900763359</v>
      </c>
      <c r="Y69">
        <v>5</v>
      </c>
      <c r="Z69">
        <v>6</v>
      </c>
    </row>
    <row r="70" spans="1:26" ht="150" customHeight="1" x14ac:dyDescent="0.25">
      <c r="A70" s="7" t="s">
        <v>686</v>
      </c>
      <c r="B70" s="33" t="s">
        <v>688</v>
      </c>
      <c r="C70" s="33" t="s">
        <v>670</v>
      </c>
      <c r="D70" s="7">
        <v>1</v>
      </c>
      <c r="E70" s="7">
        <f>35700*(1-0.55)</f>
        <v>16064.999999999998</v>
      </c>
      <c r="F70" s="7">
        <v>7</v>
      </c>
      <c r="G70" s="7">
        <v>7.8</v>
      </c>
      <c r="H70" s="7">
        <v>9</v>
      </c>
      <c r="I70" s="7">
        <v>9</v>
      </c>
      <c r="J70" s="7">
        <v>9</v>
      </c>
      <c r="K70" s="7">
        <v>9</v>
      </c>
      <c r="L70" s="7">
        <v>9</v>
      </c>
      <c r="M70" s="7">
        <v>9</v>
      </c>
      <c r="N70" s="24">
        <v>9</v>
      </c>
      <c r="O70" s="7">
        <f>PC[[#This Row],[-20]]/1.96</f>
        <v>3.5714285714285716</v>
      </c>
      <c r="P70" s="7">
        <f>PC[[#This Row],[-15]]/2.22</f>
        <v>3.5135135135135132</v>
      </c>
      <c r="Q70" s="7">
        <f>PC[[#This Row],[-7]]/2.71</f>
        <v>3.3210332103321032</v>
      </c>
      <c r="R70" s="7">
        <f>PC[[#This Row],[-2]]/2.97</f>
        <v>3.0303030303030303</v>
      </c>
      <c r="S70" s="7">
        <f>PC[[#This Row],[2]]/3.35</f>
        <v>2.6865671641791042</v>
      </c>
      <c r="T70" s="7">
        <f>PC[[#This Row],[7]]/4.65</f>
        <v>1.9354838709677418</v>
      </c>
      <c r="U70" s="7">
        <f>PC[[#This Row],[12]]/5.65</f>
        <v>1.5929203539823007</v>
      </c>
      <c r="V70" s="7">
        <f>PC[[#This Row],[15]]/5.83</f>
        <v>1.5437392795883362</v>
      </c>
      <c r="W70" s="7">
        <f>PC[[#This Row],[20]]/6.04</f>
        <v>1.490066225165563</v>
      </c>
      <c r="Y70">
        <v>5</v>
      </c>
      <c r="Z70">
        <v>6</v>
      </c>
    </row>
    <row r="71" spans="1:26" ht="150" customHeight="1" x14ac:dyDescent="0.25">
      <c r="A71" s="7" t="s">
        <v>689</v>
      </c>
      <c r="B71" s="33"/>
      <c r="C71" s="33" t="s">
        <v>698</v>
      </c>
      <c r="D71" s="7">
        <v>1</v>
      </c>
      <c r="E71" s="7">
        <f>21100*(1-0.55)</f>
        <v>9494.9999999999982</v>
      </c>
      <c r="F71" s="7">
        <v>5.5</v>
      </c>
      <c r="G71" s="7">
        <v>5.5</v>
      </c>
      <c r="H71" s="7">
        <v>5.5</v>
      </c>
      <c r="I71" s="7">
        <v>5.5</v>
      </c>
      <c r="J71" s="7">
        <v>5.5</v>
      </c>
      <c r="K71" s="7">
        <v>5.5</v>
      </c>
      <c r="L71" s="7">
        <v>5.5</v>
      </c>
      <c r="M71" s="7">
        <v>5.5</v>
      </c>
      <c r="N71" s="24">
        <v>5.5</v>
      </c>
      <c r="O71" s="7">
        <f>PC[[#This Row],[-20]]/2.38</f>
        <v>2.3109243697478994</v>
      </c>
      <c r="P71" s="7">
        <f>PC[[#This Row],[-15]]/2.5</f>
        <v>2.2000000000000002</v>
      </c>
      <c r="Q71" s="7">
        <f>PC[[#This Row],[-7]]/3.2</f>
        <v>1.71875</v>
      </c>
      <c r="R71" s="7">
        <f>PC[[#This Row],[-2]]/3.8</f>
        <v>1.4473684210526316</v>
      </c>
      <c r="S71" s="7">
        <f>PC[[#This Row],[2]]/4.2</f>
        <v>1.3095238095238095</v>
      </c>
      <c r="T71" s="7">
        <f>PC[[#This Row],[7]]/4.7</f>
        <v>1.1702127659574468</v>
      </c>
      <c r="U71" s="7">
        <f>PC[[#This Row],[12]]/5.5</f>
        <v>1</v>
      </c>
      <c r="V71" s="7">
        <f>PC[[#This Row],[15]]/5.92</f>
        <v>0.92905405405405406</v>
      </c>
      <c r="W71" s="7">
        <f>PC[[#This Row],[20]]/6.43</f>
        <v>0.85536547433903576</v>
      </c>
      <c r="Y71">
        <v>5</v>
      </c>
      <c r="Z71">
        <v>3</v>
      </c>
    </row>
    <row r="72" spans="1:26" ht="150" customHeight="1" x14ac:dyDescent="0.25">
      <c r="A72" s="7" t="s">
        <v>690</v>
      </c>
      <c r="B72" s="33"/>
      <c r="C72" s="33" t="s">
        <v>706</v>
      </c>
      <c r="D72" s="7">
        <v>1</v>
      </c>
      <c r="E72" s="7">
        <f>22200*(1-0.55)</f>
        <v>9989.9999999999982</v>
      </c>
      <c r="F72" s="7">
        <v>6.43</v>
      </c>
      <c r="G72" s="7">
        <v>7</v>
      </c>
      <c r="H72" s="7">
        <v>7</v>
      </c>
      <c r="I72" s="7">
        <v>7</v>
      </c>
      <c r="J72" s="7">
        <v>7</v>
      </c>
      <c r="K72" s="7">
        <v>7</v>
      </c>
      <c r="L72" s="7">
        <v>7</v>
      </c>
      <c r="M72" s="7">
        <v>7</v>
      </c>
      <c r="N72" s="24">
        <v>7</v>
      </c>
      <c r="O72" s="7">
        <f>PC[[#This Row],[-20]]/2.34</f>
        <v>2.7478632478632479</v>
      </c>
      <c r="P72" s="7">
        <f>PC[[#This Row],[-15]]/2.45</f>
        <v>2.8571428571428568</v>
      </c>
      <c r="Q72" s="7">
        <f>PC[[#This Row],[-7]]/3.15</f>
        <v>2.2222222222222223</v>
      </c>
      <c r="R72" s="7">
        <f>PC[[#This Row],[-2]]/3.78</f>
        <v>1.8518518518518519</v>
      </c>
      <c r="S72" s="7">
        <f>PC[[#This Row],[2]]/4.19</f>
        <v>1.6706443914081144</v>
      </c>
      <c r="T72" s="7">
        <f>PC[[#This Row],[7]]/4.7</f>
        <v>1.4893617021276595</v>
      </c>
      <c r="U72" s="7">
        <f>PC[[#This Row],[12]]/5.5</f>
        <v>1.2727272727272727</v>
      </c>
      <c r="V72" s="7">
        <f>PC[[#This Row],[15]]/5.88</f>
        <v>1.1904761904761905</v>
      </c>
      <c r="W72" s="7">
        <f>PC[[#This Row],[20]]/6.39</f>
        <v>1.0954616588419406</v>
      </c>
      <c r="Y72">
        <v>5</v>
      </c>
      <c r="Z72">
        <v>3</v>
      </c>
    </row>
    <row r="73" spans="1:26" ht="150" customHeight="1" x14ac:dyDescent="0.25">
      <c r="A73" s="7" t="s">
        <v>691</v>
      </c>
      <c r="B73" s="33"/>
      <c r="C73" s="33" t="s">
        <v>705</v>
      </c>
      <c r="D73" s="7">
        <v>1</v>
      </c>
      <c r="E73" s="7">
        <f>25000*(1-0.55)</f>
        <v>11249.999999999998</v>
      </c>
      <c r="F73" s="7">
        <v>7.6</v>
      </c>
      <c r="G73" s="7">
        <v>9</v>
      </c>
      <c r="H73" s="7">
        <v>9</v>
      </c>
      <c r="I73" s="7">
        <v>9</v>
      </c>
      <c r="J73" s="7">
        <v>9</v>
      </c>
      <c r="K73" s="7">
        <v>9</v>
      </c>
      <c r="L73" s="7">
        <v>9</v>
      </c>
      <c r="M73" s="7">
        <v>9</v>
      </c>
      <c r="N73" s="24">
        <v>9</v>
      </c>
      <c r="O73" s="7">
        <f>PC[[#This Row],[-20]]/2.31</f>
        <v>3.2900432900432897</v>
      </c>
      <c r="P73" s="7">
        <f>PC[[#This Row],[-15]]/2.4</f>
        <v>3.75</v>
      </c>
      <c r="Q73" s="7">
        <f>PC[[#This Row],[-7]]/3.1</f>
        <v>2.903225806451613</v>
      </c>
      <c r="R73" s="7">
        <f>PC[[#This Row],[-2]]/3.7</f>
        <v>2.4324324324324325</v>
      </c>
      <c r="S73" s="7">
        <f>PC[[#This Row],[2]]/4.1</f>
        <v>2.1951219512195124</v>
      </c>
      <c r="T73" s="7">
        <f>PC[[#This Row],[7]]/4.6</f>
        <v>1.956521739130435</v>
      </c>
      <c r="U73" s="7">
        <f>PC[[#This Row],[12]]/5.4</f>
        <v>1.6666666666666665</v>
      </c>
      <c r="V73" s="7">
        <f>PC[[#This Row],[15]]/5.77</f>
        <v>1.5597920277296362</v>
      </c>
      <c r="W73" s="7">
        <f>PC[[#This Row],[20]]/6.27</f>
        <v>1.4354066985645935</v>
      </c>
      <c r="Y73">
        <v>5</v>
      </c>
      <c r="Z73">
        <v>3</v>
      </c>
    </row>
    <row r="74" spans="1:26" ht="150" customHeight="1" x14ac:dyDescent="0.25">
      <c r="A74" s="7" t="s">
        <v>692</v>
      </c>
      <c r="B74" s="33"/>
      <c r="C74" s="33" t="s">
        <v>704</v>
      </c>
      <c r="D74" s="7">
        <v>1</v>
      </c>
      <c r="E74" s="7">
        <f>28000*(1-0.55)</f>
        <v>12599.999999999998</v>
      </c>
      <c r="F74" s="7">
        <v>10.75</v>
      </c>
      <c r="G74" s="7">
        <v>12</v>
      </c>
      <c r="H74" s="7">
        <v>12</v>
      </c>
      <c r="I74" s="7">
        <v>12</v>
      </c>
      <c r="J74" s="7">
        <v>12</v>
      </c>
      <c r="K74" s="7">
        <v>12</v>
      </c>
      <c r="L74" s="7">
        <v>12</v>
      </c>
      <c r="M74" s="7">
        <v>12</v>
      </c>
      <c r="N74" s="24">
        <v>12</v>
      </c>
      <c r="O74" s="7">
        <f>PC[[#This Row],[-20]]/2.47</f>
        <v>4.3522267206477725</v>
      </c>
      <c r="P74" s="7">
        <f>PC[[#This Row],[-15]]/2.55</f>
        <v>4.7058823529411766</v>
      </c>
      <c r="Q74" s="7">
        <f>PC[[#This Row],[-7]]/3.4</f>
        <v>3.5294117647058822</v>
      </c>
      <c r="R74" s="7">
        <f>PC[[#This Row],[-2]]/3.78</f>
        <v>3.1746031746031749</v>
      </c>
      <c r="S74" s="7">
        <f>PC[[#This Row],[2]]/4.19</f>
        <v>2.8639618138424821</v>
      </c>
      <c r="T74" s="7">
        <f>PC[[#This Row],[7]]/4.9</f>
        <v>2.4489795918367343</v>
      </c>
      <c r="U74" s="7">
        <f>PC[[#This Row],[12]]/5.75</f>
        <v>2.0869565217391304</v>
      </c>
      <c r="V74" s="7">
        <f>PC[[#This Row],[15]]/6</f>
        <v>2</v>
      </c>
      <c r="W74" s="7">
        <f>PC[[#This Row],[20]]/6.5</f>
        <v>1.8461538461538463</v>
      </c>
      <c r="Y74">
        <v>5</v>
      </c>
      <c r="Z74">
        <v>6</v>
      </c>
    </row>
    <row r="75" spans="1:26" ht="150" customHeight="1" x14ac:dyDescent="0.25">
      <c r="A75" s="7" t="s">
        <v>693</v>
      </c>
      <c r="B75" s="33"/>
      <c r="C75" s="33" t="s">
        <v>703</v>
      </c>
      <c r="D75" s="7">
        <v>3</v>
      </c>
      <c r="E75" s="7">
        <f>29900*(1-0.55)</f>
        <v>13454.999999999998</v>
      </c>
      <c r="F75" s="7">
        <v>10.75</v>
      </c>
      <c r="G75" s="7">
        <v>12</v>
      </c>
      <c r="H75" s="7">
        <v>12</v>
      </c>
      <c r="I75" s="7">
        <v>12</v>
      </c>
      <c r="J75" s="7">
        <v>12</v>
      </c>
      <c r="K75" s="7">
        <v>12</v>
      </c>
      <c r="L75" s="7">
        <v>12</v>
      </c>
      <c r="M75" s="7">
        <v>12</v>
      </c>
      <c r="N75" s="24">
        <v>12</v>
      </c>
      <c r="O75" s="7">
        <f>PC[[#This Row],[-20]]/2.47</f>
        <v>4.3522267206477725</v>
      </c>
      <c r="P75" s="7">
        <f>PC[[#This Row],[-15]]/2.55</f>
        <v>4.7058823529411766</v>
      </c>
      <c r="Q75" s="7">
        <f>PC[[#This Row],[-7]]/3.4</f>
        <v>3.5294117647058822</v>
      </c>
      <c r="R75" s="7">
        <f>PC[[#This Row],[-2]]/3.78</f>
        <v>3.1746031746031749</v>
      </c>
      <c r="S75" s="7">
        <f>PC[[#This Row],[2]]/4.19</f>
        <v>2.8639618138424821</v>
      </c>
      <c r="T75" s="7">
        <f>PC[[#This Row],[7]]/4.9</f>
        <v>2.4489795918367343</v>
      </c>
      <c r="U75" s="7">
        <f>PC[[#This Row],[12]]/5.75</f>
        <v>2.0869565217391304</v>
      </c>
      <c r="V75" s="7">
        <f>PC[[#This Row],[15]]/6</f>
        <v>2</v>
      </c>
      <c r="W75" s="7">
        <f>PC[[#This Row],[20]]/6.5</f>
        <v>1.8461538461538463</v>
      </c>
      <c r="Y75">
        <v>5</v>
      </c>
      <c r="Z75">
        <v>9</v>
      </c>
    </row>
    <row r="76" spans="1:26" ht="150" customHeight="1" x14ac:dyDescent="0.25">
      <c r="A76" s="7" t="s">
        <v>694</v>
      </c>
      <c r="B76" s="33"/>
      <c r="C76" s="33" t="s">
        <v>702</v>
      </c>
      <c r="D76" s="7">
        <v>1</v>
      </c>
      <c r="E76" s="7">
        <f>30000*(1-0.55)</f>
        <v>13499.999999999998</v>
      </c>
      <c r="F76" s="7">
        <v>12</v>
      </c>
      <c r="G76" s="7">
        <v>14</v>
      </c>
      <c r="H76" s="7">
        <v>14</v>
      </c>
      <c r="I76" s="7">
        <v>14</v>
      </c>
      <c r="J76" s="7">
        <v>14</v>
      </c>
      <c r="K76" s="7">
        <v>14</v>
      </c>
      <c r="L76" s="7">
        <v>14</v>
      </c>
      <c r="M76" s="7">
        <v>14</v>
      </c>
      <c r="N76" s="24">
        <v>14</v>
      </c>
      <c r="O76" s="7">
        <f>PC[[#This Row],[-20]]/2.42</f>
        <v>4.9586776859504136</v>
      </c>
      <c r="P76" s="7">
        <f>PC[[#This Row],[-15]]/2.5</f>
        <v>5.6</v>
      </c>
      <c r="Q76" s="7">
        <f>PC[[#This Row],[-7]]/3.34</f>
        <v>4.1916167664670665</v>
      </c>
      <c r="R76" s="7">
        <f>PC[[#This Row],[-2]]/3.86</f>
        <v>3.6269430051813472</v>
      </c>
      <c r="S76" s="7">
        <f>PC[[#This Row],[2]]/4.28</f>
        <v>3.2710280373831773</v>
      </c>
      <c r="T76" s="7">
        <f>PC[[#This Row],[7]]/4.8</f>
        <v>2.916666666666667</v>
      </c>
      <c r="U76" s="7">
        <f>PC[[#This Row],[12]]/5.66</f>
        <v>2.4734982332155475</v>
      </c>
      <c r="V76" s="7">
        <f>PC[[#This Row],[15]]/5.88</f>
        <v>2.3809523809523809</v>
      </c>
      <c r="W76" s="7">
        <f>PC[[#This Row],[20]]/6.38</f>
        <v>2.1943573667711598</v>
      </c>
      <c r="Y76">
        <v>5</v>
      </c>
      <c r="Z76">
        <v>6</v>
      </c>
    </row>
    <row r="77" spans="1:26" ht="150" customHeight="1" x14ac:dyDescent="0.25">
      <c r="A77" s="7" t="s">
        <v>695</v>
      </c>
      <c r="B77" s="33"/>
      <c r="C77" s="33" t="s">
        <v>701</v>
      </c>
      <c r="D77" s="7">
        <v>3</v>
      </c>
      <c r="E77" s="7">
        <f>32800*(1-0.55)</f>
        <v>14759.999999999998</v>
      </c>
      <c r="F77" s="7">
        <v>12</v>
      </c>
      <c r="G77" s="7">
        <v>14</v>
      </c>
      <c r="H77" s="7">
        <v>14</v>
      </c>
      <c r="I77" s="7">
        <v>14</v>
      </c>
      <c r="J77" s="7">
        <v>14</v>
      </c>
      <c r="K77" s="7">
        <v>14</v>
      </c>
      <c r="L77" s="7">
        <v>14</v>
      </c>
      <c r="M77" s="7">
        <v>14</v>
      </c>
      <c r="N77" s="24">
        <v>14</v>
      </c>
      <c r="O77" s="7">
        <f>PC[[#This Row],[-20]]/2.42</f>
        <v>4.9586776859504136</v>
      </c>
      <c r="P77" s="7">
        <f>PC[[#This Row],[-15]]/2.5</f>
        <v>5.6</v>
      </c>
      <c r="Q77" s="7">
        <f>PC[[#This Row],[-7]]/3.34</f>
        <v>4.1916167664670665</v>
      </c>
      <c r="R77" s="7">
        <f>PC[[#This Row],[-2]]/3.86</f>
        <v>3.6269430051813472</v>
      </c>
      <c r="S77" s="7">
        <f>PC[[#This Row],[2]]/4.28</f>
        <v>3.2710280373831773</v>
      </c>
      <c r="T77" s="7">
        <f>PC[[#This Row],[7]]/4.8</f>
        <v>2.916666666666667</v>
      </c>
      <c r="U77" s="7">
        <f>PC[[#This Row],[12]]/5.66</f>
        <v>2.4734982332155475</v>
      </c>
      <c r="V77" s="7">
        <f>PC[[#This Row],[15]]/5.88</f>
        <v>2.3809523809523809</v>
      </c>
      <c r="W77" s="7">
        <f>PC[[#This Row],[20]]/6.38</f>
        <v>2.1943573667711598</v>
      </c>
      <c r="Y77">
        <v>5</v>
      </c>
      <c r="Z77">
        <v>6</v>
      </c>
    </row>
    <row r="78" spans="1:26" ht="150" customHeight="1" x14ac:dyDescent="0.25">
      <c r="A78" s="7" t="s">
        <v>696</v>
      </c>
      <c r="B78" s="33"/>
      <c r="C78" s="33" t="s">
        <v>700</v>
      </c>
      <c r="D78" s="7">
        <v>1</v>
      </c>
      <c r="E78" s="7">
        <f>33900*(1-0.55)</f>
        <v>15254.999999999998</v>
      </c>
      <c r="F78" s="7">
        <v>13.25</v>
      </c>
      <c r="G78" s="7">
        <v>14.4</v>
      </c>
      <c r="H78" s="7">
        <v>16</v>
      </c>
      <c r="I78" s="7">
        <v>16</v>
      </c>
      <c r="J78" s="7">
        <v>16</v>
      </c>
      <c r="K78" s="7">
        <v>16</v>
      </c>
      <c r="L78" s="7">
        <v>16</v>
      </c>
      <c r="M78" s="7">
        <v>16</v>
      </c>
      <c r="N78" s="24">
        <v>16</v>
      </c>
      <c r="O78" s="7">
        <f>PC[[#This Row],[-20]]/2.32</f>
        <v>5.7112068965517242</v>
      </c>
      <c r="P78" s="7">
        <f>PC[[#This Row],[-15]]/2.45</f>
        <v>5.8775510204081627</v>
      </c>
      <c r="Q78" s="7">
        <f>PC[[#This Row],[-7]]/3.27</f>
        <v>4.8929663608562688</v>
      </c>
      <c r="R78" s="7">
        <f>PC[[#This Row],[-2]]/3.58</f>
        <v>4.4692737430167595</v>
      </c>
      <c r="S78" s="7">
        <f>PC[[#This Row],[2]]/4.19</f>
        <v>3.8186157517899759</v>
      </c>
      <c r="T78" s="7">
        <f>PC[[#This Row],[7]]/4.7</f>
        <v>3.4042553191489362</v>
      </c>
      <c r="U78" s="7">
        <f>PC[[#This Row],[12]]/5.5</f>
        <v>2.9090909090909092</v>
      </c>
      <c r="V78" s="7">
        <f>PC[[#This Row],[15]]/5.73</f>
        <v>2.7923211169284468</v>
      </c>
      <c r="W78" s="7">
        <f>PC[[#This Row],[20]]/6.23</f>
        <v>2.5682182985553772</v>
      </c>
      <c r="Y78">
        <v>5</v>
      </c>
      <c r="Z78">
        <v>6</v>
      </c>
    </row>
    <row r="79" spans="1:26" ht="150" customHeight="1" x14ac:dyDescent="0.25">
      <c r="A79" s="7" t="s">
        <v>697</v>
      </c>
      <c r="B79" s="33"/>
      <c r="C79" s="33" t="s">
        <v>699</v>
      </c>
      <c r="D79" s="7">
        <v>3</v>
      </c>
      <c r="E79" s="7">
        <f>34900*(1-0.55)</f>
        <v>15704.999999999998</v>
      </c>
      <c r="F79" s="7">
        <v>13.25</v>
      </c>
      <c r="G79" s="7">
        <v>14.4</v>
      </c>
      <c r="H79" s="7">
        <v>16</v>
      </c>
      <c r="I79" s="7">
        <v>16</v>
      </c>
      <c r="J79" s="7">
        <v>16</v>
      </c>
      <c r="K79" s="7">
        <v>16</v>
      </c>
      <c r="L79" s="7">
        <v>16</v>
      </c>
      <c r="M79" s="7">
        <v>16</v>
      </c>
      <c r="N79" s="24">
        <v>16</v>
      </c>
      <c r="O79" s="7">
        <f>PC[[#This Row],[-20]]/2.32</f>
        <v>5.7112068965517242</v>
      </c>
      <c r="P79" s="7">
        <f>PC[[#This Row],[-15]]/2.45</f>
        <v>5.8775510204081627</v>
      </c>
      <c r="Q79" s="7">
        <f>PC[[#This Row],[-7]]/3.27</f>
        <v>4.8929663608562688</v>
      </c>
      <c r="R79" s="7">
        <f>PC[[#This Row],[-2]]/3.58</f>
        <v>4.4692737430167595</v>
      </c>
      <c r="S79" s="7">
        <f>PC[[#This Row],[2]]/4.19</f>
        <v>3.8186157517899759</v>
      </c>
      <c r="T79" s="7">
        <f>PC[[#This Row],[7]]/4.7</f>
        <v>3.4042553191489362</v>
      </c>
      <c r="U79" s="7">
        <f>PC[[#This Row],[12]]/5.5</f>
        <v>2.9090909090909092</v>
      </c>
      <c r="V79" s="7">
        <f>PC[[#This Row],[15]]/5.73</f>
        <v>2.7923211169284468</v>
      </c>
      <c r="W79" s="7">
        <f>PC[[#This Row],[20]]/6.23</f>
        <v>2.5682182985553772</v>
      </c>
      <c r="Y79">
        <v>5</v>
      </c>
      <c r="Z79">
        <v>6</v>
      </c>
    </row>
    <row r="80" spans="1:26" ht="150" customHeight="1" x14ac:dyDescent="0.25">
      <c r="A80" s="7" t="s">
        <v>707</v>
      </c>
      <c r="B80" s="33" t="s">
        <v>708</v>
      </c>
      <c r="C80" s="33" t="s">
        <v>709</v>
      </c>
      <c r="D80" s="33">
        <v>1</v>
      </c>
      <c r="E80" s="7">
        <f>22428*(1-0.48)</f>
        <v>11662.56</v>
      </c>
      <c r="F80" s="7">
        <v>3.48</v>
      </c>
      <c r="G80" s="7">
        <v>4</v>
      </c>
      <c r="H80" s="7">
        <v>4.79</v>
      </c>
      <c r="I80" s="7">
        <v>5</v>
      </c>
      <c r="J80" s="7">
        <v>4.88</v>
      </c>
      <c r="K80" s="7">
        <v>4.4000000000000004</v>
      </c>
      <c r="L80" s="7">
        <v>4.95</v>
      </c>
      <c r="M80" s="7">
        <v>5.48</v>
      </c>
      <c r="N80" s="24">
        <v>6.16</v>
      </c>
      <c r="O80" s="7">
        <v>1.46</v>
      </c>
      <c r="P80" s="7">
        <v>1.56</v>
      </c>
      <c r="Q80" s="7">
        <v>1.61</v>
      </c>
      <c r="R80" s="7">
        <v>1.51</v>
      </c>
      <c r="S80" s="7">
        <v>1.28</v>
      </c>
      <c r="T80" s="7">
        <v>0.85</v>
      </c>
      <c r="U80" s="7">
        <v>0.85</v>
      </c>
      <c r="V80" s="7">
        <v>0.87</v>
      </c>
      <c r="W80" s="7">
        <v>0.88</v>
      </c>
      <c r="Y80">
        <v>5</v>
      </c>
      <c r="Z80">
        <v>4</v>
      </c>
    </row>
    <row r="81" spans="1:26" ht="150" customHeight="1" x14ac:dyDescent="0.25">
      <c r="A81" s="7" t="s">
        <v>710</v>
      </c>
      <c r="B81" s="33" t="s">
        <v>708</v>
      </c>
      <c r="C81" s="33" t="s">
        <v>727</v>
      </c>
      <c r="D81" s="33">
        <v>1</v>
      </c>
      <c r="E81" s="7">
        <f>24618*(1-0.48)</f>
        <v>12801.36</v>
      </c>
      <c r="F81" s="7">
        <v>4.3499999999999996</v>
      </c>
      <c r="G81" s="7">
        <v>5</v>
      </c>
      <c r="H81" s="7">
        <v>5.73</v>
      </c>
      <c r="I81" s="7">
        <v>6.08</v>
      </c>
      <c r="J81" s="7">
        <v>6.05</v>
      </c>
      <c r="K81" s="7">
        <v>6</v>
      </c>
      <c r="L81" s="7">
        <v>6.96</v>
      </c>
      <c r="M81" s="7">
        <v>7.48</v>
      </c>
      <c r="N81" s="24">
        <v>8.4</v>
      </c>
      <c r="O81" s="7">
        <v>1.97</v>
      </c>
      <c r="P81" s="7">
        <v>2.1</v>
      </c>
      <c r="Q81" s="7">
        <v>2.08</v>
      </c>
      <c r="R81" s="7">
        <v>1.98</v>
      </c>
      <c r="S81" s="7">
        <v>1.72</v>
      </c>
      <c r="T81" s="7">
        <v>1.22</v>
      </c>
      <c r="U81" s="7">
        <v>1.24</v>
      </c>
      <c r="V81" s="7">
        <v>1.25</v>
      </c>
      <c r="W81" s="7">
        <v>1.27</v>
      </c>
      <c r="Y81">
        <v>5</v>
      </c>
      <c r="Z81">
        <v>4</v>
      </c>
    </row>
    <row r="82" spans="1:26" ht="150" customHeight="1" x14ac:dyDescent="0.25">
      <c r="A82" s="7" t="s">
        <v>711</v>
      </c>
      <c r="B82" s="33" t="s">
        <v>708</v>
      </c>
      <c r="C82" s="33" t="s">
        <v>728</v>
      </c>
      <c r="D82" s="33">
        <v>1</v>
      </c>
      <c r="E82" s="7">
        <f>26828*(1-0.48)</f>
        <v>13950.560000000001</v>
      </c>
      <c r="F82" s="7">
        <v>6.39</v>
      </c>
      <c r="G82" s="7">
        <v>7.35</v>
      </c>
      <c r="H82" s="7">
        <v>8.23</v>
      </c>
      <c r="I82" s="7">
        <v>8.86</v>
      </c>
      <c r="J82" s="7">
        <v>8.9499999999999993</v>
      </c>
      <c r="K82" s="7">
        <v>9</v>
      </c>
      <c r="L82" s="7">
        <v>10.58</v>
      </c>
      <c r="M82" s="7">
        <v>11.22</v>
      </c>
      <c r="N82" s="24">
        <v>12.6</v>
      </c>
      <c r="O82" s="7">
        <v>2.74</v>
      </c>
      <c r="P82" s="7">
        <v>2.93</v>
      </c>
      <c r="Q82" s="7">
        <v>3.02</v>
      </c>
      <c r="R82" s="7">
        <v>2.93</v>
      </c>
      <c r="S82" s="7">
        <v>2.63</v>
      </c>
      <c r="T82" s="7">
        <v>1.87</v>
      </c>
      <c r="U82" s="7">
        <v>1.9</v>
      </c>
      <c r="V82" s="7">
        <v>1.91</v>
      </c>
      <c r="W82" s="7">
        <v>1.94</v>
      </c>
      <c r="Y82">
        <v>5</v>
      </c>
      <c r="Z82">
        <v>4</v>
      </c>
    </row>
    <row r="83" spans="1:26" ht="150" customHeight="1" x14ac:dyDescent="0.25">
      <c r="A83" s="7" t="s">
        <v>712</v>
      </c>
      <c r="B83" s="33" t="s">
        <v>724</v>
      </c>
      <c r="C83" s="33" t="s">
        <v>729</v>
      </c>
      <c r="D83" s="33">
        <v>3</v>
      </c>
      <c r="E83" s="7">
        <f>29788*(1-0.48)</f>
        <v>15489.76</v>
      </c>
      <c r="F83" s="7">
        <v>6.39</v>
      </c>
      <c r="G83" s="7">
        <v>7.35</v>
      </c>
      <c r="H83" s="7">
        <v>8.23</v>
      </c>
      <c r="I83" s="7">
        <v>8.86</v>
      </c>
      <c r="J83" s="7">
        <v>8.9499999999999993</v>
      </c>
      <c r="K83" s="7">
        <v>9</v>
      </c>
      <c r="L83" s="7">
        <v>10.58</v>
      </c>
      <c r="M83" s="7">
        <v>11.22</v>
      </c>
      <c r="N83" s="24">
        <v>12.6</v>
      </c>
      <c r="O83" s="7">
        <v>2.74</v>
      </c>
      <c r="P83" s="7">
        <v>2.93</v>
      </c>
      <c r="Q83" s="7">
        <v>3.02</v>
      </c>
      <c r="R83" s="7">
        <v>2.93</v>
      </c>
      <c r="S83" s="7">
        <v>2.63</v>
      </c>
      <c r="T83" s="7">
        <v>1.87</v>
      </c>
      <c r="U83" s="7">
        <v>1.9</v>
      </c>
      <c r="V83" s="7">
        <v>1.91</v>
      </c>
      <c r="W83" s="7">
        <v>1.94</v>
      </c>
      <c r="Y83">
        <v>5</v>
      </c>
      <c r="Z83">
        <v>6</v>
      </c>
    </row>
    <row r="84" spans="1:26" ht="150" customHeight="1" x14ac:dyDescent="0.25">
      <c r="A84" s="7" t="s">
        <v>713</v>
      </c>
      <c r="B84" s="33" t="s">
        <v>725</v>
      </c>
      <c r="C84" s="33" t="s">
        <v>730</v>
      </c>
      <c r="D84" s="33">
        <v>1</v>
      </c>
      <c r="E84" s="7">
        <f>32028*(1-0.48)</f>
        <v>16654.560000000001</v>
      </c>
      <c r="F84" s="7">
        <v>8.9499999999999993</v>
      </c>
      <c r="G84" s="7">
        <v>10.3</v>
      </c>
      <c r="H84" s="7">
        <v>11.77</v>
      </c>
      <c r="I84" s="7">
        <v>12.67</v>
      </c>
      <c r="J84" s="7">
        <v>12.79</v>
      </c>
      <c r="K84" s="7">
        <v>12</v>
      </c>
      <c r="L84" s="7">
        <v>13.98</v>
      </c>
      <c r="M84" s="7">
        <v>14.95</v>
      </c>
      <c r="N84" s="24">
        <v>16.8</v>
      </c>
      <c r="O84" s="7">
        <v>3.84</v>
      </c>
      <c r="P84" s="7">
        <v>4.0999999999999996</v>
      </c>
      <c r="Q84" s="7">
        <v>4.2699999999999996</v>
      </c>
      <c r="R84" s="7">
        <v>4.13</v>
      </c>
      <c r="S84" s="7">
        <v>3.67</v>
      </c>
      <c r="T84" s="7">
        <v>2.59</v>
      </c>
      <c r="U84" s="7">
        <v>2.63</v>
      </c>
      <c r="V84" s="7">
        <v>2.65</v>
      </c>
      <c r="W84" s="7">
        <v>2.69</v>
      </c>
      <c r="Y84">
        <v>5</v>
      </c>
      <c r="Z84">
        <v>6</v>
      </c>
    </row>
    <row r="85" spans="1:26" ht="150" customHeight="1" x14ac:dyDescent="0.25">
      <c r="A85" s="7" t="s">
        <v>714</v>
      </c>
      <c r="B85" s="33" t="s">
        <v>726</v>
      </c>
      <c r="C85" s="33" t="s">
        <v>731</v>
      </c>
      <c r="D85" s="33">
        <v>3</v>
      </c>
      <c r="E85" s="7">
        <f>34118*(1-0.48)</f>
        <v>17741.36</v>
      </c>
      <c r="F85" s="7">
        <v>8.9499999999999993</v>
      </c>
      <c r="G85" s="7">
        <v>10.3</v>
      </c>
      <c r="H85" s="7">
        <v>11.77</v>
      </c>
      <c r="I85" s="7">
        <v>12.67</v>
      </c>
      <c r="J85" s="7">
        <v>12.79</v>
      </c>
      <c r="K85" s="7">
        <v>12</v>
      </c>
      <c r="L85" s="7">
        <v>13.98</v>
      </c>
      <c r="M85" s="7">
        <v>14.95</v>
      </c>
      <c r="N85" s="24">
        <v>16.8</v>
      </c>
      <c r="O85" s="7">
        <v>3.84</v>
      </c>
      <c r="P85" s="7">
        <v>4.0999999999999996</v>
      </c>
      <c r="Q85" s="7">
        <v>4.2699999999999996</v>
      </c>
      <c r="R85" s="7">
        <v>4.13</v>
      </c>
      <c r="S85" s="7">
        <v>3.67</v>
      </c>
      <c r="T85" s="7">
        <v>2.59</v>
      </c>
      <c r="U85" s="7">
        <v>2.63</v>
      </c>
      <c r="V85" s="7">
        <v>2.65</v>
      </c>
      <c r="W85" s="7">
        <v>2.69</v>
      </c>
      <c r="Y85">
        <v>5</v>
      </c>
      <c r="Z85">
        <v>6</v>
      </c>
    </row>
    <row r="86" spans="1:26" ht="150" customHeight="1" x14ac:dyDescent="0.25">
      <c r="A86" s="7" t="s">
        <v>715</v>
      </c>
      <c r="B86" s="33" t="s">
        <v>725</v>
      </c>
      <c r="C86" s="33" t="s">
        <v>732</v>
      </c>
      <c r="D86" s="33">
        <v>1</v>
      </c>
      <c r="E86" s="7">
        <f>35538*(1-0.48)</f>
        <v>18479.760000000002</v>
      </c>
      <c r="F86" s="7">
        <v>11.65</v>
      </c>
      <c r="G86" s="7">
        <v>13.4</v>
      </c>
      <c r="H86" s="7">
        <v>14.38</v>
      </c>
      <c r="I86" s="7">
        <v>15.63</v>
      </c>
      <c r="J86" s="7">
        <v>15.93</v>
      </c>
      <c r="K86" s="7">
        <v>16</v>
      </c>
      <c r="L86" s="7">
        <v>18.7</v>
      </c>
      <c r="M86" s="7">
        <v>19.940000000000001</v>
      </c>
      <c r="N86" s="24">
        <v>22.4</v>
      </c>
      <c r="O86" s="7">
        <v>5.34</v>
      </c>
      <c r="P86" s="7">
        <v>5.7</v>
      </c>
      <c r="Q86" s="7">
        <v>5.68</v>
      </c>
      <c r="R86" s="7">
        <v>5.48</v>
      </c>
      <c r="S86" s="7">
        <v>4.88</v>
      </c>
      <c r="T86" s="7">
        <v>3.76</v>
      </c>
      <c r="U86" s="7">
        <v>3.81</v>
      </c>
      <c r="V86" s="7">
        <v>3.85</v>
      </c>
      <c r="W86" s="7">
        <v>3.9</v>
      </c>
      <c r="Y86">
        <v>5</v>
      </c>
      <c r="Z86">
        <v>6</v>
      </c>
    </row>
    <row r="87" spans="1:26" ht="150" customHeight="1" x14ac:dyDescent="0.25">
      <c r="A87" s="7" t="s">
        <v>716</v>
      </c>
      <c r="B87" s="33" t="s">
        <v>726</v>
      </c>
      <c r="C87" s="33" t="s">
        <v>733</v>
      </c>
      <c r="D87" s="33">
        <v>3</v>
      </c>
      <c r="E87" s="7">
        <f>37638*(1-0.48)</f>
        <v>19571.760000000002</v>
      </c>
      <c r="F87" s="7">
        <v>11.65</v>
      </c>
      <c r="G87" s="7">
        <v>13.4</v>
      </c>
      <c r="H87" s="7">
        <v>14.38</v>
      </c>
      <c r="I87" s="7">
        <v>15.63</v>
      </c>
      <c r="J87" s="7">
        <v>15.93</v>
      </c>
      <c r="K87" s="7">
        <v>16</v>
      </c>
      <c r="L87" s="7">
        <v>18.7</v>
      </c>
      <c r="M87" s="7">
        <v>19.940000000000001</v>
      </c>
      <c r="N87" s="24">
        <v>22.4</v>
      </c>
      <c r="O87" s="7">
        <v>5.34</v>
      </c>
      <c r="P87" s="7">
        <v>5.7</v>
      </c>
      <c r="Q87" s="7">
        <v>5.68</v>
      </c>
      <c r="R87" s="7">
        <v>5.48</v>
      </c>
      <c r="S87" s="7">
        <v>4.88</v>
      </c>
      <c r="T87" s="7">
        <v>3.76</v>
      </c>
      <c r="U87" s="7">
        <v>3.81</v>
      </c>
      <c r="V87" s="7">
        <v>3.85</v>
      </c>
      <c r="W87" s="7">
        <v>3.9</v>
      </c>
      <c r="Y87">
        <v>5</v>
      </c>
      <c r="Z87">
        <v>6</v>
      </c>
    </row>
    <row r="88" spans="1:26" ht="150" customHeight="1" x14ac:dyDescent="0.25">
      <c r="A88" s="7" t="s">
        <v>717</v>
      </c>
      <c r="B88" s="31" t="s">
        <v>800</v>
      </c>
      <c r="C88" s="31" t="s">
        <v>709</v>
      </c>
      <c r="D88" s="33">
        <v>1</v>
      </c>
      <c r="E88" s="7">
        <f>34807*(1-0.48)</f>
        <v>18099.64</v>
      </c>
      <c r="F88" s="7">
        <v>3.48</v>
      </c>
      <c r="G88" s="7">
        <v>4</v>
      </c>
      <c r="H88" s="7">
        <v>4.79</v>
      </c>
      <c r="I88" s="7">
        <v>5</v>
      </c>
      <c r="J88" s="7">
        <v>4.88</v>
      </c>
      <c r="K88" s="7">
        <v>4.4000000000000004</v>
      </c>
      <c r="L88" s="7">
        <v>4.95</v>
      </c>
      <c r="M88" s="7">
        <v>5.48</v>
      </c>
      <c r="N88" s="24">
        <v>6.16</v>
      </c>
      <c r="O88" s="7">
        <v>1.46</v>
      </c>
      <c r="P88" s="7">
        <v>1.56</v>
      </c>
      <c r="Q88" s="7">
        <v>1.61</v>
      </c>
      <c r="R88" s="7">
        <v>1.51</v>
      </c>
      <c r="S88" s="7">
        <v>1.28</v>
      </c>
      <c r="T88" s="7">
        <v>0.85</v>
      </c>
      <c r="U88" s="7">
        <v>0.85</v>
      </c>
      <c r="V88" s="7">
        <v>0.87</v>
      </c>
      <c r="W88" s="7">
        <v>0.88</v>
      </c>
      <c r="Y88">
        <v>5</v>
      </c>
      <c r="Z88">
        <v>2</v>
      </c>
    </row>
    <row r="89" spans="1:26" ht="150" customHeight="1" x14ac:dyDescent="0.25">
      <c r="A89" s="7" t="s">
        <v>718</v>
      </c>
      <c r="B89" s="31" t="s">
        <v>800</v>
      </c>
      <c r="C89" s="31" t="s">
        <v>727</v>
      </c>
      <c r="D89" s="33">
        <v>1</v>
      </c>
      <c r="E89" s="7">
        <f>36997*(1-0.48)</f>
        <v>19238.440000000002</v>
      </c>
      <c r="F89" s="7">
        <v>4.3499999999999996</v>
      </c>
      <c r="G89" s="7">
        <v>5</v>
      </c>
      <c r="H89" s="7">
        <v>5.73</v>
      </c>
      <c r="I89" s="7">
        <v>6.08</v>
      </c>
      <c r="J89" s="7">
        <v>6.05</v>
      </c>
      <c r="K89" s="7">
        <v>6</v>
      </c>
      <c r="L89" s="7">
        <v>6.96</v>
      </c>
      <c r="M89" s="7">
        <v>7.48</v>
      </c>
      <c r="N89" s="24">
        <v>8.4</v>
      </c>
      <c r="O89" s="7">
        <v>1.97</v>
      </c>
      <c r="P89" s="7">
        <v>2.1</v>
      </c>
      <c r="Q89" s="7">
        <v>2.08</v>
      </c>
      <c r="R89" s="7">
        <v>1.98</v>
      </c>
      <c r="S89" s="7">
        <v>1.72</v>
      </c>
      <c r="T89" s="7">
        <v>1.22</v>
      </c>
      <c r="U89" s="7">
        <v>1.24</v>
      </c>
      <c r="V89" s="7">
        <v>1.25</v>
      </c>
      <c r="W89" s="7">
        <v>1.27</v>
      </c>
      <c r="Y89">
        <v>5</v>
      </c>
      <c r="Z89">
        <v>2</v>
      </c>
    </row>
    <row r="90" spans="1:26" ht="150" customHeight="1" x14ac:dyDescent="0.25">
      <c r="A90" s="7" t="s">
        <v>719</v>
      </c>
      <c r="B90" s="31" t="s">
        <v>800</v>
      </c>
      <c r="C90" s="31" t="s">
        <v>728</v>
      </c>
      <c r="D90" s="33">
        <v>1</v>
      </c>
      <c r="E90" s="7">
        <f>39207*(1-0.48)</f>
        <v>20387.64</v>
      </c>
      <c r="F90" s="7">
        <v>6.39</v>
      </c>
      <c r="G90" s="7">
        <v>7.35</v>
      </c>
      <c r="H90" s="7">
        <v>8.23</v>
      </c>
      <c r="I90" s="7">
        <v>8.86</v>
      </c>
      <c r="J90" s="7">
        <v>8.9499999999999993</v>
      </c>
      <c r="K90" s="7">
        <v>9</v>
      </c>
      <c r="L90" s="7">
        <v>10.58</v>
      </c>
      <c r="M90" s="7">
        <v>11.22</v>
      </c>
      <c r="N90" s="24">
        <v>12.6</v>
      </c>
      <c r="O90" s="7">
        <v>2.74</v>
      </c>
      <c r="P90" s="7">
        <v>2.93</v>
      </c>
      <c r="Q90" s="7">
        <v>3.02</v>
      </c>
      <c r="R90" s="7">
        <v>2.93</v>
      </c>
      <c r="S90" s="7">
        <v>2.63</v>
      </c>
      <c r="T90" s="7">
        <v>1.87</v>
      </c>
      <c r="U90" s="7">
        <v>1.9</v>
      </c>
      <c r="V90" s="7">
        <v>1.91</v>
      </c>
      <c r="W90" s="7">
        <v>1.94</v>
      </c>
      <c r="Y90">
        <v>5</v>
      </c>
      <c r="Z90">
        <v>2</v>
      </c>
    </row>
    <row r="91" spans="1:26" ht="150" customHeight="1" x14ac:dyDescent="0.25">
      <c r="A91" s="7" t="s">
        <v>720</v>
      </c>
      <c r="B91" s="31" t="s">
        <v>801</v>
      </c>
      <c r="C91" s="31" t="s">
        <v>709</v>
      </c>
      <c r="D91" s="33">
        <v>1</v>
      </c>
      <c r="E91" s="7">
        <f>35497*(1-0.48)</f>
        <v>18458.440000000002</v>
      </c>
      <c r="F91" s="7">
        <v>3.48</v>
      </c>
      <c r="G91" s="7">
        <v>4</v>
      </c>
      <c r="H91" s="7">
        <v>4.79</v>
      </c>
      <c r="I91" s="7">
        <v>5</v>
      </c>
      <c r="J91" s="7">
        <v>4.88</v>
      </c>
      <c r="K91" s="7">
        <v>4.4000000000000004</v>
      </c>
      <c r="L91" s="7">
        <v>4.95</v>
      </c>
      <c r="M91" s="7">
        <v>5.48</v>
      </c>
      <c r="N91" s="24">
        <v>6.16</v>
      </c>
      <c r="O91" s="7">
        <v>1.46</v>
      </c>
      <c r="P91" s="7">
        <v>1.56</v>
      </c>
      <c r="Q91" s="7">
        <v>1.61</v>
      </c>
      <c r="R91" s="7">
        <v>1.51</v>
      </c>
      <c r="S91" s="7">
        <v>1.28</v>
      </c>
      <c r="T91" s="7">
        <v>0.85</v>
      </c>
      <c r="U91" s="7">
        <v>0.85</v>
      </c>
      <c r="V91" s="7">
        <v>0.87</v>
      </c>
      <c r="W91" s="7">
        <v>0.88</v>
      </c>
      <c r="Y91">
        <v>5</v>
      </c>
      <c r="Z91">
        <v>2</v>
      </c>
    </row>
    <row r="92" spans="1:26" ht="150" customHeight="1" x14ac:dyDescent="0.25">
      <c r="A92" s="7" t="s">
        <v>721</v>
      </c>
      <c r="B92" s="31" t="s">
        <v>801</v>
      </c>
      <c r="C92" s="31" t="s">
        <v>727</v>
      </c>
      <c r="D92" s="33">
        <v>1</v>
      </c>
      <c r="E92" s="7">
        <f>37687*(1-0.48)</f>
        <v>19597.240000000002</v>
      </c>
      <c r="F92" s="7">
        <v>4.3499999999999996</v>
      </c>
      <c r="G92" s="7">
        <v>5</v>
      </c>
      <c r="H92" s="7">
        <v>5.73</v>
      </c>
      <c r="I92" s="7">
        <v>6.08</v>
      </c>
      <c r="J92" s="7">
        <v>6.05</v>
      </c>
      <c r="K92" s="7">
        <v>6</v>
      </c>
      <c r="L92" s="7">
        <v>6.96</v>
      </c>
      <c r="M92" s="7">
        <v>7.48</v>
      </c>
      <c r="N92" s="24">
        <v>8.4</v>
      </c>
      <c r="O92" s="7">
        <v>1.97</v>
      </c>
      <c r="P92" s="7">
        <v>2.1</v>
      </c>
      <c r="Q92" s="7">
        <v>2.08</v>
      </c>
      <c r="R92" s="7">
        <v>1.98</v>
      </c>
      <c r="S92" s="7">
        <v>1.72</v>
      </c>
      <c r="T92" s="7">
        <v>1.22</v>
      </c>
      <c r="U92" s="7">
        <v>1.24</v>
      </c>
      <c r="V92" s="7">
        <v>1.25</v>
      </c>
      <c r="W92" s="7">
        <v>1.27</v>
      </c>
      <c r="Y92">
        <v>5</v>
      </c>
      <c r="Z92">
        <v>2</v>
      </c>
    </row>
    <row r="93" spans="1:26" ht="150" customHeight="1" x14ac:dyDescent="0.25">
      <c r="A93" s="7" t="s">
        <v>723</v>
      </c>
      <c r="B93" s="31" t="s">
        <v>801</v>
      </c>
      <c r="C93" s="31" t="s">
        <v>728</v>
      </c>
      <c r="D93" s="33">
        <v>1</v>
      </c>
      <c r="E93" s="7">
        <f>39897*(1-0.48)</f>
        <v>20746.440000000002</v>
      </c>
      <c r="F93" s="7">
        <v>6.39</v>
      </c>
      <c r="G93" s="7">
        <v>7.35</v>
      </c>
      <c r="H93" s="7">
        <v>8.23</v>
      </c>
      <c r="I93" s="7">
        <v>8.86</v>
      </c>
      <c r="J93" s="7">
        <v>8.9499999999999993</v>
      </c>
      <c r="K93" s="7">
        <v>9</v>
      </c>
      <c r="L93" s="7">
        <v>10.58</v>
      </c>
      <c r="M93" s="7">
        <v>11.22</v>
      </c>
      <c r="N93" s="24">
        <v>12.6</v>
      </c>
      <c r="O93" s="7">
        <v>2.74</v>
      </c>
      <c r="P93" s="7">
        <v>2.93</v>
      </c>
      <c r="Q93" s="7">
        <v>3.02</v>
      </c>
      <c r="R93" s="7">
        <v>2.93</v>
      </c>
      <c r="S93" s="7">
        <v>2.63</v>
      </c>
      <c r="T93" s="7">
        <v>1.87</v>
      </c>
      <c r="U93" s="7">
        <v>1.9</v>
      </c>
      <c r="V93" s="7">
        <v>1.91</v>
      </c>
      <c r="W93" s="7">
        <v>1.94</v>
      </c>
      <c r="Y93">
        <v>5</v>
      </c>
      <c r="Z93">
        <v>2</v>
      </c>
    </row>
    <row r="94" spans="1:26" ht="150" customHeight="1" x14ac:dyDescent="0.25">
      <c r="A94" s="7" t="s">
        <v>722</v>
      </c>
      <c r="B94" s="31" t="s">
        <v>802</v>
      </c>
      <c r="C94" s="31" t="s">
        <v>729</v>
      </c>
      <c r="D94" s="33">
        <v>3</v>
      </c>
      <c r="E94" s="7">
        <f>42057*(1-0.48)</f>
        <v>21869.64</v>
      </c>
      <c r="F94" s="7">
        <v>6.39</v>
      </c>
      <c r="G94" s="7">
        <v>7.35</v>
      </c>
      <c r="H94" s="7">
        <v>8.23</v>
      </c>
      <c r="I94" s="7">
        <v>8.86</v>
      </c>
      <c r="J94" s="7">
        <v>8.9499999999999993</v>
      </c>
      <c r="K94" s="7">
        <v>9</v>
      </c>
      <c r="L94" s="7">
        <v>10.58</v>
      </c>
      <c r="M94" s="7">
        <v>11.22</v>
      </c>
      <c r="N94" s="24">
        <v>12.6</v>
      </c>
      <c r="O94" s="7">
        <v>2.74</v>
      </c>
      <c r="P94" s="7">
        <v>2.93</v>
      </c>
      <c r="Q94" s="7">
        <v>3.02</v>
      </c>
      <c r="R94" s="7">
        <v>2.93</v>
      </c>
      <c r="S94" s="7">
        <v>2.63</v>
      </c>
      <c r="T94" s="7">
        <v>1.87</v>
      </c>
      <c r="U94" s="7">
        <v>1.9</v>
      </c>
      <c r="V94" s="7">
        <v>1.91</v>
      </c>
      <c r="W94" s="7">
        <v>1.94</v>
      </c>
      <c r="Y94">
        <v>5</v>
      </c>
      <c r="Z94">
        <v>6</v>
      </c>
    </row>
    <row r="95" spans="1:26" ht="150" customHeight="1" x14ac:dyDescent="0.25">
      <c r="A95" s="7" t="s">
        <v>734</v>
      </c>
      <c r="B95" s="33"/>
      <c r="C95" s="33" t="s">
        <v>741</v>
      </c>
      <c r="D95" s="7">
        <v>1</v>
      </c>
      <c r="E95" s="7">
        <f>20748*(1-0.48)</f>
        <v>10788.960000000001</v>
      </c>
      <c r="F95" s="7">
        <v>3.4</v>
      </c>
      <c r="G95" s="7">
        <v>4.26</v>
      </c>
      <c r="H95" s="7">
        <v>5.31</v>
      </c>
      <c r="I95" s="7">
        <v>5.63</v>
      </c>
      <c r="J95" s="7">
        <v>5.58</v>
      </c>
      <c r="K95" s="7">
        <v>5</v>
      </c>
      <c r="L95" s="7">
        <v>5.68</v>
      </c>
      <c r="M95" s="7">
        <v>5.92</v>
      </c>
      <c r="N95" s="24">
        <v>6.58</v>
      </c>
      <c r="O95" s="7">
        <v>1.66</v>
      </c>
      <c r="P95" s="7">
        <v>1.9</v>
      </c>
      <c r="Q95" s="7">
        <v>1.96</v>
      </c>
      <c r="R95" s="7">
        <v>1.89</v>
      </c>
      <c r="S95" s="7">
        <v>1.69</v>
      </c>
      <c r="T95" s="7">
        <v>1.03</v>
      </c>
      <c r="U95" s="7">
        <v>1.0900000000000001</v>
      </c>
      <c r="V95" s="7">
        <v>1.1100000000000001</v>
      </c>
      <c r="W95" s="7">
        <v>1.1599999999999999</v>
      </c>
      <c r="Y95">
        <v>5</v>
      </c>
      <c r="Z95">
        <v>0</v>
      </c>
    </row>
    <row r="96" spans="1:26" ht="150" customHeight="1" x14ac:dyDescent="0.25">
      <c r="A96" s="7" t="s">
        <v>739</v>
      </c>
      <c r="B96" s="33"/>
      <c r="C96" s="33" t="s">
        <v>742</v>
      </c>
      <c r="D96" s="7">
        <v>1</v>
      </c>
      <c r="E96" s="7">
        <f>21898*(1-0.48)</f>
        <v>11386.960000000001</v>
      </c>
      <c r="F96" s="7">
        <v>5.33</v>
      </c>
      <c r="G96" s="7">
        <v>6.25</v>
      </c>
      <c r="H96" s="7">
        <v>7.8</v>
      </c>
      <c r="I96" s="7">
        <v>8.15</v>
      </c>
      <c r="J96" s="7">
        <v>8.14</v>
      </c>
      <c r="K96" s="7">
        <v>8</v>
      </c>
      <c r="L96" s="7">
        <v>8.99</v>
      </c>
      <c r="M96" s="7">
        <v>9.59</v>
      </c>
      <c r="N96" s="24">
        <v>10.73</v>
      </c>
      <c r="O96" s="7">
        <v>2.57</v>
      </c>
      <c r="P96" s="7">
        <v>2.82</v>
      </c>
      <c r="Q96" s="7">
        <v>2.95</v>
      </c>
      <c r="R96" s="7">
        <v>2.9</v>
      </c>
      <c r="S96" s="7">
        <v>2.73</v>
      </c>
      <c r="T96" s="7">
        <v>1.77</v>
      </c>
      <c r="U96" s="7">
        <v>1.82</v>
      </c>
      <c r="V96" s="7">
        <v>1.85</v>
      </c>
      <c r="W96" s="7">
        <v>1.89</v>
      </c>
      <c r="Y96">
        <v>5</v>
      </c>
      <c r="Z96">
        <v>0</v>
      </c>
    </row>
    <row r="97" spans="1:26" ht="150" customHeight="1" x14ac:dyDescent="0.25">
      <c r="A97" s="7" t="s">
        <v>738</v>
      </c>
      <c r="B97" s="33"/>
      <c r="C97" s="33" t="s">
        <v>743</v>
      </c>
      <c r="D97" s="7">
        <v>1</v>
      </c>
      <c r="E97" s="7">
        <f>25118*(1-0.48)</f>
        <v>13061.36</v>
      </c>
      <c r="F97" s="7">
        <v>9.35</v>
      </c>
      <c r="G97" s="7">
        <v>10.49</v>
      </c>
      <c r="H97" s="7">
        <v>12.56</v>
      </c>
      <c r="I97" s="7">
        <v>12.95</v>
      </c>
      <c r="J97" s="7">
        <v>12.75</v>
      </c>
      <c r="K97" s="7">
        <v>12</v>
      </c>
      <c r="L97" s="7">
        <v>13.56</v>
      </c>
      <c r="M97" s="7">
        <v>15.02</v>
      </c>
      <c r="N97" s="24">
        <v>17.05</v>
      </c>
      <c r="O97" s="7">
        <v>4.8099999999999996</v>
      </c>
      <c r="P97" s="7">
        <v>4.87</v>
      </c>
      <c r="Q97" s="7">
        <v>4.6100000000000003</v>
      </c>
      <c r="R97" s="7">
        <v>4.55</v>
      </c>
      <c r="S97" s="7">
        <v>3.84</v>
      </c>
      <c r="T97" s="7">
        <v>2.65</v>
      </c>
      <c r="U97" s="7">
        <v>2.76</v>
      </c>
      <c r="V97" s="7">
        <v>2.72</v>
      </c>
      <c r="W97" s="7">
        <v>2.68</v>
      </c>
      <c r="Y97">
        <v>5</v>
      </c>
      <c r="Z97">
        <v>0</v>
      </c>
    </row>
    <row r="98" spans="1:26" ht="150" customHeight="1" x14ac:dyDescent="0.25">
      <c r="A98" s="7" t="s">
        <v>737</v>
      </c>
      <c r="B98" s="33"/>
      <c r="C98" s="33" t="s">
        <v>744</v>
      </c>
      <c r="D98" s="7">
        <v>1.1100000000000001</v>
      </c>
      <c r="E98" s="7">
        <f>31948*(1-0.48)</f>
        <v>16612.96</v>
      </c>
      <c r="F98" s="7">
        <v>11.3</v>
      </c>
      <c r="G98" s="7">
        <v>12.87</v>
      </c>
      <c r="H98" s="7">
        <v>15.65</v>
      </c>
      <c r="I98" s="7">
        <v>15.8</v>
      </c>
      <c r="J98" s="7">
        <v>15.35</v>
      </c>
      <c r="K98" s="7">
        <v>16</v>
      </c>
      <c r="L98" s="7">
        <v>17.989999999999998</v>
      </c>
      <c r="M98" s="7">
        <v>19.3</v>
      </c>
      <c r="N98" s="24">
        <v>21.56</v>
      </c>
      <c r="O98" s="7">
        <v>5.95</v>
      </c>
      <c r="P98" s="7">
        <v>6.12</v>
      </c>
      <c r="Q98" s="7">
        <v>6.03</v>
      </c>
      <c r="R98" s="7">
        <v>5.91</v>
      </c>
      <c r="S98" s="7">
        <v>5.12</v>
      </c>
      <c r="T98" s="7">
        <v>3.62</v>
      </c>
      <c r="U98" s="7">
        <v>3.85</v>
      </c>
      <c r="V98" s="7">
        <v>3.92</v>
      </c>
      <c r="W98" s="7">
        <v>4</v>
      </c>
      <c r="Y98">
        <v>5</v>
      </c>
      <c r="Z98">
        <v>0</v>
      </c>
    </row>
    <row r="99" spans="1:26" ht="150" customHeight="1" x14ac:dyDescent="0.25">
      <c r="A99" s="7" t="s">
        <v>735</v>
      </c>
      <c r="B99" s="33"/>
      <c r="C99" s="33" t="s">
        <v>745</v>
      </c>
      <c r="D99" s="7">
        <v>3</v>
      </c>
      <c r="E99" s="7">
        <f>22818*(1-0.48)</f>
        <v>11865.36</v>
      </c>
      <c r="F99" s="7">
        <v>5.33</v>
      </c>
      <c r="G99" s="7">
        <v>6.25</v>
      </c>
      <c r="H99" s="7">
        <v>7.8</v>
      </c>
      <c r="I99" s="7">
        <v>8.15</v>
      </c>
      <c r="J99" s="7">
        <v>8.14</v>
      </c>
      <c r="K99" s="7">
        <v>8</v>
      </c>
      <c r="L99" s="7">
        <v>8.99</v>
      </c>
      <c r="M99" s="7">
        <v>9.59</v>
      </c>
      <c r="N99" s="24">
        <v>10.73</v>
      </c>
      <c r="O99" s="7">
        <v>2.57</v>
      </c>
      <c r="P99" s="7">
        <v>2.82</v>
      </c>
      <c r="Q99" s="7">
        <v>2.95</v>
      </c>
      <c r="R99" s="7">
        <v>2.9</v>
      </c>
      <c r="S99" s="7">
        <v>2.73</v>
      </c>
      <c r="T99" s="7">
        <v>1.77</v>
      </c>
      <c r="U99" s="7">
        <v>1.82</v>
      </c>
      <c r="V99" s="7">
        <v>1.85</v>
      </c>
      <c r="W99" s="7">
        <v>1.89</v>
      </c>
      <c r="Y99">
        <v>5</v>
      </c>
      <c r="Z99">
        <v>0</v>
      </c>
    </row>
    <row r="100" spans="1:26" ht="150" customHeight="1" x14ac:dyDescent="0.25">
      <c r="A100" s="7" t="s">
        <v>736</v>
      </c>
      <c r="B100" s="33"/>
      <c r="C100" s="33" t="s">
        <v>746</v>
      </c>
      <c r="D100" s="7">
        <v>3</v>
      </c>
      <c r="E100" s="7">
        <f>26298*(1-0.48)</f>
        <v>13674.960000000001</v>
      </c>
      <c r="F100" s="7">
        <v>9.35</v>
      </c>
      <c r="G100" s="7">
        <v>10.49</v>
      </c>
      <c r="H100" s="7">
        <v>12.56</v>
      </c>
      <c r="I100" s="7">
        <v>12.95</v>
      </c>
      <c r="J100" s="7">
        <v>12.75</v>
      </c>
      <c r="K100" s="7">
        <v>12</v>
      </c>
      <c r="L100" s="7">
        <v>13.56</v>
      </c>
      <c r="M100" s="7">
        <v>15.02</v>
      </c>
      <c r="N100" s="24">
        <v>17.05</v>
      </c>
      <c r="O100" s="7">
        <v>4.8099999999999996</v>
      </c>
      <c r="P100" s="7">
        <v>4.87</v>
      </c>
      <c r="Q100" s="7">
        <v>4.6100000000000003</v>
      </c>
      <c r="R100" s="7">
        <v>4.55</v>
      </c>
      <c r="S100" s="7">
        <v>3.84</v>
      </c>
      <c r="T100" s="7">
        <v>2.65</v>
      </c>
      <c r="U100" s="7">
        <v>2.76</v>
      </c>
      <c r="V100" s="7">
        <v>2.72</v>
      </c>
      <c r="W100" s="7">
        <v>2.68</v>
      </c>
      <c r="Y100">
        <v>5</v>
      </c>
      <c r="Z100">
        <v>0</v>
      </c>
    </row>
    <row r="101" spans="1:26" ht="150" customHeight="1" x14ac:dyDescent="0.25">
      <c r="A101" s="7" t="s">
        <v>740</v>
      </c>
      <c r="B101" s="33"/>
      <c r="C101" s="33" t="s">
        <v>747</v>
      </c>
      <c r="D101" s="7">
        <v>3</v>
      </c>
      <c r="E101" s="7">
        <f>33398*(1-0.48)</f>
        <v>17366.96</v>
      </c>
      <c r="F101" s="7">
        <v>11.3</v>
      </c>
      <c r="G101" s="7">
        <v>12.87</v>
      </c>
      <c r="H101" s="7">
        <v>15.65</v>
      </c>
      <c r="I101" s="7">
        <v>15.8</v>
      </c>
      <c r="J101" s="7">
        <v>15.35</v>
      </c>
      <c r="K101" s="7">
        <v>16</v>
      </c>
      <c r="L101" s="7">
        <v>17.989999999999998</v>
      </c>
      <c r="M101" s="7">
        <v>19.3</v>
      </c>
      <c r="N101" s="24">
        <v>21.56</v>
      </c>
      <c r="O101" s="7">
        <v>5.95</v>
      </c>
      <c r="P101" s="7">
        <v>6.12</v>
      </c>
      <c r="Q101" s="7">
        <v>6.03</v>
      </c>
      <c r="R101" s="7">
        <v>5.91</v>
      </c>
      <c r="S101" s="7">
        <v>5.12</v>
      </c>
      <c r="T101" s="7">
        <v>3.62</v>
      </c>
      <c r="U101" s="7">
        <v>3.85</v>
      </c>
      <c r="V101" s="7">
        <v>3.92</v>
      </c>
      <c r="W101" s="7">
        <v>4</v>
      </c>
      <c r="Y101">
        <v>5</v>
      </c>
      <c r="Z101">
        <v>0</v>
      </c>
    </row>
    <row r="102" spans="1:26" ht="150" customHeight="1" x14ac:dyDescent="0.25">
      <c r="A102" s="7" t="s">
        <v>748</v>
      </c>
      <c r="B102" s="31" t="s">
        <v>758</v>
      </c>
      <c r="C102" s="31" t="s">
        <v>741</v>
      </c>
      <c r="D102" s="7">
        <v>1</v>
      </c>
      <c r="E102" s="7">
        <f>42607*(1-0.48)</f>
        <v>22155.64</v>
      </c>
      <c r="F102" s="7">
        <v>3.4</v>
      </c>
      <c r="G102" s="7">
        <v>4.26</v>
      </c>
      <c r="H102" s="7">
        <v>5.31</v>
      </c>
      <c r="I102" s="7">
        <v>5.63</v>
      </c>
      <c r="J102" s="7">
        <v>5.58</v>
      </c>
      <c r="K102" s="7">
        <v>5</v>
      </c>
      <c r="L102" s="7">
        <v>5.68</v>
      </c>
      <c r="M102" s="7">
        <v>5.92</v>
      </c>
      <c r="N102" s="24">
        <v>6.58</v>
      </c>
      <c r="O102" s="7">
        <v>1.66</v>
      </c>
      <c r="P102" s="7">
        <v>1.9</v>
      </c>
      <c r="Q102" s="7">
        <v>1.96</v>
      </c>
      <c r="R102" s="7">
        <v>1.89</v>
      </c>
      <c r="S102" s="7">
        <v>1.69</v>
      </c>
      <c r="T102" s="7">
        <v>1.03</v>
      </c>
      <c r="U102" s="7">
        <v>1.0900000000000001</v>
      </c>
      <c r="V102" s="7">
        <v>1.1100000000000001</v>
      </c>
      <c r="W102" s="7">
        <v>1.1599999999999999</v>
      </c>
      <c r="Y102">
        <v>5</v>
      </c>
      <c r="Z102">
        <v>2</v>
      </c>
    </row>
    <row r="103" spans="1:26" ht="150" customHeight="1" x14ac:dyDescent="0.25">
      <c r="A103" s="7" t="s">
        <v>749</v>
      </c>
      <c r="B103" s="33" t="s">
        <v>758</v>
      </c>
      <c r="C103" s="31" t="s">
        <v>762</v>
      </c>
      <c r="D103" s="7">
        <v>1</v>
      </c>
      <c r="E103" s="7">
        <f>43757*(1-0.48)</f>
        <v>22753.64</v>
      </c>
      <c r="F103" s="7">
        <v>5.33</v>
      </c>
      <c r="G103" s="7">
        <v>6.25</v>
      </c>
      <c r="H103" s="7">
        <v>7.8</v>
      </c>
      <c r="I103" s="7">
        <v>8.15</v>
      </c>
      <c r="J103" s="7">
        <v>8.14</v>
      </c>
      <c r="K103" s="7">
        <v>8</v>
      </c>
      <c r="L103" s="7">
        <v>8.99</v>
      </c>
      <c r="M103" s="7">
        <v>9.59</v>
      </c>
      <c r="N103" s="24">
        <v>10.73</v>
      </c>
      <c r="O103" s="7">
        <v>2.57</v>
      </c>
      <c r="P103" s="7">
        <v>2.82</v>
      </c>
      <c r="Q103" s="7">
        <v>2.95</v>
      </c>
      <c r="R103" s="7">
        <v>2.9</v>
      </c>
      <c r="S103" s="7">
        <v>2.73</v>
      </c>
      <c r="T103" s="7">
        <v>1.77</v>
      </c>
      <c r="U103" s="7">
        <v>1.82</v>
      </c>
      <c r="V103" s="7">
        <v>1.85</v>
      </c>
      <c r="W103" s="7">
        <v>1.89</v>
      </c>
      <c r="Y103">
        <v>5</v>
      </c>
      <c r="Z103">
        <v>2</v>
      </c>
    </row>
    <row r="104" spans="1:26" ht="150" customHeight="1" x14ac:dyDescent="0.25">
      <c r="A104" s="7" t="s">
        <v>750</v>
      </c>
      <c r="B104" s="33" t="s">
        <v>758</v>
      </c>
      <c r="C104" s="31" t="s">
        <v>743</v>
      </c>
      <c r="D104" s="7">
        <v>1</v>
      </c>
      <c r="E104" s="7">
        <f>46977*(1-0.48)</f>
        <v>24428.04</v>
      </c>
      <c r="F104" s="7">
        <v>9.35</v>
      </c>
      <c r="G104" s="7">
        <v>10.49</v>
      </c>
      <c r="H104" s="7">
        <v>12.56</v>
      </c>
      <c r="I104" s="7">
        <v>12.95</v>
      </c>
      <c r="J104" s="7">
        <v>12.75</v>
      </c>
      <c r="K104" s="7">
        <v>12</v>
      </c>
      <c r="L104" s="7">
        <v>13.56</v>
      </c>
      <c r="M104" s="7">
        <v>15.02</v>
      </c>
      <c r="N104" s="24">
        <v>17.05</v>
      </c>
      <c r="O104" s="7">
        <v>4.8099999999999996</v>
      </c>
      <c r="P104" s="7">
        <v>4.87</v>
      </c>
      <c r="Q104" s="7">
        <v>4.6100000000000003</v>
      </c>
      <c r="R104" s="7">
        <v>4.55</v>
      </c>
      <c r="S104" s="7">
        <v>3.84</v>
      </c>
      <c r="T104" s="7">
        <v>2.65</v>
      </c>
      <c r="U104" s="7">
        <v>2.76</v>
      </c>
      <c r="V104" s="7">
        <v>2.72</v>
      </c>
      <c r="W104" s="7">
        <v>2.68</v>
      </c>
      <c r="Y104">
        <v>5</v>
      </c>
      <c r="Z104">
        <v>2</v>
      </c>
    </row>
    <row r="105" spans="1:26" ht="150" customHeight="1" x14ac:dyDescent="0.25">
      <c r="A105" s="7" t="s">
        <v>751</v>
      </c>
      <c r="B105" s="33" t="s">
        <v>758</v>
      </c>
      <c r="C105" s="31" t="s">
        <v>744</v>
      </c>
      <c r="D105" s="7">
        <v>1</v>
      </c>
      <c r="E105" s="7">
        <f>53807*(1-0.48)</f>
        <v>27979.64</v>
      </c>
      <c r="F105" s="7">
        <v>11.3</v>
      </c>
      <c r="G105" s="7">
        <v>12.87</v>
      </c>
      <c r="H105" s="7">
        <v>15.65</v>
      </c>
      <c r="I105" s="7">
        <v>15.8</v>
      </c>
      <c r="J105" s="7">
        <v>15.35</v>
      </c>
      <c r="K105" s="7">
        <v>16</v>
      </c>
      <c r="L105" s="7">
        <v>17.989999999999998</v>
      </c>
      <c r="M105" s="7">
        <v>19.3</v>
      </c>
      <c r="N105" s="24">
        <v>21.56</v>
      </c>
      <c r="O105" s="7">
        <v>5.95</v>
      </c>
      <c r="P105" s="7">
        <v>6.12</v>
      </c>
      <c r="Q105" s="7">
        <v>6.03</v>
      </c>
      <c r="R105" s="7">
        <v>5.91</v>
      </c>
      <c r="S105" s="7">
        <v>5.12</v>
      </c>
      <c r="T105" s="7">
        <v>3.62</v>
      </c>
      <c r="U105" s="7">
        <v>3.85</v>
      </c>
      <c r="V105" s="7">
        <v>3.92</v>
      </c>
      <c r="W105" s="7">
        <v>4</v>
      </c>
      <c r="Y105">
        <v>5</v>
      </c>
      <c r="Z105">
        <v>2</v>
      </c>
    </row>
    <row r="106" spans="1:26" ht="150" customHeight="1" x14ac:dyDescent="0.25">
      <c r="A106" s="7" t="s">
        <v>752</v>
      </c>
      <c r="B106" s="33" t="s">
        <v>759</v>
      </c>
      <c r="C106" s="31" t="s">
        <v>762</v>
      </c>
      <c r="D106" s="7">
        <v>1</v>
      </c>
      <c r="E106" s="7">
        <f>44527*(1-0.48)</f>
        <v>23154.04</v>
      </c>
      <c r="F106" s="7">
        <v>5.33</v>
      </c>
      <c r="G106" s="7">
        <v>6.25</v>
      </c>
      <c r="H106" s="7">
        <v>7.8</v>
      </c>
      <c r="I106" s="7">
        <v>8.15</v>
      </c>
      <c r="J106" s="7">
        <v>8.14</v>
      </c>
      <c r="K106" s="7">
        <v>8</v>
      </c>
      <c r="L106" s="7">
        <v>8.99</v>
      </c>
      <c r="M106" s="7">
        <v>9.59</v>
      </c>
      <c r="N106" s="24">
        <v>10.73</v>
      </c>
      <c r="O106" s="7">
        <v>2.57</v>
      </c>
      <c r="P106" s="7">
        <v>2.82</v>
      </c>
      <c r="Q106" s="7">
        <v>2.95</v>
      </c>
      <c r="R106" s="7">
        <v>2.9</v>
      </c>
      <c r="S106" s="7">
        <v>2.73</v>
      </c>
      <c r="T106" s="7">
        <v>1.77</v>
      </c>
      <c r="U106" s="7">
        <v>1.82</v>
      </c>
      <c r="V106" s="7">
        <v>1.85</v>
      </c>
      <c r="W106" s="7">
        <v>1.89</v>
      </c>
      <c r="Y106">
        <v>5</v>
      </c>
      <c r="Z106">
        <v>2</v>
      </c>
    </row>
    <row r="107" spans="1:26" ht="150" customHeight="1" x14ac:dyDescent="0.25">
      <c r="A107" s="7" t="s">
        <v>753</v>
      </c>
      <c r="B107" s="33" t="s">
        <v>759</v>
      </c>
      <c r="C107" s="31" t="s">
        <v>743</v>
      </c>
      <c r="D107" s="7">
        <v>1</v>
      </c>
      <c r="E107" s="7">
        <f>47747*(1-0.48)</f>
        <v>24828.440000000002</v>
      </c>
      <c r="F107" s="7">
        <v>9.35</v>
      </c>
      <c r="G107" s="7">
        <v>10.49</v>
      </c>
      <c r="H107" s="7">
        <v>12.56</v>
      </c>
      <c r="I107" s="7">
        <v>12.95</v>
      </c>
      <c r="J107" s="7">
        <v>12.75</v>
      </c>
      <c r="K107" s="7">
        <v>12</v>
      </c>
      <c r="L107" s="7">
        <v>13.56</v>
      </c>
      <c r="M107" s="7">
        <v>15.02</v>
      </c>
      <c r="N107" s="24">
        <v>17.05</v>
      </c>
      <c r="O107" s="7">
        <v>4.8099999999999996</v>
      </c>
      <c r="P107" s="7">
        <v>4.87</v>
      </c>
      <c r="Q107" s="7">
        <v>4.6100000000000003</v>
      </c>
      <c r="R107" s="7">
        <v>4.55</v>
      </c>
      <c r="S107" s="7">
        <v>3.84</v>
      </c>
      <c r="T107" s="7">
        <v>2.65</v>
      </c>
      <c r="U107" s="7">
        <v>2.76</v>
      </c>
      <c r="V107" s="7">
        <v>2.72</v>
      </c>
      <c r="W107" s="7">
        <v>2.68</v>
      </c>
      <c r="Y107">
        <v>5</v>
      </c>
      <c r="Z107">
        <v>2</v>
      </c>
    </row>
    <row r="108" spans="1:26" ht="150" customHeight="1" x14ac:dyDescent="0.25">
      <c r="A108" s="7" t="s">
        <v>754</v>
      </c>
      <c r="B108" s="33" t="s">
        <v>759</v>
      </c>
      <c r="C108" s="31" t="s">
        <v>744</v>
      </c>
      <c r="D108" s="7">
        <v>1</v>
      </c>
      <c r="E108" s="7">
        <f>54577*(1-0.48)</f>
        <v>28380.04</v>
      </c>
      <c r="F108" s="7">
        <v>11.3</v>
      </c>
      <c r="G108" s="7">
        <v>12.87</v>
      </c>
      <c r="H108" s="7">
        <v>15.65</v>
      </c>
      <c r="I108" s="7">
        <v>15.8</v>
      </c>
      <c r="J108" s="7">
        <v>15.35</v>
      </c>
      <c r="K108" s="7">
        <v>16</v>
      </c>
      <c r="L108" s="7">
        <v>17.989999999999998</v>
      </c>
      <c r="M108" s="7">
        <v>19.3</v>
      </c>
      <c r="N108" s="24">
        <v>21.56</v>
      </c>
      <c r="O108" s="7">
        <v>5.95</v>
      </c>
      <c r="P108" s="7">
        <v>6.12</v>
      </c>
      <c r="Q108" s="7">
        <v>6.03</v>
      </c>
      <c r="R108" s="7">
        <v>5.91</v>
      </c>
      <c r="S108" s="7">
        <v>5.12</v>
      </c>
      <c r="T108" s="7">
        <v>3.62</v>
      </c>
      <c r="U108" s="7">
        <v>3.85</v>
      </c>
      <c r="V108" s="7">
        <v>3.92</v>
      </c>
      <c r="W108" s="7">
        <v>4</v>
      </c>
      <c r="Y108">
        <v>5</v>
      </c>
      <c r="Z108">
        <v>2</v>
      </c>
    </row>
    <row r="109" spans="1:26" ht="150" customHeight="1" x14ac:dyDescent="0.25">
      <c r="A109" s="7" t="s">
        <v>757</v>
      </c>
      <c r="B109" s="33" t="s">
        <v>760</v>
      </c>
      <c r="C109" s="31" t="s">
        <v>761</v>
      </c>
      <c r="D109" s="7">
        <v>3</v>
      </c>
      <c r="E109" s="7">
        <f>46797*(1-0.48)</f>
        <v>24334.440000000002</v>
      </c>
      <c r="F109" s="7">
        <v>5.33</v>
      </c>
      <c r="G109" s="7">
        <v>6.25</v>
      </c>
      <c r="H109" s="7">
        <v>7.8</v>
      </c>
      <c r="I109" s="7">
        <v>8.15</v>
      </c>
      <c r="J109" s="7">
        <v>8.14</v>
      </c>
      <c r="K109" s="7">
        <v>8</v>
      </c>
      <c r="L109" s="7">
        <v>8.99</v>
      </c>
      <c r="M109" s="7">
        <v>9.59</v>
      </c>
      <c r="N109" s="24">
        <v>10.73</v>
      </c>
      <c r="O109" s="7">
        <v>2.57</v>
      </c>
      <c r="P109" s="7">
        <v>2.82</v>
      </c>
      <c r="Q109" s="7">
        <v>2.95</v>
      </c>
      <c r="R109" s="7">
        <v>2.9</v>
      </c>
      <c r="S109" s="7">
        <v>2.73</v>
      </c>
      <c r="T109" s="7">
        <v>1.77</v>
      </c>
      <c r="U109" s="7">
        <v>1.82</v>
      </c>
      <c r="V109" s="7">
        <v>1.85</v>
      </c>
      <c r="W109" s="7">
        <v>1.89</v>
      </c>
      <c r="Y109">
        <v>5</v>
      </c>
      <c r="Z109">
        <v>6</v>
      </c>
    </row>
    <row r="110" spans="1:26" ht="150" customHeight="1" x14ac:dyDescent="0.25">
      <c r="A110" s="7" t="s">
        <v>756</v>
      </c>
      <c r="B110" s="33" t="s">
        <v>760</v>
      </c>
      <c r="C110" s="33" t="s">
        <v>746</v>
      </c>
      <c r="D110" s="7">
        <v>3</v>
      </c>
      <c r="E110" s="7">
        <f>50277*(1-0.48)</f>
        <v>26144.04</v>
      </c>
      <c r="F110" s="7">
        <v>9.35</v>
      </c>
      <c r="G110" s="7">
        <v>10.49</v>
      </c>
      <c r="H110" s="7">
        <v>12.56</v>
      </c>
      <c r="I110" s="7">
        <v>12.95</v>
      </c>
      <c r="J110" s="7">
        <v>12.75</v>
      </c>
      <c r="K110" s="7">
        <v>12</v>
      </c>
      <c r="L110" s="7">
        <v>13.56</v>
      </c>
      <c r="M110" s="7">
        <v>15.02</v>
      </c>
      <c r="N110" s="24">
        <v>17.05</v>
      </c>
      <c r="O110" s="7">
        <v>4.8099999999999996</v>
      </c>
      <c r="P110" s="7">
        <v>4.87</v>
      </c>
      <c r="Q110" s="7">
        <v>4.6100000000000003</v>
      </c>
      <c r="R110" s="7">
        <v>4.55</v>
      </c>
      <c r="S110" s="7">
        <v>3.84</v>
      </c>
      <c r="T110" s="7">
        <v>2.65</v>
      </c>
      <c r="U110" s="7">
        <v>2.76</v>
      </c>
      <c r="V110" s="7">
        <v>2.72</v>
      </c>
      <c r="W110" s="7">
        <v>2.68</v>
      </c>
      <c r="Y110">
        <v>5</v>
      </c>
      <c r="Z110">
        <v>6</v>
      </c>
    </row>
    <row r="111" spans="1:26" ht="150" customHeight="1" x14ac:dyDescent="0.25">
      <c r="A111" s="7" t="s">
        <v>755</v>
      </c>
      <c r="B111" s="33" t="s">
        <v>760</v>
      </c>
      <c r="C111" s="31" t="s">
        <v>747</v>
      </c>
      <c r="D111" s="7">
        <v>3</v>
      </c>
      <c r="E111" s="7">
        <f>57377*(1-0.48)</f>
        <v>29836.04</v>
      </c>
      <c r="F111" s="7">
        <v>11.3</v>
      </c>
      <c r="G111" s="7">
        <v>12.87</v>
      </c>
      <c r="H111" s="7">
        <v>15.65</v>
      </c>
      <c r="I111" s="7">
        <v>15.8</v>
      </c>
      <c r="J111" s="7">
        <v>15.35</v>
      </c>
      <c r="K111" s="7">
        <v>16</v>
      </c>
      <c r="L111" s="7">
        <v>17.989999999999998</v>
      </c>
      <c r="M111" s="7">
        <v>19.3</v>
      </c>
      <c r="N111" s="24">
        <v>21.56</v>
      </c>
      <c r="O111" s="7">
        <v>5.95</v>
      </c>
      <c r="P111" s="7">
        <v>6.12</v>
      </c>
      <c r="Q111" s="7">
        <v>6.03</v>
      </c>
      <c r="R111" s="7">
        <v>5.91</v>
      </c>
      <c r="S111" s="7">
        <v>5.12</v>
      </c>
      <c r="T111" s="7">
        <v>3.62</v>
      </c>
      <c r="U111" s="7">
        <v>3.85</v>
      </c>
      <c r="V111" s="7">
        <v>3.92</v>
      </c>
      <c r="W111" s="7">
        <v>4</v>
      </c>
      <c r="Y111">
        <v>5</v>
      </c>
      <c r="Z111">
        <v>6</v>
      </c>
    </row>
    <row r="112" spans="1:26" ht="150" customHeight="1" x14ac:dyDescent="0.25">
      <c r="A112" s="7" t="s">
        <v>763</v>
      </c>
      <c r="B112" s="31" t="s">
        <v>772</v>
      </c>
      <c r="C112" s="31" t="s">
        <v>777</v>
      </c>
      <c r="D112" s="7">
        <v>1</v>
      </c>
      <c r="E112" s="7">
        <f>56027*(1-0.48)</f>
        <v>29134.04</v>
      </c>
      <c r="F112" s="7">
        <v>8</v>
      </c>
      <c r="G112" s="7">
        <v>8</v>
      </c>
      <c r="H112" s="7">
        <v>8</v>
      </c>
      <c r="I112" s="7">
        <v>8</v>
      </c>
      <c r="J112" s="7">
        <v>8</v>
      </c>
      <c r="K112" s="7">
        <v>8</v>
      </c>
      <c r="L112" s="7">
        <v>8.98</v>
      </c>
      <c r="M112" s="7">
        <v>9.1999999999999993</v>
      </c>
      <c r="N112" s="24">
        <v>9.57</v>
      </c>
      <c r="O112" s="7">
        <v>3.39</v>
      </c>
      <c r="P112" s="7">
        <v>3.14</v>
      </c>
      <c r="Q112" s="7">
        <v>2.64</v>
      </c>
      <c r="R112" s="7">
        <v>2.1</v>
      </c>
      <c r="S112" s="7">
        <v>1.82</v>
      </c>
      <c r="T112" s="7">
        <v>1.6</v>
      </c>
      <c r="U112" s="7">
        <v>1.57</v>
      </c>
      <c r="V112" s="7">
        <v>1.49</v>
      </c>
      <c r="W112" s="7">
        <v>1.34</v>
      </c>
      <c r="Y112">
        <v>5</v>
      </c>
      <c r="Z112">
        <v>0</v>
      </c>
    </row>
    <row r="113" spans="1:26" ht="150" customHeight="1" x14ac:dyDescent="0.25">
      <c r="A113" s="7" t="s">
        <v>764</v>
      </c>
      <c r="B113" s="31" t="s">
        <v>772</v>
      </c>
      <c r="C113" s="31" t="s">
        <v>778</v>
      </c>
      <c r="D113" s="7">
        <v>1</v>
      </c>
      <c r="E113" s="7">
        <f>61407*(1-0.48)</f>
        <v>31931.64</v>
      </c>
      <c r="F113" s="7">
        <v>12</v>
      </c>
      <c r="G113" s="7">
        <v>12</v>
      </c>
      <c r="H113" s="7">
        <v>12</v>
      </c>
      <c r="I113" s="7">
        <v>12</v>
      </c>
      <c r="J113" s="7">
        <v>12</v>
      </c>
      <c r="K113" s="7">
        <v>12</v>
      </c>
      <c r="L113" s="7">
        <v>13.47</v>
      </c>
      <c r="M113" s="7">
        <v>13.8</v>
      </c>
      <c r="N113" s="24">
        <v>14.35</v>
      </c>
      <c r="O113" s="7">
        <v>5.23</v>
      </c>
      <c r="P113" s="7">
        <v>4.53</v>
      </c>
      <c r="Q113" s="7">
        <v>3.81</v>
      </c>
      <c r="R113" s="7">
        <v>3.29</v>
      </c>
      <c r="S113" s="7">
        <v>2.79</v>
      </c>
      <c r="T113" s="7">
        <v>2.35</v>
      </c>
      <c r="U113" s="7">
        <v>2.2999999999999998</v>
      </c>
      <c r="V113" s="7">
        <v>2.1800000000000002</v>
      </c>
      <c r="W113" s="7">
        <v>1.96</v>
      </c>
      <c r="Y113">
        <v>5</v>
      </c>
      <c r="Z113">
        <v>0</v>
      </c>
    </row>
    <row r="114" spans="1:26" ht="150" customHeight="1" x14ac:dyDescent="0.25">
      <c r="A114" s="7" t="s">
        <v>765</v>
      </c>
      <c r="B114" s="31" t="s">
        <v>772</v>
      </c>
      <c r="C114" s="31" t="s">
        <v>776</v>
      </c>
      <c r="D114" s="7">
        <v>1</v>
      </c>
      <c r="E114" s="7">
        <f>66597*(1-0.48)</f>
        <v>34630.44</v>
      </c>
      <c r="F114" s="7">
        <v>13.87</v>
      </c>
      <c r="G114" s="7">
        <v>13.7</v>
      </c>
      <c r="H114" s="7">
        <v>13.97</v>
      </c>
      <c r="I114" s="7">
        <v>14</v>
      </c>
      <c r="J114" s="7">
        <v>14</v>
      </c>
      <c r="K114" s="7">
        <v>14</v>
      </c>
      <c r="L114" s="7">
        <v>14.59</v>
      </c>
      <c r="M114" s="7">
        <v>14.95</v>
      </c>
      <c r="N114" s="24">
        <v>15.55</v>
      </c>
      <c r="O114" s="7">
        <v>6.11</v>
      </c>
      <c r="P114" s="7">
        <v>5.59</v>
      </c>
      <c r="Q114" s="7">
        <v>4.5199999999999996</v>
      </c>
      <c r="R114" s="7">
        <v>3.9</v>
      </c>
      <c r="S114" s="7">
        <v>3.33</v>
      </c>
      <c r="T114" s="7">
        <v>2.77</v>
      </c>
      <c r="U114" s="7">
        <v>2.52</v>
      </c>
      <c r="V114" s="7">
        <v>2.39</v>
      </c>
      <c r="W114" s="7">
        <v>2.15</v>
      </c>
      <c r="Y114">
        <v>5</v>
      </c>
      <c r="Z114">
        <v>0</v>
      </c>
    </row>
    <row r="115" spans="1:26" ht="150" customHeight="1" x14ac:dyDescent="0.25">
      <c r="A115" s="7" t="s">
        <v>767</v>
      </c>
      <c r="B115" s="31" t="s">
        <v>759</v>
      </c>
      <c r="C115" s="31" t="s">
        <v>777</v>
      </c>
      <c r="D115" s="7">
        <v>1</v>
      </c>
      <c r="E115" s="7">
        <f>56797*(1-0.48)</f>
        <v>29534.440000000002</v>
      </c>
      <c r="F115" s="7">
        <v>8</v>
      </c>
      <c r="G115" s="7">
        <v>8</v>
      </c>
      <c r="H115" s="7">
        <v>8</v>
      </c>
      <c r="I115" s="7">
        <v>8</v>
      </c>
      <c r="J115" s="7">
        <v>8</v>
      </c>
      <c r="K115" s="7">
        <v>8</v>
      </c>
      <c r="L115" s="7">
        <v>8.98</v>
      </c>
      <c r="M115" s="7">
        <v>9.1999999999999993</v>
      </c>
      <c r="N115" s="24">
        <v>9.57</v>
      </c>
      <c r="O115" s="7">
        <v>3.39</v>
      </c>
      <c r="P115" s="7">
        <v>3.14</v>
      </c>
      <c r="Q115" s="7">
        <v>2.64</v>
      </c>
      <c r="R115" s="7">
        <v>2.1</v>
      </c>
      <c r="S115" s="7">
        <v>1.82</v>
      </c>
      <c r="T115" s="7">
        <v>1.6</v>
      </c>
      <c r="U115" s="7">
        <v>1.57</v>
      </c>
      <c r="V115" s="7">
        <v>1.49</v>
      </c>
      <c r="W115" s="7">
        <v>1.34</v>
      </c>
      <c r="Y115">
        <v>5</v>
      </c>
      <c r="Z115">
        <v>0</v>
      </c>
    </row>
    <row r="116" spans="1:26" ht="150" customHeight="1" x14ac:dyDescent="0.25">
      <c r="A116" s="7" t="s">
        <v>768</v>
      </c>
      <c r="B116" s="31" t="s">
        <v>759</v>
      </c>
      <c r="C116" s="31" t="s">
        <v>778</v>
      </c>
      <c r="D116" s="7">
        <v>1</v>
      </c>
      <c r="E116" s="7">
        <f>62177*(1-0.48)</f>
        <v>32332.04</v>
      </c>
      <c r="F116" s="7">
        <v>12</v>
      </c>
      <c r="G116" s="7">
        <v>12</v>
      </c>
      <c r="H116" s="7">
        <v>12</v>
      </c>
      <c r="I116" s="7">
        <v>12</v>
      </c>
      <c r="J116" s="7">
        <v>12</v>
      </c>
      <c r="K116" s="7">
        <v>12</v>
      </c>
      <c r="L116" s="7">
        <v>13.47</v>
      </c>
      <c r="M116" s="7">
        <v>13.8</v>
      </c>
      <c r="N116" s="24">
        <v>14.35</v>
      </c>
      <c r="O116" s="7">
        <v>5.23</v>
      </c>
      <c r="P116" s="7">
        <v>4.53</v>
      </c>
      <c r="Q116" s="7">
        <v>3.81</v>
      </c>
      <c r="R116" s="7">
        <v>3.29</v>
      </c>
      <c r="S116" s="7">
        <v>2.79</v>
      </c>
      <c r="T116" s="7">
        <v>2.35</v>
      </c>
      <c r="U116" s="7">
        <v>2.2999999999999998</v>
      </c>
      <c r="V116" s="7">
        <v>2.1800000000000002</v>
      </c>
      <c r="W116" s="7">
        <v>1.96</v>
      </c>
      <c r="Y116">
        <v>5</v>
      </c>
      <c r="Z116">
        <v>0</v>
      </c>
    </row>
    <row r="117" spans="1:26" ht="150" customHeight="1" x14ac:dyDescent="0.25">
      <c r="A117" s="7" t="s">
        <v>766</v>
      </c>
      <c r="B117" s="31" t="s">
        <v>759</v>
      </c>
      <c r="C117" s="31" t="s">
        <v>776</v>
      </c>
      <c r="D117" s="7">
        <v>1</v>
      </c>
      <c r="E117" s="7">
        <f>67367*(1-0.48)</f>
        <v>35030.840000000004</v>
      </c>
      <c r="F117" s="7">
        <v>13.87</v>
      </c>
      <c r="G117" s="7">
        <v>13.7</v>
      </c>
      <c r="H117" s="7">
        <v>13.97</v>
      </c>
      <c r="I117" s="7">
        <v>14</v>
      </c>
      <c r="J117" s="7">
        <v>14</v>
      </c>
      <c r="K117" s="7">
        <v>14</v>
      </c>
      <c r="L117" s="7">
        <v>14.59</v>
      </c>
      <c r="M117" s="7">
        <v>14.95</v>
      </c>
      <c r="N117" s="24">
        <v>15.55</v>
      </c>
      <c r="O117" s="7">
        <v>6.11</v>
      </c>
      <c r="P117" s="7">
        <v>5.59</v>
      </c>
      <c r="Q117" s="7">
        <v>4.5199999999999996</v>
      </c>
      <c r="R117" s="7">
        <v>3.9</v>
      </c>
      <c r="S117" s="7">
        <v>3.33</v>
      </c>
      <c r="T117" s="7">
        <v>2.77</v>
      </c>
      <c r="U117" s="7">
        <v>2.52</v>
      </c>
      <c r="V117" s="7">
        <v>2.39</v>
      </c>
      <c r="W117" s="7">
        <v>2.15</v>
      </c>
      <c r="Y117">
        <v>5</v>
      </c>
      <c r="Z117">
        <v>0</v>
      </c>
    </row>
    <row r="118" spans="1:26" ht="150" customHeight="1" x14ac:dyDescent="0.25">
      <c r="A118" s="7" t="s">
        <v>769</v>
      </c>
      <c r="B118" s="31" t="s">
        <v>760</v>
      </c>
      <c r="C118" s="31" t="s">
        <v>775</v>
      </c>
      <c r="D118" s="7">
        <v>3</v>
      </c>
      <c r="E118" s="7">
        <f>59657*(1-0.48)</f>
        <v>31021.64</v>
      </c>
      <c r="F118" s="7">
        <v>8</v>
      </c>
      <c r="G118" s="7">
        <v>8</v>
      </c>
      <c r="H118" s="7">
        <v>8</v>
      </c>
      <c r="I118" s="7">
        <v>8</v>
      </c>
      <c r="J118" s="7">
        <v>8</v>
      </c>
      <c r="K118" s="7">
        <v>8</v>
      </c>
      <c r="L118" s="7">
        <v>8.98</v>
      </c>
      <c r="M118" s="7">
        <v>9.1999999999999993</v>
      </c>
      <c r="N118" s="24">
        <v>9.57</v>
      </c>
      <c r="O118" s="7">
        <v>3.39</v>
      </c>
      <c r="P118" s="7">
        <v>3.14</v>
      </c>
      <c r="Q118" s="7">
        <v>2.64</v>
      </c>
      <c r="R118" s="7">
        <v>2.1</v>
      </c>
      <c r="S118" s="7">
        <v>1.82</v>
      </c>
      <c r="T118" s="7">
        <v>1.6</v>
      </c>
      <c r="U118" s="7">
        <v>1.57</v>
      </c>
      <c r="V118" s="7">
        <v>1.49</v>
      </c>
      <c r="W118" s="7">
        <v>1.34</v>
      </c>
      <c r="Y118">
        <v>5</v>
      </c>
      <c r="Z118">
        <v>0</v>
      </c>
    </row>
    <row r="119" spans="1:26" ht="150" customHeight="1" x14ac:dyDescent="0.25">
      <c r="A119" s="7" t="s">
        <v>770</v>
      </c>
      <c r="B119" s="31" t="s">
        <v>760</v>
      </c>
      <c r="C119" s="31" t="s">
        <v>774</v>
      </c>
      <c r="D119" s="7">
        <v>3</v>
      </c>
      <c r="E119" s="7">
        <f>65327*(1-0.48)</f>
        <v>33970.04</v>
      </c>
      <c r="F119" s="7">
        <v>12</v>
      </c>
      <c r="G119" s="7">
        <v>12</v>
      </c>
      <c r="H119" s="7">
        <v>12</v>
      </c>
      <c r="I119" s="7">
        <v>12</v>
      </c>
      <c r="J119" s="7">
        <v>12</v>
      </c>
      <c r="K119" s="7">
        <v>12</v>
      </c>
      <c r="L119" s="7">
        <v>13.47</v>
      </c>
      <c r="M119" s="7">
        <v>13.8</v>
      </c>
      <c r="N119" s="24">
        <v>14.35</v>
      </c>
      <c r="O119" s="7">
        <v>5.23</v>
      </c>
      <c r="P119" s="7">
        <v>4.53</v>
      </c>
      <c r="Q119" s="7">
        <v>3.81</v>
      </c>
      <c r="R119" s="7">
        <v>3.29</v>
      </c>
      <c r="S119" s="7">
        <v>2.79</v>
      </c>
      <c r="T119" s="7">
        <v>2.35</v>
      </c>
      <c r="U119" s="7">
        <v>2.2999999999999998</v>
      </c>
      <c r="V119" s="7">
        <v>2.1800000000000002</v>
      </c>
      <c r="W119" s="7">
        <v>1.96</v>
      </c>
      <c r="Y119">
        <v>5</v>
      </c>
      <c r="Z119">
        <v>0</v>
      </c>
    </row>
    <row r="120" spans="1:26" ht="150" customHeight="1" x14ac:dyDescent="0.25">
      <c r="A120" s="7" t="s">
        <v>771</v>
      </c>
      <c r="B120" s="31" t="s">
        <v>760</v>
      </c>
      <c r="C120" s="31" t="s">
        <v>773</v>
      </c>
      <c r="D120" s="7">
        <v>3</v>
      </c>
      <c r="E120" s="7">
        <f>70767*(1-0.48)</f>
        <v>36798.840000000004</v>
      </c>
      <c r="F120" s="7">
        <v>13.87</v>
      </c>
      <c r="G120" s="7">
        <v>13.7</v>
      </c>
      <c r="H120" s="7">
        <v>13.97</v>
      </c>
      <c r="I120" s="7">
        <v>14</v>
      </c>
      <c r="J120" s="7">
        <v>14</v>
      </c>
      <c r="K120" s="7">
        <v>14</v>
      </c>
      <c r="L120" s="7">
        <v>14.59</v>
      </c>
      <c r="M120" s="7">
        <v>14.95</v>
      </c>
      <c r="N120" s="24">
        <v>15.55</v>
      </c>
      <c r="O120" s="7">
        <v>6.11</v>
      </c>
      <c r="P120" s="7">
        <v>5.59</v>
      </c>
      <c r="Q120" s="7">
        <v>4.5199999999999996</v>
      </c>
      <c r="R120" s="7">
        <v>3.9</v>
      </c>
      <c r="S120" s="7">
        <v>3.33</v>
      </c>
      <c r="T120" s="7">
        <v>2.77</v>
      </c>
      <c r="U120" s="7">
        <v>2.52</v>
      </c>
      <c r="V120" s="7">
        <v>2.39</v>
      </c>
      <c r="W120" s="7">
        <v>2.15</v>
      </c>
      <c r="Y120">
        <v>5</v>
      </c>
      <c r="Z120">
        <v>0</v>
      </c>
    </row>
    <row r="121" spans="1:26" ht="150" customHeight="1" x14ac:dyDescent="0.25">
      <c r="A121" s="7" t="s">
        <v>779</v>
      </c>
      <c r="B121" s="33"/>
      <c r="C121" s="31" t="s">
        <v>777</v>
      </c>
      <c r="D121" s="7">
        <v>1</v>
      </c>
      <c r="E121" s="7">
        <f>34418*(1-0.48)</f>
        <v>17897.36</v>
      </c>
      <c r="F121" s="7">
        <v>8</v>
      </c>
      <c r="G121" s="7">
        <v>8</v>
      </c>
      <c r="H121" s="7">
        <v>8</v>
      </c>
      <c r="I121" s="7">
        <v>8</v>
      </c>
      <c r="J121" s="7">
        <v>8</v>
      </c>
      <c r="K121" s="7">
        <v>8</v>
      </c>
      <c r="L121" s="7">
        <v>8.98</v>
      </c>
      <c r="M121" s="7">
        <v>9.1999999999999993</v>
      </c>
      <c r="N121" s="24">
        <v>9.57</v>
      </c>
      <c r="O121" s="7">
        <v>3.39</v>
      </c>
      <c r="P121" s="7">
        <v>3.14</v>
      </c>
      <c r="Q121" s="7">
        <v>2.64</v>
      </c>
      <c r="R121" s="7">
        <v>2.1</v>
      </c>
      <c r="S121" s="7">
        <v>1.82</v>
      </c>
      <c r="T121" s="7">
        <v>1.6</v>
      </c>
      <c r="U121" s="7">
        <v>1.57</v>
      </c>
      <c r="V121" s="7">
        <v>1.49</v>
      </c>
      <c r="W121" s="7">
        <v>1.34</v>
      </c>
      <c r="Y121">
        <v>5</v>
      </c>
      <c r="Z121">
        <v>0</v>
      </c>
    </row>
    <row r="122" spans="1:26" ht="150" customHeight="1" x14ac:dyDescent="0.25">
      <c r="A122" s="7" t="s">
        <v>780</v>
      </c>
      <c r="B122" s="33"/>
      <c r="C122" s="33" t="s">
        <v>775</v>
      </c>
      <c r="D122" s="7">
        <v>3</v>
      </c>
      <c r="E122" s="7">
        <f>35928*(1-0.48)</f>
        <v>18682.560000000001</v>
      </c>
      <c r="F122" s="7">
        <v>8</v>
      </c>
      <c r="G122" s="7">
        <v>8</v>
      </c>
      <c r="H122" s="7">
        <v>8</v>
      </c>
      <c r="I122" s="7">
        <v>8</v>
      </c>
      <c r="J122" s="7">
        <v>8</v>
      </c>
      <c r="K122" s="7">
        <v>8</v>
      </c>
      <c r="L122" s="7">
        <v>8.98</v>
      </c>
      <c r="M122" s="7">
        <v>9.1999999999999993</v>
      </c>
      <c r="N122" s="24">
        <v>9.57</v>
      </c>
      <c r="O122" s="7">
        <v>3.39</v>
      </c>
      <c r="P122" s="7">
        <v>3.14</v>
      </c>
      <c r="Q122" s="7">
        <v>2.64</v>
      </c>
      <c r="R122" s="7">
        <v>2.1</v>
      </c>
      <c r="S122" s="7">
        <v>1.82</v>
      </c>
      <c r="T122" s="7">
        <v>1.6</v>
      </c>
      <c r="U122" s="7">
        <v>1.57</v>
      </c>
      <c r="V122" s="7">
        <v>1.49</v>
      </c>
      <c r="W122" s="7">
        <v>1.34</v>
      </c>
      <c r="Y122">
        <v>5</v>
      </c>
      <c r="Z122">
        <v>0</v>
      </c>
    </row>
    <row r="123" spans="1:26" ht="150" customHeight="1" x14ac:dyDescent="0.25">
      <c r="A123" s="7" t="s">
        <v>781</v>
      </c>
      <c r="B123" s="33"/>
      <c r="C123" s="33" t="s">
        <v>778</v>
      </c>
      <c r="D123" s="7">
        <v>1</v>
      </c>
      <c r="E123" s="7">
        <f>39798*(1-0.48)</f>
        <v>20694.96</v>
      </c>
      <c r="F123" s="7">
        <v>12</v>
      </c>
      <c r="G123" s="7">
        <v>12</v>
      </c>
      <c r="H123" s="7">
        <v>12</v>
      </c>
      <c r="I123" s="7">
        <v>12</v>
      </c>
      <c r="J123" s="7">
        <v>12</v>
      </c>
      <c r="K123" s="7">
        <v>12</v>
      </c>
      <c r="L123" s="7">
        <v>13.47</v>
      </c>
      <c r="M123" s="7">
        <v>13.8</v>
      </c>
      <c r="N123" s="24">
        <v>14.35</v>
      </c>
      <c r="O123" s="7">
        <v>5.23</v>
      </c>
      <c r="P123" s="7">
        <v>4.53</v>
      </c>
      <c r="Q123" s="7">
        <v>3.81</v>
      </c>
      <c r="R123" s="7">
        <v>3.29</v>
      </c>
      <c r="S123" s="7">
        <v>2.79</v>
      </c>
      <c r="T123" s="7">
        <v>2.35</v>
      </c>
      <c r="U123" s="7">
        <v>2.2999999999999998</v>
      </c>
      <c r="V123" s="7">
        <v>2.1800000000000002</v>
      </c>
      <c r="W123" s="7">
        <v>1.96</v>
      </c>
      <c r="Y123">
        <v>5</v>
      </c>
      <c r="Z123">
        <v>0</v>
      </c>
    </row>
    <row r="124" spans="1:26" ht="150" customHeight="1" x14ac:dyDescent="0.25">
      <c r="A124" s="7" t="s">
        <v>782</v>
      </c>
      <c r="B124" s="33"/>
      <c r="C124" s="33" t="s">
        <v>774</v>
      </c>
      <c r="D124" s="7">
        <v>3</v>
      </c>
      <c r="E124" s="7">
        <f>41598*(1-0.48)</f>
        <v>21630.959999999999</v>
      </c>
      <c r="F124" s="7">
        <v>12</v>
      </c>
      <c r="G124" s="7">
        <v>12</v>
      </c>
      <c r="H124" s="7">
        <v>12</v>
      </c>
      <c r="I124" s="7">
        <v>12</v>
      </c>
      <c r="J124" s="7">
        <v>12</v>
      </c>
      <c r="K124" s="7">
        <v>12</v>
      </c>
      <c r="L124" s="7">
        <v>13.47</v>
      </c>
      <c r="M124" s="7">
        <v>13.8</v>
      </c>
      <c r="N124" s="24">
        <v>14.35</v>
      </c>
      <c r="O124" s="7">
        <v>5.23</v>
      </c>
      <c r="P124" s="7">
        <v>4.53</v>
      </c>
      <c r="Q124" s="7">
        <v>3.81</v>
      </c>
      <c r="R124" s="7">
        <v>3.29</v>
      </c>
      <c r="S124" s="7">
        <v>2.79</v>
      </c>
      <c r="T124" s="7">
        <v>2.35</v>
      </c>
      <c r="U124" s="7">
        <v>2.2999999999999998</v>
      </c>
      <c r="V124" s="7">
        <v>2.1800000000000002</v>
      </c>
      <c r="W124" s="7">
        <v>1.96</v>
      </c>
      <c r="Y124">
        <v>5</v>
      </c>
      <c r="Z124">
        <v>0</v>
      </c>
    </row>
    <row r="125" spans="1:26" ht="150" customHeight="1" x14ac:dyDescent="0.25">
      <c r="A125" s="7" t="s">
        <v>783</v>
      </c>
      <c r="B125" s="33"/>
      <c r="C125" s="33" t="s">
        <v>785</v>
      </c>
      <c r="D125" s="7">
        <v>1</v>
      </c>
      <c r="E125" s="7">
        <f>44988*(1-0.48)</f>
        <v>23393.760000000002</v>
      </c>
      <c r="F125" s="7">
        <v>13.87</v>
      </c>
      <c r="G125" s="7">
        <v>13.7</v>
      </c>
      <c r="H125" s="7">
        <v>13.97</v>
      </c>
      <c r="I125" s="7">
        <v>14</v>
      </c>
      <c r="J125" s="7">
        <v>14</v>
      </c>
      <c r="K125" s="7">
        <v>14</v>
      </c>
      <c r="L125" s="7">
        <v>14.59</v>
      </c>
      <c r="M125" s="7">
        <v>14.95</v>
      </c>
      <c r="N125" s="24">
        <v>15.55</v>
      </c>
      <c r="O125" s="7">
        <v>6.11</v>
      </c>
      <c r="P125" s="7">
        <v>5.59</v>
      </c>
      <c r="Q125" s="7">
        <v>4.5199999999999996</v>
      </c>
      <c r="R125" s="7">
        <v>3.9</v>
      </c>
      <c r="S125" s="7">
        <v>3.33</v>
      </c>
      <c r="T125" s="7">
        <v>2.77</v>
      </c>
      <c r="U125" s="7">
        <v>2.52</v>
      </c>
      <c r="V125" s="7">
        <v>2.39</v>
      </c>
      <c r="W125" s="7">
        <v>2.15</v>
      </c>
      <c r="Y125">
        <v>5</v>
      </c>
      <c r="Z125">
        <v>0</v>
      </c>
    </row>
    <row r="126" spans="1:26" ht="150" customHeight="1" x14ac:dyDescent="0.25">
      <c r="A126" s="7" t="s">
        <v>784</v>
      </c>
      <c r="B126" s="33"/>
      <c r="C126" s="33" t="s">
        <v>773</v>
      </c>
      <c r="D126" s="7">
        <v>3</v>
      </c>
      <c r="E126" s="7">
        <f>47038*(1-0.48)</f>
        <v>24459.760000000002</v>
      </c>
      <c r="F126" s="7">
        <v>13.87</v>
      </c>
      <c r="G126" s="7">
        <v>13.7</v>
      </c>
      <c r="H126" s="7">
        <v>13.97</v>
      </c>
      <c r="I126" s="7">
        <v>14</v>
      </c>
      <c r="J126" s="7">
        <v>14</v>
      </c>
      <c r="K126" s="7">
        <v>14</v>
      </c>
      <c r="L126" s="7">
        <v>14.59</v>
      </c>
      <c r="M126" s="7">
        <v>14.95</v>
      </c>
      <c r="N126" s="24">
        <v>15.55</v>
      </c>
      <c r="O126" s="7">
        <v>6.11</v>
      </c>
      <c r="P126" s="7">
        <v>5.59</v>
      </c>
      <c r="Q126" s="7">
        <v>4.5199999999999996</v>
      </c>
      <c r="R126" s="7">
        <v>3.9</v>
      </c>
      <c r="S126" s="7">
        <v>3.33</v>
      </c>
      <c r="T126" s="7">
        <v>2.77</v>
      </c>
      <c r="U126" s="7">
        <v>2.52</v>
      </c>
      <c r="V126" s="7">
        <v>2.39</v>
      </c>
      <c r="W126" s="7">
        <v>2.15</v>
      </c>
      <c r="Y126">
        <v>5</v>
      </c>
      <c r="Z126">
        <v>0</v>
      </c>
    </row>
    <row r="127" spans="1:26" ht="150" customHeight="1" x14ac:dyDescent="0.25">
      <c r="A127" s="7" t="s">
        <v>830</v>
      </c>
      <c r="B127" s="119" t="s">
        <v>803</v>
      </c>
      <c r="C127" s="33" t="s">
        <v>831</v>
      </c>
      <c r="D127" s="7">
        <v>1</v>
      </c>
      <c r="E127" s="7">
        <v>0</v>
      </c>
      <c r="F127" s="7">
        <v>3.1</v>
      </c>
      <c r="G127" s="7">
        <v>3.73</v>
      </c>
      <c r="H127" s="7">
        <v>4.8</v>
      </c>
      <c r="I127" s="7">
        <v>5.7</v>
      </c>
      <c r="J127" s="7">
        <v>6.64</v>
      </c>
      <c r="K127" s="7">
        <v>7.25</v>
      </c>
      <c r="L127" s="7">
        <v>8.42</v>
      </c>
      <c r="M127" s="7">
        <v>8.6300000000000008</v>
      </c>
      <c r="N127" s="24">
        <v>8.98</v>
      </c>
      <c r="O127" s="7">
        <v>1.32</v>
      </c>
      <c r="P127" s="7">
        <v>1.41</v>
      </c>
      <c r="Q127" s="7">
        <v>1.49</v>
      </c>
      <c r="R127" s="7">
        <v>1.51</v>
      </c>
      <c r="S127" s="7">
        <v>1.52</v>
      </c>
      <c r="T127" s="7">
        <v>1.49</v>
      </c>
      <c r="U127" s="7">
        <v>1.66</v>
      </c>
      <c r="V127" s="7">
        <v>1.66</v>
      </c>
      <c r="W127" s="7">
        <v>1.67</v>
      </c>
    </row>
    <row r="128" spans="1:26" ht="150" customHeight="1" x14ac:dyDescent="0.25">
      <c r="A128" s="7" t="s">
        <v>786</v>
      </c>
      <c r="B128" s="119" t="s">
        <v>803</v>
      </c>
      <c r="C128" s="33" t="s">
        <v>789</v>
      </c>
      <c r="D128" s="7">
        <v>1</v>
      </c>
      <c r="E128" s="7">
        <v>21008.400000000001</v>
      </c>
      <c r="F128" s="7">
        <v>4.03</v>
      </c>
      <c r="G128" s="7">
        <v>4.75</v>
      </c>
      <c r="H128" s="7">
        <v>6.06</v>
      </c>
      <c r="I128" s="7">
        <v>5.7</v>
      </c>
      <c r="J128" s="7">
        <v>6.42</v>
      </c>
      <c r="K128" s="7">
        <v>7.25</v>
      </c>
      <c r="L128" s="7">
        <v>8.42</v>
      </c>
      <c r="M128" s="7">
        <v>8.6300000000000008</v>
      </c>
      <c r="N128" s="24">
        <v>8.98</v>
      </c>
      <c r="O128" s="7">
        <v>1.73</v>
      </c>
      <c r="P128" s="7">
        <v>1.79</v>
      </c>
      <c r="Q128" s="7">
        <v>1.95</v>
      </c>
      <c r="R128" s="7">
        <v>1.51</v>
      </c>
      <c r="S128" s="7">
        <v>1.52</v>
      </c>
      <c r="T128" s="7">
        <v>1.49</v>
      </c>
      <c r="U128" s="7">
        <v>1.48</v>
      </c>
      <c r="V128" s="7">
        <v>1.48</v>
      </c>
      <c r="W128" s="7">
        <v>1.48</v>
      </c>
      <c r="Y128">
        <v>5</v>
      </c>
      <c r="Z128">
        <v>6</v>
      </c>
    </row>
    <row r="129" spans="1:32" ht="150" customHeight="1" x14ac:dyDescent="0.25">
      <c r="A129" s="7" t="s">
        <v>791</v>
      </c>
      <c r="B129" s="119" t="s">
        <v>804</v>
      </c>
      <c r="C129" s="120" t="s">
        <v>790</v>
      </c>
      <c r="D129" s="7">
        <v>1</v>
      </c>
      <c r="E129" s="7">
        <v>29446.2</v>
      </c>
      <c r="F129" s="7">
        <v>5.45</v>
      </c>
      <c r="G129" s="7">
        <v>6.46</v>
      </c>
      <c r="H129" s="7">
        <v>8.11</v>
      </c>
      <c r="I129" s="7">
        <v>9.24</v>
      </c>
      <c r="J129" s="7">
        <v>10.3</v>
      </c>
      <c r="K129" s="7">
        <v>11.9</v>
      </c>
      <c r="L129" s="7">
        <v>13.01</v>
      </c>
      <c r="M129" s="7">
        <v>13.22</v>
      </c>
      <c r="N129" s="24">
        <v>13.57</v>
      </c>
      <c r="O129" s="7">
        <v>2.41</v>
      </c>
      <c r="P129" s="7">
        <v>2.6</v>
      </c>
      <c r="Q129" s="7">
        <v>2.88</v>
      </c>
      <c r="R129" s="7">
        <v>2.71</v>
      </c>
      <c r="S129" s="7">
        <v>2.77</v>
      </c>
      <c r="T129" s="7">
        <v>2.62</v>
      </c>
      <c r="U129" s="7">
        <v>2.63</v>
      </c>
      <c r="V129" s="7">
        <v>2.63</v>
      </c>
      <c r="W129" s="7">
        <v>2.63</v>
      </c>
      <c r="Y129">
        <v>5</v>
      </c>
      <c r="Z129">
        <v>6</v>
      </c>
    </row>
    <row r="130" spans="1:32" ht="150" customHeight="1" x14ac:dyDescent="0.25">
      <c r="A130" s="7" t="s">
        <v>792</v>
      </c>
      <c r="B130" s="119" t="s">
        <v>804</v>
      </c>
      <c r="C130" s="33" t="s">
        <v>796</v>
      </c>
      <c r="D130" s="7">
        <v>1</v>
      </c>
      <c r="E130" s="7">
        <v>31340.400000000001</v>
      </c>
      <c r="F130" s="7">
        <v>6.29</v>
      </c>
      <c r="G130" s="7">
        <v>7.37</v>
      </c>
      <c r="H130" s="7">
        <v>9.1</v>
      </c>
      <c r="I130" s="7">
        <v>10.28</v>
      </c>
      <c r="J130" s="7">
        <v>11.46</v>
      </c>
      <c r="K130" s="7">
        <v>13.24</v>
      </c>
      <c r="L130" s="7">
        <v>14.28</v>
      </c>
      <c r="M130" s="7">
        <v>14.51</v>
      </c>
      <c r="N130" s="24">
        <v>14.9</v>
      </c>
      <c r="O130" s="7">
        <v>2.89</v>
      </c>
      <c r="P130" s="7">
        <v>3.17</v>
      </c>
      <c r="Q130" s="7">
        <v>3.41</v>
      </c>
      <c r="R130" s="7">
        <v>3.17</v>
      </c>
      <c r="S130" s="7">
        <v>3.24</v>
      </c>
      <c r="T130" s="7">
        <v>3.15</v>
      </c>
      <c r="U130" s="7">
        <v>3.1</v>
      </c>
      <c r="V130" s="7">
        <v>3.09</v>
      </c>
      <c r="W130" s="7">
        <v>3.08</v>
      </c>
      <c r="Y130">
        <v>5</v>
      </c>
      <c r="Z130">
        <v>6</v>
      </c>
    </row>
    <row r="131" spans="1:32" ht="150" customHeight="1" x14ac:dyDescent="0.25">
      <c r="A131" s="7" t="s">
        <v>793</v>
      </c>
      <c r="B131" s="119" t="s">
        <v>805</v>
      </c>
      <c r="C131" s="120" t="s">
        <v>797</v>
      </c>
      <c r="D131" s="7">
        <v>1</v>
      </c>
      <c r="E131" s="7">
        <v>36936.9</v>
      </c>
      <c r="F131" s="7"/>
      <c r="G131" s="7"/>
      <c r="H131" s="7"/>
      <c r="I131" s="7"/>
      <c r="J131" s="7"/>
      <c r="K131" s="7"/>
      <c r="L131" s="7"/>
      <c r="M131" s="7"/>
      <c r="N131" s="24"/>
      <c r="O131" s="7"/>
      <c r="P131" s="7"/>
      <c r="Q131" s="7"/>
      <c r="R131" s="7"/>
      <c r="S131" s="7"/>
      <c r="T131" s="7"/>
      <c r="U131" s="7"/>
      <c r="V131" s="7"/>
      <c r="W131" s="7"/>
      <c r="Y131">
        <v>5</v>
      </c>
      <c r="Z131">
        <v>6</v>
      </c>
    </row>
    <row r="132" spans="1:32" ht="150" customHeight="1" x14ac:dyDescent="0.25">
      <c r="A132" s="7" t="s">
        <v>794</v>
      </c>
      <c r="B132" s="119" t="s">
        <v>788</v>
      </c>
      <c r="C132" s="120" t="s">
        <v>798</v>
      </c>
      <c r="D132" s="7">
        <v>3</v>
      </c>
      <c r="E132" s="7">
        <v>39335.4</v>
      </c>
      <c r="F132" s="7"/>
      <c r="G132" s="7"/>
      <c r="H132" s="7"/>
      <c r="I132" s="7"/>
      <c r="J132" s="7"/>
      <c r="K132" s="7"/>
      <c r="L132" s="7"/>
      <c r="M132" s="7"/>
      <c r="N132" s="24"/>
      <c r="O132" s="7"/>
      <c r="P132" s="7"/>
      <c r="Q132" s="7"/>
      <c r="R132" s="7"/>
      <c r="S132" s="7"/>
      <c r="T132" s="7"/>
      <c r="U132" s="7"/>
      <c r="V132" s="7"/>
      <c r="W132" s="7"/>
      <c r="Y132">
        <v>5</v>
      </c>
      <c r="Z132">
        <v>6</v>
      </c>
    </row>
    <row r="133" spans="1:32" ht="150" customHeight="1" x14ac:dyDescent="0.25">
      <c r="A133" s="7" t="s">
        <v>795</v>
      </c>
      <c r="B133" s="119" t="s">
        <v>787</v>
      </c>
      <c r="C133" s="120" t="s">
        <v>799</v>
      </c>
      <c r="D133" s="7">
        <v>3</v>
      </c>
      <c r="E133" s="7">
        <v>42619.87</v>
      </c>
      <c r="F133" s="7"/>
      <c r="G133" s="7"/>
      <c r="H133" s="7"/>
      <c r="I133" s="7"/>
      <c r="J133" s="7"/>
      <c r="K133" s="7"/>
      <c r="L133" s="7"/>
      <c r="M133" s="7"/>
      <c r="N133" s="24"/>
      <c r="O133" s="7"/>
      <c r="P133" s="7"/>
      <c r="Q133" s="7"/>
      <c r="R133" s="7"/>
      <c r="S133" s="7"/>
      <c r="T133" s="7"/>
      <c r="U133" s="7"/>
      <c r="V133" s="7"/>
      <c r="W133" s="7"/>
      <c r="Y133">
        <v>5</v>
      </c>
      <c r="Z133">
        <v>9</v>
      </c>
    </row>
    <row r="134" spans="1:32" ht="150" customHeight="1" x14ac:dyDescent="0.25">
      <c r="A134" s="7" t="s">
        <v>808</v>
      </c>
      <c r="B134" s="33" t="s">
        <v>528</v>
      </c>
      <c r="C134" s="33" t="s">
        <v>807</v>
      </c>
      <c r="D134" s="7">
        <v>1</v>
      </c>
      <c r="E134" s="7">
        <f>((AD134+AE134)*$AF$134)*(1-0.4)</f>
        <v>16200.9</v>
      </c>
      <c r="F134">
        <v>3.2</v>
      </c>
      <c r="G134" s="7">
        <v>4.3</v>
      </c>
      <c r="H134" s="7">
        <v>5</v>
      </c>
      <c r="I134" s="7">
        <v>5</v>
      </c>
      <c r="J134" s="7">
        <v>4</v>
      </c>
      <c r="K134" s="7">
        <v>4</v>
      </c>
      <c r="L134" s="7">
        <v>4</v>
      </c>
      <c r="M134" s="7">
        <v>4</v>
      </c>
      <c r="N134" s="24">
        <v>4</v>
      </c>
      <c r="O134" s="7">
        <f>PC[[#This Row],[-20]]/2.18</f>
        <v>1.4678899082568808</v>
      </c>
      <c r="P134" s="7">
        <f>PC[[#This Row],[-15]]/2.45</f>
        <v>1.7551020408163263</v>
      </c>
      <c r="Q134" s="7">
        <f>PC[[#This Row],[-7]]/3.13</f>
        <v>1.5974440894568691</v>
      </c>
      <c r="R134" s="7">
        <f>PC[[#This Row],[E-7]]-(PC[[#This Row],[E-7]]-PC[[#This Row],[E2]])/9*5</f>
        <v>1.2797757206702896</v>
      </c>
      <c r="S134" s="7">
        <f>PC[[#This Row],[2]]/3.9</f>
        <v>1.0256410256410258</v>
      </c>
      <c r="T134" s="7">
        <f>PC[[#This Row],[7]]/5.2</f>
        <v>0.76923076923076916</v>
      </c>
      <c r="U134" s="7">
        <f>PC[[#This Row],[12]]/6.19</f>
        <v>0.64620355411954766</v>
      </c>
      <c r="V134" s="7">
        <f>PC[[#This Row],[15]]/6.43</f>
        <v>0.62208398133748055</v>
      </c>
      <c r="W134" s="7">
        <f>PC[[#This Row],[20]]/7.25</f>
        <v>0.55172413793103448</v>
      </c>
      <c r="Z134">
        <v>6</v>
      </c>
      <c r="AD134" s="7">
        <v>1900</v>
      </c>
      <c r="AE134">
        <v>3845</v>
      </c>
      <c r="AF134">
        <v>4.7</v>
      </c>
    </row>
    <row r="135" spans="1:32" ht="150" customHeight="1" x14ac:dyDescent="0.25">
      <c r="A135" s="7" t="s">
        <v>809</v>
      </c>
      <c r="B135" s="33" t="s">
        <v>528</v>
      </c>
      <c r="C135" s="33" t="s">
        <v>812</v>
      </c>
      <c r="D135" s="7">
        <v>1</v>
      </c>
      <c r="E135" s="7">
        <f t="shared" ref="E135:E145" si="5">((AD135+AE135)*$AF$134)*(1-0.4)</f>
        <v>17526.3</v>
      </c>
      <c r="F135" s="7">
        <v>4.7</v>
      </c>
      <c r="G135" s="7">
        <v>5.7</v>
      </c>
      <c r="H135" s="7">
        <v>6</v>
      </c>
      <c r="I135" s="7">
        <v>6</v>
      </c>
      <c r="J135" s="7">
        <v>5</v>
      </c>
      <c r="K135" s="7">
        <v>6</v>
      </c>
      <c r="L135" s="7">
        <v>6</v>
      </c>
      <c r="M135" s="7">
        <v>6</v>
      </c>
      <c r="N135" s="24">
        <v>6</v>
      </c>
      <c r="O135" s="7">
        <f>PC[[#This Row],[-20]]/2.1</f>
        <v>2.2380952380952381</v>
      </c>
      <c r="P135" s="7">
        <f>PC[[#This Row],[-15]]/2.48</f>
        <v>2.2983870967741935</v>
      </c>
      <c r="Q135" s="7">
        <f>PC[[#This Row],[-7]]/2.98</f>
        <v>2.0134228187919465</v>
      </c>
      <c r="R135" s="7">
        <f>PC[[#This Row],[E-7]]-(PC[[#This Row],[E-7]]-PC[[#This Row],[E2]])/9*5</f>
        <v>1.6538102631182179</v>
      </c>
      <c r="S135" s="7">
        <f>PC[[#This Row],[2]]/3.66</f>
        <v>1.3661202185792349</v>
      </c>
      <c r="T135" s="7">
        <f>PC[[#This Row],[7]]/5.48</f>
        <v>1.0948905109489051</v>
      </c>
      <c r="U135" s="7">
        <f>PC[[#This Row],[12]]/7.01</f>
        <v>0.85592011412268187</v>
      </c>
      <c r="V135" s="7">
        <f>PC[[#This Row],[15]]/7.39</f>
        <v>0.81190798376184037</v>
      </c>
      <c r="W135" s="7">
        <f>PC[[#This Row],[20]]/8.35</f>
        <v>0.71856287425149701</v>
      </c>
      <c r="Z135">
        <v>6</v>
      </c>
      <c r="AD135" s="7">
        <v>2370</v>
      </c>
      <c r="AE135">
        <v>3845</v>
      </c>
    </row>
    <row r="136" spans="1:32" ht="150" customHeight="1" x14ac:dyDescent="0.25">
      <c r="A136" s="7" t="s">
        <v>811</v>
      </c>
      <c r="B136" s="33" t="s">
        <v>528</v>
      </c>
      <c r="C136" s="33" t="s">
        <v>813</v>
      </c>
      <c r="D136" s="7">
        <v>1</v>
      </c>
      <c r="E136" s="7">
        <f t="shared" si="5"/>
        <v>19302.899999999998</v>
      </c>
      <c r="F136" s="7">
        <v>5</v>
      </c>
      <c r="G136" s="7">
        <v>6</v>
      </c>
      <c r="H136" s="7">
        <v>6.8</v>
      </c>
      <c r="I136" s="7">
        <v>6.8</v>
      </c>
      <c r="J136" s="7">
        <v>6.5</v>
      </c>
      <c r="K136" s="7">
        <v>7.5</v>
      </c>
      <c r="L136" s="7">
        <v>7.5</v>
      </c>
      <c r="M136" s="7">
        <v>7.5</v>
      </c>
      <c r="N136" s="24">
        <v>7.5</v>
      </c>
      <c r="O136" s="7">
        <f>PC[[#This Row],[-20]]/2.04</f>
        <v>2.4509803921568629</v>
      </c>
      <c r="P136" s="7">
        <f>PC[[#This Row],[-15]]/2.4</f>
        <v>2.5</v>
      </c>
      <c r="Q136" s="7">
        <f>PC[[#This Row],[-7]]/2.8</f>
        <v>2.4285714285714288</v>
      </c>
      <c r="R136" s="7">
        <f>PC[[#This Row],[E-7]]-(PC[[#This Row],[E-7]]-PC[[#This Row],[E2]])/9*5</f>
        <v>2.1414565826330536</v>
      </c>
      <c r="S136" s="7">
        <f>PC[[#This Row],[2]]/3.4</f>
        <v>1.911764705882353</v>
      </c>
      <c r="T136" s="7">
        <f>PC[[#This Row],[7]]/4.7</f>
        <v>1.5957446808510638</v>
      </c>
      <c r="U136" s="7">
        <f>PC[[#This Row],[12]]/5.89</f>
        <v>1.2733446519524618</v>
      </c>
      <c r="V136" s="7">
        <f>PC[[#This Row],[15]]/6.15</f>
        <v>1.2195121951219512</v>
      </c>
      <c r="W136" s="7">
        <f>PC[[#This Row],[20]]/6.93</f>
        <v>1.0822510822510822</v>
      </c>
      <c r="Z136">
        <v>6</v>
      </c>
      <c r="AD136" s="7">
        <v>3000</v>
      </c>
      <c r="AE136">
        <v>3845</v>
      </c>
    </row>
    <row r="137" spans="1:32" ht="150" customHeight="1" x14ac:dyDescent="0.25">
      <c r="A137" s="7" t="s">
        <v>810</v>
      </c>
      <c r="B137" s="33" t="s">
        <v>528</v>
      </c>
      <c r="C137" s="33" t="s">
        <v>814</v>
      </c>
      <c r="D137" s="7">
        <v>1</v>
      </c>
      <c r="E137" s="7">
        <f t="shared" si="5"/>
        <v>10842.9</v>
      </c>
      <c r="F137" s="7"/>
      <c r="G137" s="7"/>
      <c r="H137" s="7"/>
      <c r="I137" s="7"/>
      <c r="J137" s="7"/>
      <c r="K137" s="7"/>
      <c r="L137" s="7"/>
      <c r="M137" s="7"/>
      <c r="N137" s="24"/>
      <c r="O137" s="7">
        <f>PC[[#This Row],[-20]]/2.18</f>
        <v>0</v>
      </c>
      <c r="P137" s="7">
        <f>PC[[#This Row],[-15]]/2.45</f>
        <v>0</v>
      </c>
      <c r="Q137" s="7">
        <f>PC[[#This Row],[-7]]/3.13</f>
        <v>0</v>
      </c>
      <c r="R137" s="7">
        <f>PC[[#This Row],[E-7]]-(PC[[#This Row],[E-7]]-PC[[#This Row],[E2]])/9*5</f>
        <v>0</v>
      </c>
      <c r="S137" s="7">
        <f>PC[[#This Row],[2]]/3.9</f>
        <v>0</v>
      </c>
      <c r="T137" s="7">
        <f>PC[[#This Row],[7]]/5.2</f>
        <v>0</v>
      </c>
      <c r="U137" s="7">
        <f>PC[[#This Row],[12]]/6.19</f>
        <v>0</v>
      </c>
      <c r="V137" s="7">
        <f>PC[[#This Row],[15]]/6.43</f>
        <v>0</v>
      </c>
      <c r="W137" s="7">
        <f>PC[[#This Row],[20]]/7.25</f>
        <v>0</v>
      </c>
      <c r="Z137">
        <v>6</v>
      </c>
      <c r="AD137" s="7"/>
      <c r="AE137">
        <v>3845</v>
      </c>
    </row>
    <row r="138" spans="1:32" ht="150" customHeight="1" x14ac:dyDescent="0.25">
      <c r="A138" s="7" t="s">
        <v>822</v>
      </c>
      <c r="B138" s="33" t="s">
        <v>528</v>
      </c>
      <c r="C138" s="33" t="s">
        <v>815</v>
      </c>
      <c r="D138" s="7">
        <v>1</v>
      </c>
      <c r="E138" s="7">
        <f t="shared" si="5"/>
        <v>24928.799999999999</v>
      </c>
      <c r="F138" s="7">
        <v>6</v>
      </c>
      <c r="G138" s="7">
        <v>6</v>
      </c>
      <c r="H138" s="7">
        <v>6</v>
      </c>
      <c r="I138" s="7">
        <v>6</v>
      </c>
      <c r="J138" s="7">
        <v>6</v>
      </c>
      <c r="K138" s="7">
        <v>5</v>
      </c>
      <c r="L138" s="7">
        <v>5</v>
      </c>
      <c r="M138" s="7">
        <v>5</v>
      </c>
      <c r="N138" s="24">
        <v>5</v>
      </c>
      <c r="O138" s="7">
        <f>PC[[#This Row],[-20]]/2.25</f>
        <v>2.6666666666666665</v>
      </c>
      <c r="P138" s="7">
        <f>PC[[#This Row],[-15]]/2.66</f>
        <v>2.255639097744361</v>
      </c>
      <c r="Q138" s="7">
        <f>PC[[#This Row],[-7]]/3.15</f>
        <v>1.9047619047619049</v>
      </c>
      <c r="R138" s="7">
        <f>PC[[#This Row],[E-7]]-(PC[[#This Row],[E-7]]-PC[[#This Row],[E2]])/9*5</f>
        <v>1.7237538290169869</v>
      </c>
      <c r="S138" s="7">
        <f>PC[[#This Row],[2]]/3.8</f>
        <v>1.5789473684210527</v>
      </c>
      <c r="T138" s="7">
        <f>PC[[#This Row],[7]]/4.99</f>
        <v>1.002004008016032</v>
      </c>
      <c r="U138" s="7">
        <f>PC[[#This Row],[12]]/5.15</f>
        <v>0.97087378640776689</v>
      </c>
      <c r="V138" s="7">
        <f>PC[[#This Row],[15]]/5.8</f>
        <v>0.86206896551724144</v>
      </c>
      <c r="W138" s="7">
        <f>PC[[#This Row],[20]]/6.75</f>
        <v>0.7407407407407407</v>
      </c>
      <c r="Z138">
        <v>6</v>
      </c>
      <c r="AD138" s="7">
        <v>4995</v>
      </c>
      <c r="AE138">
        <v>3845</v>
      </c>
    </row>
    <row r="139" spans="1:32" ht="150" customHeight="1" x14ac:dyDescent="0.25">
      <c r="A139" s="7" t="s">
        <v>823</v>
      </c>
      <c r="B139" s="33" t="s">
        <v>528</v>
      </c>
      <c r="C139" s="33" t="s">
        <v>530</v>
      </c>
      <c r="D139" s="7">
        <v>1</v>
      </c>
      <c r="E139" s="7">
        <f t="shared" si="5"/>
        <v>25478.7</v>
      </c>
      <c r="F139" s="7">
        <v>7.6</v>
      </c>
      <c r="G139" s="7">
        <v>8</v>
      </c>
      <c r="H139" s="7">
        <v>8</v>
      </c>
      <c r="I139" s="7">
        <v>8</v>
      </c>
      <c r="J139" s="7">
        <v>8</v>
      </c>
      <c r="K139" s="7">
        <v>6</v>
      </c>
      <c r="L139" s="7">
        <v>6</v>
      </c>
      <c r="M139" s="7">
        <v>6</v>
      </c>
      <c r="N139" s="24">
        <v>6</v>
      </c>
      <c r="O139" s="7">
        <f>PC[[#This Row],[-20]]/2.2</f>
        <v>3.4545454545454541</v>
      </c>
      <c r="P139" s="7">
        <f>PC[[#This Row],[-15]]/2.66</f>
        <v>3.007518796992481</v>
      </c>
      <c r="Q139" s="7">
        <f>PC[[#This Row],[-7]]/3.14</f>
        <v>2.5477707006369426</v>
      </c>
      <c r="R139" s="7">
        <f>PC[[#This Row],[E-7]]-(PC[[#This Row],[E-7]]-PC[[#This Row],[E2]])/9*5</f>
        <v>2.3175277188016041</v>
      </c>
      <c r="S139" s="7">
        <f>PC[[#This Row],[2]]/3.75</f>
        <v>2.1333333333333333</v>
      </c>
      <c r="T139" s="7">
        <f>PC[[#This Row],[7]]/5.03</f>
        <v>1.1928429423459244</v>
      </c>
      <c r="U139" s="7">
        <f>PC[[#This Row],[12]]/5.35</f>
        <v>1.1214953271028039</v>
      </c>
      <c r="V139" s="7">
        <f>PC[[#This Row],[15]]/5.95</f>
        <v>1.0084033613445378</v>
      </c>
      <c r="W139" s="24">
        <f>PC[[#This Row],[20]]/6.9</f>
        <v>0.86956521739130432</v>
      </c>
      <c r="Z139">
        <v>6</v>
      </c>
      <c r="AD139" s="7">
        <v>5190</v>
      </c>
      <c r="AE139">
        <v>3845</v>
      </c>
    </row>
    <row r="140" spans="1:32" ht="150" customHeight="1" x14ac:dyDescent="0.25">
      <c r="A140" s="7" t="s">
        <v>824</v>
      </c>
      <c r="B140" s="7" t="s">
        <v>529</v>
      </c>
      <c r="C140" s="33" t="s">
        <v>531</v>
      </c>
      <c r="D140" s="7">
        <v>3</v>
      </c>
      <c r="E140" s="7">
        <f t="shared" si="5"/>
        <v>26818.2</v>
      </c>
      <c r="F140" s="7">
        <v>7.6</v>
      </c>
      <c r="G140" s="7">
        <v>8</v>
      </c>
      <c r="H140" s="7">
        <v>8</v>
      </c>
      <c r="I140" s="7">
        <v>8</v>
      </c>
      <c r="J140" s="7">
        <v>8</v>
      </c>
      <c r="K140" s="7">
        <v>6</v>
      </c>
      <c r="L140" s="7">
        <v>6</v>
      </c>
      <c r="M140" s="7">
        <v>6</v>
      </c>
      <c r="N140" s="24">
        <v>6</v>
      </c>
      <c r="O140" s="7">
        <f>PC[[#This Row],[-20]]/2.2</f>
        <v>3.4545454545454541</v>
      </c>
      <c r="P140" s="7">
        <f>PC[[#This Row],[-15]]/2.66</f>
        <v>3.007518796992481</v>
      </c>
      <c r="Q140" s="7">
        <f>PC[[#This Row],[-7]]/3.14</f>
        <v>2.5477707006369426</v>
      </c>
      <c r="R140" s="7">
        <f>PC[[#This Row],[E-7]]-(PC[[#This Row],[E-7]]-PC[[#This Row],[E2]])/9*5</f>
        <v>2.3175277188016041</v>
      </c>
      <c r="S140" s="7">
        <f>PC[[#This Row],[2]]/3.75</f>
        <v>2.1333333333333333</v>
      </c>
      <c r="T140" s="7">
        <f>PC[[#This Row],[7]]/5.03</f>
        <v>1.1928429423459244</v>
      </c>
      <c r="U140" s="7">
        <f>PC[[#This Row],[12]]/5.35</f>
        <v>1.1214953271028039</v>
      </c>
      <c r="V140" s="7">
        <f>PC[[#This Row],[15]]/5.95</f>
        <v>1.0084033613445378</v>
      </c>
      <c r="W140" s="24">
        <f>PC[[#This Row],[20]]/6.9</f>
        <v>0.86956521739130432</v>
      </c>
      <c r="Z140">
        <v>9</v>
      </c>
      <c r="AD140" s="7">
        <v>5640</v>
      </c>
      <c r="AE140">
        <v>3870</v>
      </c>
    </row>
    <row r="141" spans="1:32" ht="150" customHeight="1" x14ac:dyDescent="0.25">
      <c r="A141" s="7" t="s">
        <v>825</v>
      </c>
      <c r="B141" s="33" t="s">
        <v>528</v>
      </c>
      <c r="C141" s="33" t="s">
        <v>816</v>
      </c>
      <c r="D141" s="7">
        <v>1</v>
      </c>
      <c r="E141" s="7">
        <f t="shared" si="5"/>
        <v>28016.7</v>
      </c>
      <c r="F141" s="7">
        <v>9.4</v>
      </c>
      <c r="G141" s="7">
        <v>10</v>
      </c>
      <c r="H141" s="7">
        <v>10</v>
      </c>
      <c r="I141" s="7">
        <v>10</v>
      </c>
      <c r="J141" s="7">
        <v>10</v>
      </c>
      <c r="K141" s="7">
        <v>8</v>
      </c>
      <c r="L141" s="7">
        <v>8</v>
      </c>
      <c r="M141" s="7">
        <v>8</v>
      </c>
      <c r="N141" s="24">
        <v>8</v>
      </c>
      <c r="O141" s="7">
        <f>PC[[#This Row],[-20]]/2.15</f>
        <v>4.3720930232558146</v>
      </c>
      <c r="P141" s="7">
        <f>PC[[#This Row],[-15]]/2.6</f>
        <v>3.8461538461538458</v>
      </c>
      <c r="Q141" s="7">
        <f>PC[[#This Row],[-7]]/3.05</f>
        <v>3.278688524590164</v>
      </c>
      <c r="R141" s="7">
        <f>PC[[#This Row],[E-7]]-(PC[[#This Row],[E-7]]-PC[[#This Row],[E2]])/9*5</f>
        <v>3.0675008579498959</v>
      </c>
      <c r="S141" s="7">
        <f>PC[[#This Row],[2]]/3.45</f>
        <v>2.8985507246376812</v>
      </c>
      <c r="T141" s="7">
        <f>PC[[#This Row],[7]]/5</f>
        <v>1.6</v>
      </c>
      <c r="U141" s="7">
        <f>PC[[#This Row],[12]]/5.9</f>
        <v>1.3559322033898304</v>
      </c>
      <c r="V141" s="7">
        <f>PC[[#This Row],[15]]/6.2</f>
        <v>1.2903225806451613</v>
      </c>
      <c r="W141" s="24">
        <f>PC[[#This Row],[20]]/7.1</f>
        <v>1.1267605633802817</v>
      </c>
      <c r="Z141">
        <v>6</v>
      </c>
      <c r="AD141" s="7">
        <v>6090</v>
      </c>
      <c r="AE141">
        <v>3845</v>
      </c>
    </row>
    <row r="142" spans="1:32" ht="150" customHeight="1" x14ac:dyDescent="0.25">
      <c r="A142" s="7" t="s">
        <v>826</v>
      </c>
      <c r="B142" s="7" t="s">
        <v>529</v>
      </c>
      <c r="C142" s="33" t="s">
        <v>817</v>
      </c>
      <c r="D142" s="7">
        <v>3</v>
      </c>
      <c r="E142" s="7">
        <f t="shared" si="5"/>
        <v>28552.5</v>
      </c>
      <c r="F142" s="7">
        <v>9.4</v>
      </c>
      <c r="G142" s="7">
        <v>10</v>
      </c>
      <c r="H142" s="7">
        <v>10</v>
      </c>
      <c r="I142" s="7">
        <v>10</v>
      </c>
      <c r="J142" s="7">
        <v>10</v>
      </c>
      <c r="K142" s="7">
        <v>8</v>
      </c>
      <c r="L142" s="7">
        <v>8</v>
      </c>
      <c r="M142" s="7">
        <v>8</v>
      </c>
      <c r="N142" s="24">
        <v>8</v>
      </c>
      <c r="O142" s="7">
        <f>PC[[#This Row],[-20]]/2.15</f>
        <v>4.3720930232558146</v>
      </c>
      <c r="P142" s="7">
        <f>PC[[#This Row],[-15]]/2.6</f>
        <v>3.8461538461538458</v>
      </c>
      <c r="Q142" s="7">
        <f>PC[[#This Row],[-7]]/3.05</f>
        <v>3.278688524590164</v>
      </c>
      <c r="R142" s="7">
        <f>PC[[#This Row],[E-7]]-(PC[[#This Row],[E-7]]-PC[[#This Row],[E2]])/9*5</f>
        <v>3.0675008579498959</v>
      </c>
      <c r="S142" s="7">
        <f>PC[[#This Row],[2]]/3.45</f>
        <v>2.8985507246376812</v>
      </c>
      <c r="T142" s="7">
        <f>PC[[#This Row],[7]]/5</f>
        <v>1.6</v>
      </c>
      <c r="U142" s="7">
        <f>PC[[#This Row],[12]]/5.9</f>
        <v>1.3559322033898304</v>
      </c>
      <c r="V142" s="7">
        <f>PC[[#This Row],[15]]/6.2</f>
        <v>1.2903225806451613</v>
      </c>
      <c r="W142" s="24">
        <f>PC[[#This Row],[20]]/7.1</f>
        <v>1.1267605633802817</v>
      </c>
      <c r="Z142">
        <v>9</v>
      </c>
      <c r="AD142" s="7">
        <v>6255</v>
      </c>
      <c r="AE142">
        <v>3870</v>
      </c>
    </row>
    <row r="143" spans="1:32" ht="150" customHeight="1" x14ac:dyDescent="0.25">
      <c r="A143" s="7" t="s">
        <v>827</v>
      </c>
      <c r="B143" s="7" t="s">
        <v>529</v>
      </c>
      <c r="C143" s="33" t="s">
        <v>818</v>
      </c>
      <c r="D143" s="7">
        <v>3</v>
      </c>
      <c r="E143" s="7">
        <f t="shared" si="5"/>
        <v>30780.3</v>
      </c>
      <c r="F143" s="7">
        <v>11</v>
      </c>
      <c r="G143" s="7">
        <v>12</v>
      </c>
      <c r="H143" s="7">
        <v>12</v>
      </c>
      <c r="I143" s="7">
        <v>12</v>
      </c>
      <c r="J143" s="7">
        <v>12</v>
      </c>
      <c r="K143" s="7">
        <v>10</v>
      </c>
      <c r="L143" s="7">
        <v>10</v>
      </c>
      <c r="M143" s="7">
        <v>10</v>
      </c>
      <c r="N143" s="24">
        <v>10</v>
      </c>
      <c r="O143" s="7">
        <f>PC[[#This Row],[-20]]/2</f>
        <v>5.5</v>
      </c>
      <c r="P143" s="7">
        <f>PC[[#This Row],[-15]]/2.45</f>
        <v>4.8979591836734686</v>
      </c>
      <c r="Q143" s="7">
        <f>PC[[#This Row],[-7]]/2.85</f>
        <v>4.2105263157894735</v>
      </c>
      <c r="R143" s="7">
        <f>PC[[#This Row],[E-7]]-(PC[[#This Row],[E-7]]-PC[[#This Row],[E2]])/9*5</f>
        <v>3.8915470494417863</v>
      </c>
      <c r="S143" s="7">
        <f>PC[[#This Row],[2]]/3.3</f>
        <v>3.6363636363636367</v>
      </c>
      <c r="T143" s="7">
        <f>PC[[#This Row],[7]]/4.8</f>
        <v>2.0833333333333335</v>
      </c>
      <c r="U143" s="7">
        <f>PC[[#This Row],[12]]/5.8</f>
        <v>1.7241379310344829</v>
      </c>
      <c r="V143" s="7">
        <f>PC[[#This Row],[15]]/6.15</f>
        <v>1.6260162601626016</v>
      </c>
      <c r="W143" s="24">
        <f>PC[[#This Row],[20]]/7</f>
        <v>1.4285714285714286</v>
      </c>
      <c r="Z143">
        <v>9</v>
      </c>
      <c r="AD143" s="7">
        <v>7045</v>
      </c>
      <c r="AE143">
        <v>3870</v>
      </c>
    </row>
    <row r="144" spans="1:32" ht="150" customHeight="1" x14ac:dyDescent="0.25">
      <c r="A144" s="7" t="s">
        <v>828</v>
      </c>
      <c r="B144" s="7" t="s">
        <v>529</v>
      </c>
      <c r="C144" s="33" t="s">
        <v>819</v>
      </c>
      <c r="D144" s="7">
        <v>3</v>
      </c>
      <c r="E144" s="7">
        <f t="shared" si="5"/>
        <v>31598.1</v>
      </c>
      <c r="F144" s="7">
        <v>11.8</v>
      </c>
      <c r="G144" s="7">
        <v>14</v>
      </c>
      <c r="H144" s="7">
        <v>14</v>
      </c>
      <c r="I144" s="7">
        <v>14</v>
      </c>
      <c r="J144" s="7">
        <v>14</v>
      </c>
      <c r="K144" s="7">
        <v>12</v>
      </c>
      <c r="L144" s="7">
        <v>12</v>
      </c>
      <c r="M144" s="7">
        <v>12</v>
      </c>
      <c r="N144" s="24">
        <v>12</v>
      </c>
      <c r="O144" s="7">
        <f>PC[[#This Row],[-20]]/2</f>
        <v>5.9</v>
      </c>
      <c r="P144" s="7">
        <f>PC[[#This Row],[-15]]/2.15</f>
        <v>6.5116279069767442</v>
      </c>
      <c r="Q144" s="7">
        <f>PC[[#This Row],[-7]]/2.7</f>
        <v>5.1851851851851851</v>
      </c>
      <c r="R144" s="7">
        <f>PC[[#This Row],[E-7]]-(PC[[#This Row],[E-7]]-PC[[#This Row],[E2]])/9*5</f>
        <v>4.8546178236524327</v>
      </c>
      <c r="S144" s="7">
        <f>PC[[#This Row],[2]]/3.05</f>
        <v>4.5901639344262302</v>
      </c>
      <c r="T144" s="7">
        <f>PC[[#This Row],[7]]/4.7</f>
        <v>2.5531914893617018</v>
      </c>
      <c r="U144" s="7">
        <f>PC[[#This Row],[12]]/5.55</f>
        <v>2.1621621621621623</v>
      </c>
      <c r="V144" s="7">
        <f>PC[[#This Row],[15]]/5.9</f>
        <v>2.0338983050847457</v>
      </c>
      <c r="W144" s="24">
        <f>PC[[#This Row],[20]]/6.7</f>
        <v>1.791044776119403</v>
      </c>
      <c r="Z144">
        <v>9</v>
      </c>
      <c r="AD144" s="7">
        <v>7335</v>
      </c>
      <c r="AE144">
        <v>3870</v>
      </c>
    </row>
    <row r="145" spans="1:31" ht="150" customHeight="1" x14ac:dyDescent="0.25">
      <c r="A145" s="7" t="s">
        <v>829</v>
      </c>
      <c r="B145" s="7" t="s">
        <v>821</v>
      </c>
      <c r="C145" s="33" t="s">
        <v>820</v>
      </c>
      <c r="D145" s="7">
        <v>3</v>
      </c>
      <c r="E145" s="7">
        <f t="shared" si="5"/>
        <v>48842.400000000001</v>
      </c>
      <c r="F145" s="7">
        <v>20.3</v>
      </c>
      <c r="G145" s="7">
        <v>22.9</v>
      </c>
      <c r="H145" s="7">
        <v>23</v>
      </c>
      <c r="I145" s="7">
        <v>23</v>
      </c>
      <c r="J145" s="7">
        <v>23</v>
      </c>
      <c r="K145" s="7">
        <v>23</v>
      </c>
      <c r="L145" s="7">
        <v>24.3</v>
      </c>
      <c r="M145" s="7">
        <v>25.7</v>
      </c>
      <c r="N145" s="24">
        <v>28.1</v>
      </c>
      <c r="O145" s="7">
        <f>PC[[#This Row],[-20]]/2.06</f>
        <v>9.8543689320388346</v>
      </c>
      <c r="P145" s="7">
        <f>PC[[#This Row],[-15]]/2.2</f>
        <v>10.409090909090908</v>
      </c>
      <c r="Q145" s="7">
        <f>PC[[#This Row],[-7]]/2.85</f>
        <v>8.0701754385964914</v>
      </c>
      <c r="R145" s="7">
        <f>PC[[#This Row],[E-7]]-(PC[[#This Row],[E-7]]-PC[[#This Row],[E2]])/9*5</f>
        <v>8.9782120561600909</v>
      </c>
      <c r="S145" s="7">
        <f>PC[[#This Row],[2]]/2.37</f>
        <v>9.7046413502109701</v>
      </c>
      <c r="T145" s="7">
        <f>PC[[#This Row],[7]]/3.65</f>
        <v>6.3013698630136989</v>
      </c>
      <c r="U145" s="7">
        <f>PC[[#This Row],[12]]/4.1</f>
        <v>5.9268292682926838</v>
      </c>
      <c r="V145" s="7">
        <f>PC[[#This Row],[15]]/4.29</f>
        <v>5.9906759906759905</v>
      </c>
      <c r="W145" s="7">
        <f>PC[[#This Row],[20]]/4.61</f>
        <v>6.0954446854663775</v>
      </c>
      <c r="AD145" s="7">
        <f>11775</f>
        <v>11775</v>
      </c>
      <c r="AE145">
        <v>5545</v>
      </c>
    </row>
    <row r="146" spans="1:31" ht="150" customHeight="1" x14ac:dyDescent="0.25">
      <c r="A146" s="7" t="s">
        <v>962</v>
      </c>
      <c r="B146" s="33" t="s">
        <v>965</v>
      </c>
      <c r="C146" s="33" t="s">
        <v>964</v>
      </c>
      <c r="D146" s="7">
        <v>1</v>
      </c>
      <c r="E146" s="7">
        <f>6685+15533</f>
        <v>22218</v>
      </c>
      <c r="F146" s="7">
        <v>4.29</v>
      </c>
      <c r="G146" s="7">
        <v>4.71</v>
      </c>
      <c r="H146" s="7">
        <v>5.38</v>
      </c>
      <c r="I146" s="7">
        <v>5.43</v>
      </c>
      <c r="J146" s="7">
        <v>5.46</v>
      </c>
      <c r="K146" s="7">
        <v>6.41</v>
      </c>
      <c r="L146" s="7">
        <v>6.07</v>
      </c>
      <c r="M146" s="7">
        <v>5.72</v>
      </c>
      <c r="N146" s="24">
        <v>5.15</v>
      </c>
      <c r="O146" s="7">
        <v>2.4500000000000002</v>
      </c>
      <c r="P146" s="7">
        <v>2.2400000000000002</v>
      </c>
      <c r="Q146" s="7">
        <v>1.91</v>
      </c>
      <c r="R146" s="7">
        <v>1.68</v>
      </c>
      <c r="S146" s="7">
        <v>1.49</v>
      </c>
      <c r="T146" s="7">
        <v>1.3</v>
      </c>
      <c r="U146" s="7">
        <v>1.01</v>
      </c>
      <c r="V146" s="7">
        <v>0.86</v>
      </c>
      <c r="W146" s="7">
        <v>0.63</v>
      </c>
      <c r="Y146">
        <v>5</v>
      </c>
      <c r="Z146">
        <v>6</v>
      </c>
    </row>
    <row r="147" spans="1:31" ht="150" customHeight="1" x14ac:dyDescent="0.25">
      <c r="A147" s="7" t="s">
        <v>963</v>
      </c>
      <c r="B147" s="33" t="s">
        <v>967</v>
      </c>
      <c r="C147" s="33" t="s">
        <v>966</v>
      </c>
      <c r="D147" s="7">
        <v>1</v>
      </c>
      <c r="E147" s="7">
        <f>8183+16478</f>
        <v>24661</v>
      </c>
      <c r="F147" s="7">
        <v>5.13</v>
      </c>
      <c r="G147" s="7">
        <v>5.56</v>
      </c>
      <c r="H147" s="7">
        <v>6.25</v>
      </c>
      <c r="I147" s="7">
        <v>6.2</v>
      </c>
      <c r="J147" s="7">
        <v>6.17</v>
      </c>
      <c r="K147" s="7">
        <v>7.74</v>
      </c>
      <c r="L147" s="7">
        <v>7.52</v>
      </c>
      <c r="M147" s="7">
        <v>7.25</v>
      </c>
      <c r="N147" s="24">
        <v>6.79</v>
      </c>
      <c r="O147" s="7">
        <v>2.82</v>
      </c>
      <c r="P147" s="7">
        <v>2.6</v>
      </c>
      <c r="Q147" s="7">
        <v>2.25</v>
      </c>
      <c r="R147" s="7">
        <v>1.97</v>
      </c>
      <c r="S147" s="7">
        <v>1.74</v>
      </c>
      <c r="T147" s="7">
        <v>1.63</v>
      </c>
      <c r="U147" s="7">
        <v>1.27</v>
      </c>
      <c r="V147" s="7">
        <v>1.1299999999999999</v>
      </c>
      <c r="W147" s="7">
        <v>0.89</v>
      </c>
      <c r="Y147">
        <v>5</v>
      </c>
      <c r="Z147">
        <v>6</v>
      </c>
    </row>
    <row r="148" spans="1:31" ht="150" customHeight="1" x14ac:dyDescent="0.25">
      <c r="A148" s="7" t="s">
        <v>971</v>
      </c>
      <c r="B148" s="33" t="s">
        <v>973</v>
      </c>
      <c r="C148" s="33" t="s">
        <v>964</v>
      </c>
      <c r="D148" s="7">
        <v>1</v>
      </c>
      <c r="E148" s="7">
        <f>6685+10738</f>
        <v>17423</v>
      </c>
      <c r="F148" s="7">
        <v>4.29</v>
      </c>
      <c r="G148" s="7">
        <v>4.71</v>
      </c>
      <c r="H148" s="7">
        <v>5.38</v>
      </c>
      <c r="I148" s="7">
        <v>5.43</v>
      </c>
      <c r="J148" s="7">
        <v>5.46</v>
      </c>
      <c r="K148" s="7">
        <v>6.41</v>
      </c>
      <c r="L148" s="7">
        <v>6.07</v>
      </c>
      <c r="M148" s="7">
        <v>5.72</v>
      </c>
      <c r="N148" s="24">
        <v>5.15</v>
      </c>
      <c r="O148" s="7">
        <v>2.4500000000000002</v>
      </c>
      <c r="P148" s="7">
        <v>2.2400000000000002</v>
      </c>
      <c r="Q148" s="7">
        <v>1.91</v>
      </c>
      <c r="R148" s="7">
        <v>1.68</v>
      </c>
      <c r="S148" s="7">
        <v>1.49</v>
      </c>
      <c r="T148" s="7">
        <v>1.3</v>
      </c>
      <c r="U148" s="7">
        <v>1.01</v>
      </c>
      <c r="V148" s="7">
        <v>0.86</v>
      </c>
      <c r="W148" s="7">
        <v>0.63</v>
      </c>
      <c r="Y148">
        <v>5</v>
      </c>
      <c r="Z148">
        <v>6</v>
      </c>
    </row>
    <row r="149" spans="1:31" ht="150" customHeight="1" x14ac:dyDescent="0.25">
      <c r="A149" s="7" t="s">
        <v>972</v>
      </c>
      <c r="B149" s="33" t="s">
        <v>974</v>
      </c>
      <c r="C149" s="33" t="s">
        <v>966</v>
      </c>
      <c r="D149" s="7">
        <v>1</v>
      </c>
      <c r="E149" s="7">
        <f>8183+12075</f>
        <v>20258</v>
      </c>
      <c r="F149" s="7">
        <v>5.13</v>
      </c>
      <c r="G149" s="7">
        <v>5.56</v>
      </c>
      <c r="H149" s="7">
        <v>6.25</v>
      </c>
      <c r="I149" s="7">
        <v>6.2</v>
      </c>
      <c r="J149" s="7">
        <v>6.17</v>
      </c>
      <c r="K149" s="7">
        <v>7.74</v>
      </c>
      <c r="L149" s="7">
        <v>7.52</v>
      </c>
      <c r="M149" s="7">
        <v>7.25</v>
      </c>
      <c r="N149" s="24">
        <v>6.79</v>
      </c>
      <c r="O149" s="7">
        <v>2.82</v>
      </c>
      <c r="P149" s="7">
        <v>2.6</v>
      </c>
      <c r="Q149" s="7">
        <v>2.25</v>
      </c>
      <c r="R149" s="7">
        <v>1.97</v>
      </c>
      <c r="S149" s="7">
        <v>1.74</v>
      </c>
      <c r="T149" s="7">
        <v>1.63</v>
      </c>
      <c r="U149" s="7">
        <v>1.27</v>
      </c>
      <c r="V149" s="7">
        <v>1.1299999999999999</v>
      </c>
      <c r="W149" s="7">
        <v>0.89</v>
      </c>
      <c r="Y149">
        <v>5</v>
      </c>
      <c r="Z149">
        <v>6</v>
      </c>
    </row>
    <row r="150" spans="1:31" ht="150" customHeight="1" x14ac:dyDescent="0.25">
      <c r="A150" s="7" t="s">
        <v>509</v>
      </c>
      <c r="D150" s="7" t="s">
        <v>532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 s="34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</row>
  </sheetData>
  <mergeCells count="2">
    <mergeCell ref="F2:N2"/>
    <mergeCell ref="O2:W2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5"/>
  <dimension ref="A1:AY82"/>
  <sheetViews>
    <sheetView zoomScale="85" zoomScaleNormal="85" workbookViewId="0">
      <selection activeCell="B3" sqref="B3"/>
    </sheetView>
  </sheetViews>
  <sheetFormatPr defaultRowHeight="15" x14ac:dyDescent="0.25"/>
  <cols>
    <col min="1" max="1" width="18.5703125" customWidth="1"/>
    <col min="5" max="5" width="12.28515625" bestFit="1" customWidth="1"/>
  </cols>
  <sheetData>
    <row r="1" spans="1:51" x14ac:dyDescent="0.25">
      <c r="B1" s="16" t="s">
        <v>181</v>
      </c>
      <c r="C1" s="20">
        <v>-20</v>
      </c>
      <c r="D1" s="16">
        <v>-17</v>
      </c>
      <c r="E1" s="16">
        <v>-16</v>
      </c>
      <c r="F1" s="19">
        <v>-15</v>
      </c>
      <c r="G1" s="16">
        <v>-14</v>
      </c>
      <c r="H1" s="16">
        <v>-13</v>
      </c>
      <c r="I1" s="16">
        <v>-12</v>
      </c>
      <c r="J1" s="16">
        <v>-11</v>
      </c>
      <c r="K1" s="16">
        <v>-10</v>
      </c>
      <c r="L1" s="16">
        <v>-9</v>
      </c>
      <c r="M1" s="16">
        <v>-8</v>
      </c>
      <c r="N1" s="19">
        <v>-7</v>
      </c>
      <c r="O1" s="16">
        <v>-6</v>
      </c>
      <c r="P1" s="16">
        <v>-5</v>
      </c>
      <c r="Q1" s="16">
        <v>-4</v>
      </c>
      <c r="R1" s="16">
        <v>-3</v>
      </c>
      <c r="S1" s="19">
        <v>-2</v>
      </c>
      <c r="T1" s="16">
        <v>-1</v>
      </c>
      <c r="U1" s="16">
        <v>0</v>
      </c>
      <c r="V1" s="16">
        <v>1</v>
      </c>
      <c r="W1" s="18">
        <v>2</v>
      </c>
      <c r="X1" s="16">
        <v>3</v>
      </c>
      <c r="Y1" s="16">
        <v>4</v>
      </c>
      <c r="Z1" s="16">
        <v>5</v>
      </c>
      <c r="AA1" s="16">
        <v>6</v>
      </c>
      <c r="AB1" s="18">
        <v>7</v>
      </c>
      <c r="AC1" s="16">
        <v>8</v>
      </c>
      <c r="AD1" s="16">
        <v>9</v>
      </c>
      <c r="AE1" s="16">
        <v>10</v>
      </c>
      <c r="AF1" s="16">
        <v>11</v>
      </c>
      <c r="AG1" s="18">
        <v>12</v>
      </c>
      <c r="AH1" s="16">
        <v>13</v>
      </c>
      <c r="AI1" s="16">
        <v>14</v>
      </c>
      <c r="AJ1" s="18">
        <v>15</v>
      </c>
      <c r="AK1" s="16">
        <v>16</v>
      </c>
      <c r="AL1" s="16">
        <v>17</v>
      </c>
      <c r="AM1" s="16">
        <v>18</v>
      </c>
      <c r="AN1" s="16">
        <v>19</v>
      </c>
      <c r="AO1" s="18">
        <v>20</v>
      </c>
      <c r="AP1" s="16">
        <v>21</v>
      </c>
      <c r="AQ1" s="16">
        <v>22</v>
      </c>
      <c r="AR1" s="16">
        <v>23</v>
      </c>
      <c r="AS1" s="16">
        <v>24</v>
      </c>
      <c r="AT1" s="16">
        <v>25</v>
      </c>
      <c r="AU1" s="16">
        <v>26</v>
      </c>
      <c r="AV1" s="16">
        <v>27</v>
      </c>
      <c r="AW1" s="16">
        <v>28</v>
      </c>
      <c r="AX1" s="16">
        <v>29</v>
      </c>
      <c r="AY1" s="16">
        <v>30</v>
      </c>
    </row>
    <row r="2" spans="1:51" x14ac:dyDescent="0.25">
      <c r="A2" t="s">
        <v>182</v>
      </c>
      <c r="B2" s="16" t="str">
        <f>Schemat!D3</f>
        <v>Katowice</v>
      </c>
      <c r="C2">
        <f>C22</f>
        <v>0</v>
      </c>
      <c r="D2">
        <f t="shared" ref="D2:AY2" si="0">D22</f>
        <v>2</v>
      </c>
      <c r="E2">
        <f t="shared" si="0"/>
        <v>1</v>
      </c>
      <c r="F2">
        <f t="shared" si="0"/>
        <v>2</v>
      </c>
      <c r="G2">
        <f t="shared" si="0"/>
        <v>7</v>
      </c>
      <c r="H2">
        <f t="shared" si="0"/>
        <v>8</v>
      </c>
      <c r="I2">
        <f t="shared" si="0"/>
        <v>8</v>
      </c>
      <c r="J2">
        <f t="shared" si="0"/>
        <v>10</v>
      </c>
      <c r="K2">
        <f t="shared" si="0"/>
        <v>37</v>
      </c>
      <c r="L2">
        <f t="shared" si="0"/>
        <v>51</v>
      </c>
      <c r="M2">
        <f t="shared" si="0"/>
        <v>51</v>
      </c>
      <c r="N2">
        <f t="shared" si="0"/>
        <v>59</v>
      </c>
      <c r="O2">
        <f t="shared" si="0"/>
        <v>61</v>
      </c>
      <c r="P2">
        <f t="shared" si="0"/>
        <v>111</v>
      </c>
      <c r="Q2">
        <f t="shared" si="0"/>
        <v>144</v>
      </c>
      <c r="R2">
        <f t="shared" si="0"/>
        <v>223</v>
      </c>
      <c r="S2">
        <f t="shared" si="0"/>
        <v>210</v>
      </c>
      <c r="T2">
        <f t="shared" si="0"/>
        <v>162</v>
      </c>
      <c r="U2">
        <f t="shared" si="0"/>
        <v>254</v>
      </c>
      <c r="V2">
        <f t="shared" si="0"/>
        <v>159</v>
      </c>
      <c r="W2">
        <f t="shared" si="0"/>
        <v>250</v>
      </c>
      <c r="X2">
        <f t="shared" si="0"/>
        <v>242</v>
      </c>
      <c r="Y2">
        <f t="shared" si="0"/>
        <v>191</v>
      </c>
      <c r="Z2">
        <f t="shared" si="0"/>
        <v>183</v>
      </c>
      <c r="AA2">
        <f t="shared" si="0"/>
        <v>161</v>
      </c>
      <c r="AB2">
        <f t="shared" si="0"/>
        <v>176</v>
      </c>
      <c r="AC2">
        <f t="shared" si="0"/>
        <v>166</v>
      </c>
      <c r="AD2">
        <f t="shared" si="0"/>
        <v>176</v>
      </c>
      <c r="AE2">
        <f t="shared" si="0"/>
        <v>164</v>
      </c>
      <c r="AF2">
        <f t="shared" si="0"/>
        <v>193</v>
      </c>
      <c r="AG2">
        <f t="shared" si="0"/>
        <v>187</v>
      </c>
      <c r="AH2">
        <f t="shared" si="0"/>
        <v>200</v>
      </c>
      <c r="AI2">
        <f t="shared" si="0"/>
        <v>217</v>
      </c>
      <c r="AJ2">
        <f t="shared" si="0"/>
        <v>250</v>
      </c>
      <c r="AK2">
        <f t="shared" si="0"/>
        <v>248</v>
      </c>
      <c r="AL2">
        <f t="shared" si="0"/>
        <v>246</v>
      </c>
      <c r="AM2">
        <f t="shared" si="0"/>
        <v>190</v>
      </c>
      <c r="AN2">
        <f t="shared" si="0"/>
        <v>184</v>
      </c>
      <c r="AO2">
        <f t="shared" si="0"/>
        <v>165</v>
      </c>
      <c r="AP2">
        <f t="shared" si="0"/>
        <v>123</v>
      </c>
      <c r="AQ2">
        <f t="shared" si="0"/>
        <v>109</v>
      </c>
      <c r="AR2">
        <f t="shared" si="0"/>
        <v>81</v>
      </c>
      <c r="AS2">
        <f t="shared" si="0"/>
        <v>71</v>
      </c>
      <c r="AT2">
        <f t="shared" si="0"/>
        <v>40</v>
      </c>
      <c r="AU2">
        <f t="shared" si="0"/>
        <v>18</v>
      </c>
      <c r="AV2">
        <f t="shared" si="0"/>
        <v>10</v>
      </c>
      <c r="AW2">
        <f t="shared" si="0"/>
        <v>20</v>
      </c>
      <c r="AX2">
        <f t="shared" si="0"/>
        <v>0</v>
      </c>
      <c r="AY2">
        <f t="shared" si="0"/>
        <v>0</v>
      </c>
    </row>
    <row r="3" spans="1:51" x14ac:dyDescent="0.25">
      <c r="A3" t="s">
        <v>184</v>
      </c>
      <c r="B3" t="str">
        <f>Schemat!X5</f>
        <v>Panasonic 9kW  T-CAP 3F</v>
      </c>
      <c r="C3" s="7">
        <f>VLOOKUP($B$3,PC[#Data],MATCH(C$21,PC[#Headers],0),FALSE)</f>
        <v>9</v>
      </c>
      <c r="D3" s="7">
        <f>($F3-$C3)*($C$1-D$1)/($C$1-$F$1)+$C3</f>
        <v>9</v>
      </c>
      <c r="E3" s="7">
        <f>($F3-$C3)*($C$1-E$1)/($C$1-$F$1)+$C3</f>
        <v>9</v>
      </c>
      <c r="F3" s="7">
        <f>VLOOKUP($B$3,PC[#Data],MATCH(F21,PC[#Headers],0),FALSE)</f>
        <v>9</v>
      </c>
      <c r="G3" s="7">
        <f>($N3-$F3)*($F$1-G$1)/($F$1-$N$1)+$F3</f>
        <v>9</v>
      </c>
      <c r="H3" s="7">
        <f t="shared" ref="H3:M4" si="1">($N3-$F3)*($F$1-H$1)/($F$1-$N$1)+$F3</f>
        <v>9</v>
      </c>
      <c r="I3" s="7">
        <f t="shared" si="1"/>
        <v>9</v>
      </c>
      <c r="J3" s="7">
        <f t="shared" si="1"/>
        <v>9</v>
      </c>
      <c r="K3" s="7">
        <f t="shared" si="1"/>
        <v>9</v>
      </c>
      <c r="L3" s="7">
        <f t="shared" si="1"/>
        <v>9</v>
      </c>
      <c r="M3" s="7">
        <f t="shared" si="1"/>
        <v>9</v>
      </c>
      <c r="N3" s="7">
        <f>VLOOKUP($B$3,PC[#Data],MATCH(N21,PC[#Headers],0),FALSE)</f>
        <v>9</v>
      </c>
      <c r="O3" s="7">
        <f>($S3-$N3)*($N$1-O$1)/($N$1-$S$1)+$N3</f>
        <v>9</v>
      </c>
      <c r="P3" s="7">
        <f t="shared" ref="P3:R4" si="2">($S3-$N3)*($N$1-P$1)/($N$1-$S$1)+$N3</f>
        <v>9</v>
      </c>
      <c r="Q3" s="7">
        <f t="shared" si="2"/>
        <v>9</v>
      </c>
      <c r="R3" s="7">
        <f t="shared" si="2"/>
        <v>9</v>
      </c>
      <c r="S3" s="7">
        <f>VLOOKUP($B$3,PC[#Data],MATCH(S21,PC[#Headers],0),FALSE)</f>
        <v>9</v>
      </c>
      <c r="T3" s="7">
        <f>($W3-$S3)*($S$1-T$1)/($S$1-$W$1)+$S3</f>
        <v>9</v>
      </c>
      <c r="U3" s="7">
        <f t="shared" ref="U3:V4" si="3">($W3-$S3)*($S$1-U$1)/($S$1-$W$1)+$S3</f>
        <v>9</v>
      </c>
      <c r="V3" s="7">
        <f t="shared" si="3"/>
        <v>9</v>
      </c>
      <c r="W3" s="7">
        <f>VLOOKUP($B$3,PC[#Data],MATCH(W21,PC[#Headers],0),FALSE)</f>
        <v>9</v>
      </c>
      <c r="X3" s="7">
        <f>($AB3-$W3)*($W$1-X$1)/($W$1-$AB$1)+$W3</f>
        <v>9</v>
      </c>
      <c r="Y3" s="7">
        <f t="shared" ref="Y3:AA4" si="4">($AB3-$W3)*($W$1-Y$1)/($W$1-$AB$1)+$W3</f>
        <v>9</v>
      </c>
      <c r="Z3" s="7">
        <f t="shared" si="4"/>
        <v>9</v>
      </c>
      <c r="AA3" s="7">
        <f t="shared" si="4"/>
        <v>9</v>
      </c>
      <c r="AB3" s="7">
        <f>VLOOKUP($B$3,PC[#Data],MATCH(AB21,PC[#Headers],0),FALSE)</f>
        <v>9</v>
      </c>
      <c r="AC3" s="7">
        <f>($AG3-$AB3)*($AB$1-AC$1)/($AB$1-$AG$1)+$AB3</f>
        <v>9.2555999999999994</v>
      </c>
      <c r="AD3" s="7">
        <f t="shared" ref="AD3:AF4" si="5">($AG3-$AB3)*($AB$1-AD$1)/($AB$1-$AG$1)+$AB3</f>
        <v>9.5112000000000005</v>
      </c>
      <c r="AE3" s="7">
        <f t="shared" si="5"/>
        <v>9.7667999999999999</v>
      </c>
      <c r="AF3" s="7">
        <f t="shared" si="5"/>
        <v>10.022400000000001</v>
      </c>
      <c r="AG3" s="7">
        <f>VLOOKUP($B$3,PC[#Data],MATCH(AG21,PC[#Headers],0),FALSE)</f>
        <v>10.278</v>
      </c>
      <c r="AH3" s="7">
        <f>($AJ3-$AG3)*($AG$1-AH$1)/($AG$1-$AJ$1)+$AG3</f>
        <v>10.533333333333333</v>
      </c>
      <c r="AI3" s="7">
        <f>($AJ3-$AG3)*($AG$1-AI$1)/($AG$1-$AJ$1)+$AG3</f>
        <v>10.788666666666668</v>
      </c>
      <c r="AJ3" s="7">
        <f>VLOOKUP($B$3,PC[#Data],MATCH(AJ21,PC[#Headers],0),FALSE)</f>
        <v>11.044</v>
      </c>
      <c r="AK3" s="7">
        <f>($AO3-$AJ3)*($AJ$1-AK$1)/($AJ$1-$AO$1)+$AJ3</f>
        <v>11.299200000000001</v>
      </c>
      <c r="AL3" s="7">
        <f t="shared" ref="AL3:AN4" si="6">($AO3-$AJ3)*($AJ$1-AL$1)/($AJ$1-$AO$1)+$AJ3</f>
        <v>11.554400000000001</v>
      </c>
      <c r="AM3" s="7">
        <f t="shared" si="6"/>
        <v>11.8096</v>
      </c>
      <c r="AN3" s="7">
        <f t="shared" si="6"/>
        <v>12.0648</v>
      </c>
      <c r="AO3" s="7">
        <f>VLOOKUP($B$3,PC[#Data],MATCH(AO21,PC[#Headers],0),FALSE)</f>
        <v>12.32</v>
      </c>
      <c r="AP3" s="7">
        <f>AO3</f>
        <v>12.32</v>
      </c>
      <c r="AQ3" s="7">
        <f t="shared" ref="AQ3:AY3" si="7">AP3</f>
        <v>12.32</v>
      </c>
      <c r="AR3" s="7">
        <f t="shared" si="7"/>
        <v>12.32</v>
      </c>
      <c r="AS3" s="7">
        <f t="shared" si="7"/>
        <v>12.32</v>
      </c>
      <c r="AT3" s="7">
        <f t="shared" si="7"/>
        <v>12.32</v>
      </c>
      <c r="AU3" s="7">
        <f t="shared" si="7"/>
        <v>12.32</v>
      </c>
      <c r="AV3" s="7">
        <f t="shared" si="7"/>
        <v>12.32</v>
      </c>
      <c r="AW3" s="7">
        <f t="shared" si="7"/>
        <v>12.32</v>
      </c>
      <c r="AX3" s="7">
        <f t="shared" si="7"/>
        <v>12.32</v>
      </c>
      <c r="AY3" s="7">
        <f t="shared" si="7"/>
        <v>12.32</v>
      </c>
    </row>
    <row r="4" spans="1:51" x14ac:dyDescent="0.25">
      <c r="A4" t="s">
        <v>185</v>
      </c>
      <c r="B4" t="str">
        <f>Schemat!X6</f>
        <v>-</v>
      </c>
      <c r="C4" s="7">
        <f>VLOOKUP($B$4,PC[#Data],MATCH(C$21,PC[#Headers],0),FALSE)</f>
        <v>0</v>
      </c>
      <c r="D4" s="7">
        <f>($F4-$C4)*($C$1-D$1)/($C$1-$F$1)+$C4</f>
        <v>0</v>
      </c>
      <c r="E4" s="7">
        <f>($F4-$C4)*($C$1-E$1)/($C$1-$F$1)+$C4</f>
        <v>0</v>
      </c>
      <c r="F4" s="7">
        <f>VLOOKUP($B$4,PC[#Data],MATCH(F$21,PC[#Headers],0),FALSE)</f>
        <v>0</v>
      </c>
      <c r="G4" s="7">
        <f>($N4-$F4)*($F$1-G$1)/($F$1-$N$1)+$F4</f>
        <v>0</v>
      </c>
      <c r="H4" s="7">
        <f t="shared" si="1"/>
        <v>0</v>
      </c>
      <c r="I4" s="7">
        <f t="shared" si="1"/>
        <v>0</v>
      </c>
      <c r="J4" s="7">
        <f t="shared" si="1"/>
        <v>0</v>
      </c>
      <c r="K4" s="7">
        <f t="shared" si="1"/>
        <v>0</v>
      </c>
      <c r="L4" s="7">
        <f t="shared" si="1"/>
        <v>0</v>
      </c>
      <c r="M4" s="7">
        <f t="shared" si="1"/>
        <v>0</v>
      </c>
      <c r="N4" s="7">
        <f>VLOOKUP($B$4,PC[#Data],MATCH(N$21,PC[#Headers],0),FALSE)</f>
        <v>0</v>
      </c>
      <c r="O4" s="7">
        <f>($S4-$N4)*($N$1-O$1)/($N$1-$S$1)+$N4</f>
        <v>0</v>
      </c>
      <c r="P4" s="7">
        <f t="shared" si="2"/>
        <v>0</v>
      </c>
      <c r="Q4" s="7">
        <f t="shared" si="2"/>
        <v>0</v>
      </c>
      <c r="R4" s="7">
        <f t="shared" si="2"/>
        <v>0</v>
      </c>
      <c r="S4" s="7">
        <f>VLOOKUP($B$4,PC[#Data],MATCH(S$21,PC[#Headers],0),FALSE)</f>
        <v>0</v>
      </c>
      <c r="T4" s="7">
        <f>($W4-$S4)*($S$1-T$1)/($S$1-$W$1)+$S4</f>
        <v>0</v>
      </c>
      <c r="U4" s="7">
        <f t="shared" si="3"/>
        <v>0</v>
      </c>
      <c r="V4" s="7">
        <f t="shared" si="3"/>
        <v>0</v>
      </c>
      <c r="W4" s="7">
        <f>VLOOKUP($B$4,PC[#Data],MATCH(W$21,PC[#Headers],0),FALSE)</f>
        <v>0</v>
      </c>
      <c r="X4" s="7">
        <f>($AB4-$W4)*($W$1-X$1)/($W$1-$AB$1)+$W4</f>
        <v>0</v>
      </c>
      <c r="Y4" s="7">
        <f t="shared" si="4"/>
        <v>0</v>
      </c>
      <c r="Z4" s="7">
        <f t="shared" si="4"/>
        <v>0</v>
      </c>
      <c r="AA4" s="7">
        <f t="shared" si="4"/>
        <v>0</v>
      </c>
      <c r="AB4" s="7">
        <f>VLOOKUP($B$4,PC[#Data],MATCH(AB$21,PC[#Headers],0),FALSE)</f>
        <v>0</v>
      </c>
      <c r="AC4" s="7">
        <f>($AG4-$AB4)*($AB$1-AC$1)/($AB$1-$AG$1)+$AB4</f>
        <v>0</v>
      </c>
      <c r="AD4" s="7">
        <f t="shared" si="5"/>
        <v>0</v>
      </c>
      <c r="AE4" s="7">
        <f t="shared" si="5"/>
        <v>0</v>
      </c>
      <c r="AF4" s="7">
        <f t="shared" si="5"/>
        <v>0</v>
      </c>
      <c r="AG4" s="7">
        <f>VLOOKUP($B$4,PC[#Data],MATCH(AG$21,PC[#Headers],0),FALSE)</f>
        <v>0</v>
      </c>
      <c r="AH4" s="7">
        <f>($AJ4-$AG4)*($AG$1-AH$1)/($AG$1-$AJ$1)+$AG4</f>
        <v>0</v>
      </c>
      <c r="AI4" s="7">
        <f>($AJ4-$AG4)*($AG$1-AI$1)/($AG$1-$AJ$1)+$AG4</f>
        <v>0</v>
      </c>
      <c r="AJ4" s="7">
        <f>VLOOKUP($B$4,PC[#Data],MATCH(AJ$21,PC[#Headers],0),FALSE)</f>
        <v>0</v>
      </c>
      <c r="AK4" s="7">
        <f>($AO4-$AJ4)*($AJ$1-AK$1)/($AJ$1-$AO$1)+$AJ4</f>
        <v>0</v>
      </c>
      <c r="AL4" s="7">
        <f t="shared" si="6"/>
        <v>0</v>
      </c>
      <c r="AM4" s="7">
        <f t="shared" si="6"/>
        <v>0</v>
      </c>
      <c r="AN4" s="7">
        <f t="shared" si="6"/>
        <v>0</v>
      </c>
      <c r="AO4" s="7">
        <f>VLOOKUP($B$4,PC[#Data],MATCH(AO$21,PC[#Headers],0),FALSE)</f>
        <v>0</v>
      </c>
      <c r="AP4" s="7">
        <f>AO4</f>
        <v>0</v>
      </c>
      <c r="AQ4" s="7">
        <f t="shared" ref="AQ4" si="8">AP4</f>
        <v>0</v>
      </c>
      <c r="AR4" s="7">
        <f t="shared" ref="AR4" si="9">AQ4</f>
        <v>0</v>
      </c>
      <c r="AS4" s="7">
        <f t="shared" ref="AS4" si="10">AR4</f>
        <v>0</v>
      </c>
      <c r="AT4" s="7">
        <f t="shared" ref="AT4" si="11">AS4</f>
        <v>0</v>
      </c>
      <c r="AU4" s="7">
        <f t="shared" ref="AU4" si="12">AT4</f>
        <v>0</v>
      </c>
      <c r="AV4" s="7">
        <f t="shared" ref="AV4" si="13">AU4</f>
        <v>0</v>
      </c>
      <c r="AW4" s="7">
        <f t="shared" ref="AW4" si="14">AV4</f>
        <v>0</v>
      </c>
      <c r="AX4" s="7">
        <f t="shared" ref="AX4" si="15">AW4</f>
        <v>0</v>
      </c>
      <c r="AY4" s="7">
        <f t="shared" ref="AY4" si="16">AX4</f>
        <v>0</v>
      </c>
    </row>
    <row r="5" spans="1:51" x14ac:dyDescent="0.25">
      <c r="A5" t="s">
        <v>186</v>
      </c>
      <c r="B5">
        <f>VLOOKUP($B$3,PC[#Data],MATCH("Grzałka",PC[#Headers],0),FALSE)</f>
        <v>3</v>
      </c>
      <c r="C5">
        <f>VLOOKUP($B$3,PC[#Data],MATCH("Grzałka",PC[#Headers],0),FALSE)</f>
        <v>3</v>
      </c>
      <c r="D5">
        <f>VLOOKUP($B$3,PC[#Data],MATCH("Grzałka",PC[#Headers],0),FALSE)</f>
        <v>3</v>
      </c>
      <c r="E5">
        <f>VLOOKUP($B$3,PC[#Data],MATCH("Grzałka",PC[#Headers],0),FALSE)</f>
        <v>3</v>
      </c>
      <c r="F5">
        <f>VLOOKUP($B$3,PC[#Data],MATCH("Grzałka",PC[#Headers],0),FALSE)</f>
        <v>3</v>
      </c>
      <c r="G5">
        <f>VLOOKUP($B$3,PC[#Data],MATCH("Grzałka",PC[#Headers],0),FALSE)</f>
        <v>3</v>
      </c>
      <c r="H5">
        <f>VLOOKUP($B$3,PC[#Data],MATCH("Grzałka",PC[#Headers],0),FALSE)</f>
        <v>3</v>
      </c>
      <c r="I5">
        <f>VLOOKUP($B$3,PC[#Data],MATCH("Grzałka",PC[#Headers],0),FALSE)</f>
        <v>3</v>
      </c>
      <c r="J5">
        <f>VLOOKUP($B$3,PC[#Data],MATCH("Grzałka",PC[#Headers],0),FALSE)</f>
        <v>3</v>
      </c>
      <c r="K5">
        <f>VLOOKUP($B$3,PC[#Data],MATCH("Grzałka",PC[#Headers],0),FALSE)</f>
        <v>3</v>
      </c>
      <c r="L5">
        <f>VLOOKUP($B$3,PC[#Data],MATCH("Grzałka",PC[#Headers],0),FALSE)</f>
        <v>3</v>
      </c>
      <c r="M5">
        <f>VLOOKUP($B$3,PC[#Data],MATCH("Grzałka",PC[#Headers],0),FALSE)</f>
        <v>3</v>
      </c>
      <c r="N5">
        <f>VLOOKUP($B$3,PC[#Data],MATCH("Grzałka",PC[#Headers],0),FALSE)</f>
        <v>3</v>
      </c>
      <c r="O5">
        <f>VLOOKUP($B$3,PC[#Data],MATCH("Grzałka",PC[#Headers],0),FALSE)</f>
        <v>3</v>
      </c>
      <c r="P5">
        <f>VLOOKUP($B$3,PC[#Data],MATCH("Grzałka",PC[#Headers],0),FALSE)</f>
        <v>3</v>
      </c>
      <c r="Q5">
        <f>VLOOKUP($B$3,PC[#Data],MATCH("Grzałka",PC[#Headers],0),FALSE)</f>
        <v>3</v>
      </c>
      <c r="R5">
        <f>VLOOKUP($B$3,PC[#Data],MATCH("Grzałka",PC[#Headers],0),FALSE)</f>
        <v>3</v>
      </c>
      <c r="S5">
        <f>VLOOKUP($B$3,PC[#Data],MATCH("Grzałka",PC[#Headers],0),FALSE)</f>
        <v>3</v>
      </c>
      <c r="T5">
        <f>VLOOKUP($B$3,PC[#Data],MATCH("Grzałka",PC[#Headers],0),FALSE)</f>
        <v>3</v>
      </c>
      <c r="U5">
        <f>VLOOKUP($B$3,PC[#Data],MATCH("Grzałka",PC[#Headers],0),FALSE)</f>
        <v>3</v>
      </c>
      <c r="V5">
        <f>VLOOKUP($B$3,PC[#Data],MATCH("Grzałka",PC[#Headers],0),FALSE)</f>
        <v>3</v>
      </c>
      <c r="W5">
        <f>VLOOKUP($B$3,PC[#Data],MATCH("Grzałka",PC[#Headers],0),FALSE)</f>
        <v>3</v>
      </c>
      <c r="X5">
        <f>VLOOKUP($B$3,PC[#Data],MATCH("Grzałka",PC[#Headers],0),FALSE)</f>
        <v>3</v>
      </c>
      <c r="Y5">
        <f>VLOOKUP($B$3,PC[#Data],MATCH("Grzałka",PC[#Headers],0),FALSE)</f>
        <v>3</v>
      </c>
      <c r="Z5">
        <f>VLOOKUP($B$3,PC[#Data],MATCH("Grzałka",PC[#Headers],0),FALSE)</f>
        <v>3</v>
      </c>
      <c r="AA5">
        <f>VLOOKUP($B$3,PC[#Data],MATCH("Grzałka",PC[#Headers],0),FALSE)</f>
        <v>3</v>
      </c>
      <c r="AB5">
        <f>VLOOKUP($B$3,PC[#Data],MATCH("Grzałka",PC[#Headers],0),FALSE)</f>
        <v>3</v>
      </c>
      <c r="AC5">
        <f>VLOOKUP($B$3,PC[#Data],MATCH("Grzałka",PC[#Headers],0),FALSE)</f>
        <v>3</v>
      </c>
      <c r="AD5">
        <f>VLOOKUP($B$3,PC[#Data],MATCH("Grzałka",PC[#Headers],0),FALSE)</f>
        <v>3</v>
      </c>
      <c r="AE5">
        <f>VLOOKUP($B$3,PC[#Data],MATCH("Grzałka",PC[#Headers],0),FALSE)</f>
        <v>3</v>
      </c>
      <c r="AF5">
        <f>VLOOKUP($B$3,PC[#Data],MATCH("Grzałka",PC[#Headers],0),FALSE)</f>
        <v>3</v>
      </c>
      <c r="AG5">
        <f>VLOOKUP($B$3,PC[#Data],MATCH("Grzałka",PC[#Headers],0),FALSE)</f>
        <v>3</v>
      </c>
      <c r="AH5">
        <f>VLOOKUP($B$3,PC[#Data],MATCH("Grzałka",PC[#Headers],0),FALSE)</f>
        <v>3</v>
      </c>
      <c r="AI5">
        <f>VLOOKUP($B$3,PC[#Data],MATCH("Grzałka",PC[#Headers],0),FALSE)</f>
        <v>3</v>
      </c>
      <c r="AJ5">
        <f>VLOOKUP($B$3,PC[#Data],MATCH("Grzałka",PC[#Headers],0),FALSE)</f>
        <v>3</v>
      </c>
      <c r="AK5">
        <f>VLOOKUP($B$3,PC[#Data],MATCH("Grzałka",PC[#Headers],0),FALSE)</f>
        <v>3</v>
      </c>
      <c r="AL5">
        <f>VLOOKUP($B$3,PC[#Data],MATCH("Grzałka",PC[#Headers],0),FALSE)</f>
        <v>3</v>
      </c>
      <c r="AM5">
        <f>VLOOKUP($B$3,PC[#Data],MATCH("Grzałka",PC[#Headers],0),FALSE)</f>
        <v>3</v>
      </c>
      <c r="AN5">
        <f>VLOOKUP($B$3,PC[#Data],MATCH("Grzałka",PC[#Headers],0),FALSE)</f>
        <v>3</v>
      </c>
      <c r="AO5">
        <f>VLOOKUP($B$3,PC[#Data],MATCH("Grzałka",PC[#Headers],0),FALSE)</f>
        <v>3</v>
      </c>
      <c r="AP5">
        <f>VLOOKUP($B$3,PC[#Data],MATCH("Grzałka",PC[#Headers],0),FALSE)</f>
        <v>3</v>
      </c>
      <c r="AQ5">
        <f>VLOOKUP($B$3,PC[#Data],MATCH("Grzałka",PC[#Headers],0),FALSE)</f>
        <v>3</v>
      </c>
      <c r="AR5">
        <f>VLOOKUP($B$3,PC[#Data],MATCH("Grzałka",PC[#Headers],0),FALSE)</f>
        <v>3</v>
      </c>
      <c r="AS5">
        <f>VLOOKUP($B$3,PC[#Data],MATCH("Grzałka",PC[#Headers],0),FALSE)</f>
        <v>3</v>
      </c>
      <c r="AT5">
        <f>VLOOKUP($B$3,PC[#Data],MATCH("Grzałka",PC[#Headers],0),FALSE)</f>
        <v>3</v>
      </c>
      <c r="AU5">
        <f>VLOOKUP($B$3,PC[#Data],MATCH("Grzałka",PC[#Headers],0),FALSE)</f>
        <v>3</v>
      </c>
      <c r="AV5">
        <f>VLOOKUP($B$3,PC[#Data],MATCH("Grzałka",PC[#Headers],0),FALSE)</f>
        <v>3</v>
      </c>
      <c r="AW5">
        <f>VLOOKUP($B$3,PC[#Data],MATCH("Grzałka",PC[#Headers],0),FALSE)</f>
        <v>3</v>
      </c>
      <c r="AX5">
        <f>VLOOKUP($B$3,PC[#Data],MATCH("Grzałka",PC[#Headers],0),FALSE)</f>
        <v>3</v>
      </c>
      <c r="AY5">
        <f>VLOOKUP($B$3,PC[#Data],MATCH("Grzałka",PC[#Headers],0),FALSE)</f>
        <v>3</v>
      </c>
    </row>
    <row r="6" spans="1:51" x14ac:dyDescent="0.25">
      <c r="A6" t="s">
        <v>187</v>
      </c>
      <c r="B6">
        <f>VLOOKUP($B$4,PC[#Data],MATCH("Grzałka",PC[#Headers],0),FALSE)</f>
        <v>0</v>
      </c>
      <c r="C6">
        <f>VLOOKUP($B$4,PC[#Data],MATCH("Grzałka",PC[#Headers],0),FALSE)</f>
        <v>0</v>
      </c>
      <c r="D6">
        <f>VLOOKUP($B$4,PC[#Data],MATCH("Grzałka",PC[#Headers],0),FALSE)</f>
        <v>0</v>
      </c>
      <c r="E6">
        <f>VLOOKUP($B$4,PC[#Data],MATCH("Grzałka",PC[#Headers],0),FALSE)</f>
        <v>0</v>
      </c>
      <c r="F6">
        <f>VLOOKUP($B$4,PC[#Data],MATCH("Grzałka",PC[#Headers],0),FALSE)</f>
        <v>0</v>
      </c>
      <c r="G6">
        <f>VLOOKUP($B$4,PC[#Data],MATCH("Grzałka",PC[#Headers],0),FALSE)</f>
        <v>0</v>
      </c>
      <c r="H6">
        <f>VLOOKUP($B$4,PC[#Data],MATCH("Grzałka",PC[#Headers],0),FALSE)</f>
        <v>0</v>
      </c>
      <c r="I6">
        <f>VLOOKUP($B$4,PC[#Data],MATCH("Grzałka",PC[#Headers],0),FALSE)</f>
        <v>0</v>
      </c>
      <c r="J6">
        <f>VLOOKUP($B$4,PC[#Data],MATCH("Grzałka",PC[#Headers],0),FALSE)</f>
        <v>0</v>
      </c>
      <c r="K6">
        <f>VLOOKUP($B$4,PC[#Data],MATCH("Grzałka",PC[#Headers],0),FALSE)</f>
        <v>0</v>
      </c>
      <c r="L6">
        <f>VLOOKUP($B$4,PC[#Data],MATCH("Grzałka",PC[#Headers],0),FALSE)</f>
        <v>0</v>
      </c>
      <c r="M6">
        <f>VLOOKUP($B$4,PC[#Data],MATCH("Grzałka",PC[#Headers],0),FALSE)</f>
        <v>0</v>
      </c>
      <c r="N6">
        <f>VLOOKUP($B$4,PC[#Data],MATCH("Grzałka",PC[#Headers],0),FALSE)</f>
        <v>0</v>
      </c>
      <c r="O6">
        <f>VLOOKUP($B$4,PC[#Data],MATCH("Grzałka",PC[#Headers],0),FALSE)</f>
        <v>0</v>
      </c>
      <c r="P6">
        <f>VLOOKUP($B$4,PC[#Data],MATCH("Grzałka",PC[#Headers],0),FALSE)</f>
        <v>0</v>
      </c>
      <c r="Q6">
        <f>VLOOKUP($B$4,PC[#Data],MATCH("Grzałka",PC[#Headers],0),FALSE)</f>
        <v>0</v>
      </c>
      <c r="R6">
        <f>VLOOKUP($B$4,PC[#Data],MATCH("Grzałka",PC[#Headers],0),FALSE)</f>
        <v>0</v>
      </c>
      <c r="S6">
        <f>VLOOKUP($B$4,PC[#Data],MATCH("Grzałka",PC[#Headers],0),FALSE)</f>
        <v>0</v>
      </c>
      <c r="T6">
        <f>VLOOKUP($B$4,PC[#Data],MATCH("Grzałka",PC[#Headers],0),FALSE)</f>
        <v>0</v>
      </c>
      <c r="U6">
        <f>VLOOKUP($B$4,PC[#Data],MATCH("Grzałka",PC[#Headers],0),FALSE)</f>
        <v>0</v>
      </c>
      <c r="V6">
        <f>VLOOKUP($B$4,PC[#Data],MATCH("Grzałka",PC[#Headers],0),FALSE)</f>
        <v>0</v>
      </c>
      <c r="W6">
        <f>VLOOKUP($B$4,PC[#Data],MATCH("Grzałka",PC[#Headers],0),FALSE)</f>
        <v>0</v>
      </c>
      <c r="X6">
        <f>VLOOKUP($B$4,PC[#Data],MATCH("Grzałka",PC[#Headers],0),FALSE)</f>
        <v>0</v>
      </c>
      <c r="Y6">
        <f>VLOOKUP($B$4,PC[#Data],MATCH("Grzałka",PC[#Headers],0),FALSE)</f>
        <v>0</v>
      </c>
      <c r="Z6">
        <f>VLOOKUP($B$4,PC[#Data],MATCH("Grzałka",PC[#Headers],0),FALSE)</f>
        <v>0</v>
      </c>
      <c r="AA6">
        <f>VLOOKUP($B$4,PC[#Data],MATCH("Grzałka",PC[#Headers],0),FALSE)</f>
        <v>0</v>
      </c>
      <c r="AB6">
        <f>VLOOKUP($B$4,PC[#Data],MATCH("Grzałka",PC[#Headers],0),FALSE)</f>
        <v>0</v>
      </c>
      <c r="AC6">
        <f>VLOOKUP($B$4,PC[#Data],MATCH("Grzałka",PC[#Headers],0),FALSE)</f>
        <v>0</v>
      </c>
      <c r="AD6">
        <f>VLOOKUP($B$4,PC[#Data],MATCH("Grzałka",PC[#Headers],0),FALSE)</f>
        <v>0</v>
      </c>
      <c r="AE6">
        <f>VLOOKUP($B$4,PC[#Data],MATCH("Grzałka",PC[#Headers],0),FALSE)</f>
        <v>0</v>
      </c>
      <c r="AF6">
        <f>VLOOKUP($B$4,PC[#Data],MATCH("Grzałka",PC[#Headers],0),FALSE)</f>
        <v>0</v>
      </c>
      <c r="AG6">
        <f>VLOOKUP($B$4,PC[#Data],MATCH("Grzałka",PC[#Headers],0),FALSE)</f>
        <v>0</v>
      </c>
      <c r="AH6">
        <f>VLOOKUP($B$4,PC[#Data],MATCH("Grzałka",PC[#Headers],0),FALSE)</f>
        <v>0</v>
      </c>
      <c r="AI6">
        <f>VLOOKUP($B$4,PC[#Data],MATCH("Grzałka",PC[#Headers],0),FALSE)</f>
        <v>0</v>
      </c>
      <c r="AJ6">
        <f>VLOOKUP($B$4,PC[#Data],MATCH("Grzałka",PC[#Headers],0),FALSE)</f>
        <v>0</v>
      </c>
      <c r="AK6">
        <f>VLOOKUP($B$4,PC[#Data],MATCH("Grzałka",PC[#Headers],0),FALSE)</f>
        <v>0</v>
      </c>
      <c r="AL6">
        <f>VLOOKUP($B$4,PC[#Data],MATCH("Grzałka",PC[#Headers],0),FALSE)</f>
        <v>0</v>
      </c>
      <c r="AM6">
        <f>VLOOKUP($B$4,PC[#Data],MATCH("Grzałka",PC[#Headers],0),FALSE)</f>
        <v>0</v>
      </c>
      <c r="AN6">
        <f>VLOOKUP($B$4,PC[#Data],MATCH("Grzałka",PC[#Headers],0),FALSE)</f>
        <v>0</v>
      </c>
      <c r="AO6">
        <f>VLOOKUP($B$4,PC[#Data],MATCH("Grzałka",PC[#Headers],0),FALSE)</f>
        <v>0</v>
      </c>
      <c r="AP6">
        <f>VLOOKUP($B$4,PC[#Data],MATCH("Grzałka",PC[#Headers],0),FALSE)</f>
        <v>0</v>
      </c>
      <c r="AQ6">
        <f>VLOOKUP($B$4,PC[#Data],MATCH("Grzałka",PC[#Headers],0),FALSE)</f>
        <v>0</v>
      </c>
      <c r="AR6">
        <f>VLOOKUP($B$4,PC[#Data],MATCH("Grzałka",PC[#Headers],0),FALSE)</f>
        <v>0</v>
      </c>
      <c r="AS6">
        <f>VLOOKUP($B$4,PC[#Data],MATCH("Grzałka",PC[#Headers],0),FALSE)</f>
        <v>0</v>
      </c>
      <c r="AT6">
        <f>VLOOKUP($B$4,PC[#Data],MATCH("Grzałka",PC[#Headers],0),FALSE)</f>
        <v>0</v>
      </c>
      <c r="AU6">
        <f>VLOOKUP($B$4,PC[#Data],MATCH("Grzałka",PC[#Headers],0),FALSE)</f>
        <v>0</v>
      </c>
      <c r="AV6">
        <f>VLOOKUP($B$4,PC[#Data],MATCH("Grzałka",PC[#Headers],0),FALSE)</f>
        <v>0</v>
      </c>
      <c r="AW6">
        <f>VLOOKUP($B$4,PC[#Data],MATCH("Grzałka",PC[#Headers],0),FALSE)</f>
        <v>0</v>
      </c>
      <c r="AX6">
        <f>VLOOKUP($B$4,PC[#Data],MATCH("Grzałka",PC[#Headers],0),FALSE)</f>
        <v>0</v>
      </c>
      <c r="AY6">
        <f>VLOOKUP($B$4,PC[#Data],MATCH("Grzałka",PC[#Headers],0),FALSE)</f>
        <v>0</v>
      </c>
    </row>
    <row r="7" spans="1:51" x14ac:dyDescent="0.25">
      <c r="A7" t="s">
        <v>192</v>
      </c>
      <c r="C7" s="7">
        <f>SUM(C3:C4)</f>
        <v>9</v>
      </c>
      <c r="D7" s="7">
        <f t="shared" ref="D7:AY7" si="17">SUM(D3:D4)</f>
        <v>9</v>
      </c>
      <c r="E7" s="7">
        <f t="shared" si="17"/>
        <v>9</v>
      </c>
      <c r="F7" s="7">
        <f t="shared" si="17"/>
        <v>9</v>
      </c>
      <c r="G7" s="7">
        <f t="shared" si="17"/>
        <v>9</v>
      </c>
      <c r="H7" s="7">
        <f t="shared" si="17"/>
        <v>9</v>
      </c>
      <c r="I7" s="7">
        <f t="shared" si="17"/>
        <v>9</v>
      </c>
      <c r="J7" s="7">
        <f t="shared" si="17"/>
        <v>9</v>
      </c>
      <c r="K7" s="7">
        <f t="shared" si="17"/>
        <v>9</v>
      </c>
      <c r="L7" s="7">
        <f t="shared" si="17"/>
        <v>9</v>
      </c>
      <c r="M7" s="7">
        <f t="shared" si="17"/>
        <v>9</v>
      </c>
      <c r="N7" s="7">
        <f t="shared" si="17"/>
        <v>9</v>
      </c>
      <c r="O7" s="7">
        <f t="shared" si="17"/>
        <v>9</v>
      </c>
      <c r="P7" s="7">
        <f t="shared" si="17"/>
        <v>9</v>
      </c>
      <c r="Q7" s="7">
        <f t="shared" si="17"/>
        <v>9</v>
      </c>
      <c r="R7" s="7">
        <f t="shared" si="17"/>
        <v>9</v>
      </c>
      <c r="S7" s="7">
        <f t="shared" si="17"/>
        <v>9</v>
      </c>
      <c r="T7" s="7">
        <f t="shared" si="17"/>
        <v>9</v>
      </c>
      <c r="U7" s="7">
        <f t="shared" si="17"/>
        <v>9</v>
      </c>
      <c r="V7" s="7">
        <f t="shared" si="17"/>
        <v>9</v>
      </c>
      <c r="W7" s="7">
        <f t="shared" si="17"/>
        <v>9</v>
      </c>
      <c r="X7" s="7">
        <f t="shared" si="17"/>
        <v>9</v>
      </c>
      <c r="Y7" s="7">
        <f t="shared" si="17"/>
        <v>9</v>
      </c>
      <c r="Z7" s="7">
        <f t="shared" si="17"/>
        <v>9</v>
      </c>
      <c r="AA7" s="7">
        <f t="shared" si="17"/>
        <v>9</v>
      </c>
      <c r="AB7" s="7">
        <f t="shared" si="17"/>
        <v>9</v>
      </c>
      <c r="AC7" s="7">
        <f t="shared" si="17"/>
        <v>9.2555999999999994</v>
      </c>
      <c r="AD7" s="7">
        <f t="shared" si="17"/>
        <v>9.5112000000000005</v>
      </c>
      <c r="AE7" s="7">
        <f t="shared" si="17"/>
        <v>9.7667999999999999</v>
      </c>
      <c r="AF7" s="7">
        <f t="shared" si="17"/>
        <v>10.022400000000001</v>
      </c>
      <c r="AG7" s="7">
        <f t="shared" si="17"/>
        <v>10.278</v>
      </c>
      <c r="AH7" s="7">
        <f t="shared" si="17"/>
        <v>10.533333333333333</v>
      </c>
      <c r="AI7" s="7">
        <f t="shared" si="17"/>
        <v>10.788666666666668</v>
      </c>
      <c r="AJ7" s="7">
        <f t="shared" si="17"/>
        <v>11.044</v>
      </c>
      <c r="AK7" s="7">
        <f t="shared" si="17"/>
        <v>11.299200000000001</v>
      </c>
      <c r="AL7" s="7">
        <f t="shared" si="17"/>
        <v>11.554400000000001</v>
      </c>
      <c r="AM7" s="7">
        <f t="shared" si="17"/>
        <v>11.8096</v>
      </c>
      <c r="AN7" s="7">
        <f t="shared" si="17"/>
        <v>12.0648</v>
      </c>
      <c r="AO7" s="7">
        <f t="shared" si="17"/>
        <v>12.32</v>
      </c>
      <c r="AP7" s="7">
        <f t="shared" si="17"/>
        <v>12.32</v>
      </c>
      <c r="AQ7" s="7">
        <f t="shared" si="17"/>
        <v>12.32</v>
      </c>
      <c r="AR7" s="7">
        <f t="shared" si="17"/>
        <v>12.32</v>
      </c>
      <c r="AS7" s="7">
        <f t="shared" si="17"/>
        <v>12.32</v>
      </c>
      <c r="AT7" s="7">
        <f t="shared" si="17"/>
        <v>12.32</v>
      </c>
      <c r="AU7" s="7">
        <f t="shared" si="17"/>
        <v>12.32</v>
      </c>
      <c r="AV7" s="7">
        <f t="shared" si="17"/>
        <v>12.32</v>
      </c>
      <c r="AW7" s="7">
        <f t="shared" si="17"/>
        <v>12.32</v>
      </c>
      <c r="AX7" s="7">
        <f t="shared" si="17"/>
        <v>12.32</v>
      </c>
      <c r="AY7" s="7">
        <f t="shared" si="17"/>
        <v>12.32</v>
      </c>
    </row>
    <row r="8" spans="1:51" x14ac:dyDescent="0.25">
      <c r="A8" t="s">
        <v>566</v>
      </c>
      <c r="C8" s="7">
        <f>SUM(C3:C6)</f>
        <v>12</v>
      </c>
      <c r="D8" s="7">
        <f t="shared" ref="D8:AY8" si="18">SUM(D3:D6)</f>
        <v>12</v>
      </c>
      <c r="E8" s="7">
        <f t="shared" si="18"/>
        <v>12</v>
      </c>
      <c r="F8" s="7">
        <f t="shared" si="18"/>
        <v>12</v>
      </c>
      <c r="G8" s="7">
        <f t="shared" si="18"/>
        <v>12</v>
      </c>
      <c r="H8" s="7">
        <f t="shared" si="18"/>
        <v>12</v>
      </c>
      <c r="I8" s="7">
        <f t="shared" si="18"/>
        <v>12</v>
      </c>
      <c r="J8" s="7">
        <f t="shared" si="18"/>
        <v>12</v>
      </c>
      <c r="K8" s="7">
        <f t="shared" si="18"/>
        <v>12</v>
      </c>
      <c r="L8" s="7">
        <f t="shared" si="18"/>
        <v>12</v>
      </c>
      <c r="M8" s="7">
        <f t="shared" si="18"/>
        <v>12</v>
      </c>
      <c r="N8" s="7">
        <f t="shared" si="18"/>
        <v>12</v>
      </c>
      <c r="O8" s="7">
        <f t="shared" si="18"/>
        <v>12</v>
      </c>
      <c r="P8" s="7">
        <f t="shared" si="18"/>
        <v>12</v>
      </c>
      <c r="Q8" s="7">
        <f t="shared" si="18"/>
        <v>12</v>
      </c>
      <c r="R8" s="7">
        <f t="shared" si="18"/>
        <v>12</v>
      </c>
      <c r="S8" s="7">
        <f t="shared" si="18"/>
        <v>12</v>
      </c>
      <c r="T8" s="7">
        <f t="shared" si="18"/>
        <v>12</v>
      </c>
      <c r="U8" s="7">
        <f t="shared" si="18"/>
        <v>12</v>
      </c>
      <c r="V8" s="7">
        <f t="shared" si="18"/>
        <v>12</v>
      </c>
      <c r="W8" s="7">
        <f t="shared" si="18"/>
        <v>12</v>
      </c>
      <c r="X8" s="7">
        <f t="shared" si="18"/>
        <v>12</v>
      </c>
      <c r="Y8" s="7">
        <f t="shared" si="18"/>
        <v>12</v>
      </c>
      <c r="Z8" s="7">
        <f t="shared" si="18"/>
        <v>12</v>
      </c>
      <c r="AA8" s="7">
        <f t="shared" si="18"/>
        <v>12</v>
      </c>
      <c r="AB8" s="7">
        <f t="shared" si="18"/>
        <v>12</v>
      </c>
      <c r="AC8" s="7">
        <f t="shared" si="18"/>
        <v>12.255599999999999</v>
      </c>
      <c r="AD8" s="7">
        <f t="shared" si="18"/>
        <v>12.511200000000001</v>
      </c>
      <c r="AE8" s="7">
        <f t="shared" si="18"/>
        <v>12.7668</v>
      </c>
      <c r="AF8" s="7">
        <f t="shared" si="18"/>
        <v>13.022400000000001</v>
      </c>
      <c r="AG8" s="7">
        <f t="shared" si="18"/>
        <v>13.278</v>
      </c>
      <c r="AH8" s="7">
        <f t="shared" si="18"/>
        <v>13.533333333333333</v>
      </c>
      <c r="AI8" s="7">
        <f t="shared" si="18"/>
        <v>13.788666666666668</v>
      </c>
      <c r="AJ8" s="7">
        <f t="shared" si="18"/>
        <v>14.044</v>
      </c>
      <c r="AK8" s="7">
        <f t="shared" si="18"/>
        <v>14.299200000000001</v>
      </c>
      <c r="AL8" s="7">
        <f t="shared" si="18"/>
        <v>14.554400000000001</v>
      </c>
      <c r="AM8" s="7">
        <f t="shared" si="18"/>
        <v>14.8096</v>
      </c>
      <c r="AN8" s="7">
        <f t="shared" si="18"/>
        <v>15.0648</v>
      </c>
      <c r="AO8" s="7">
        <f t="shared" si="18"/>
        <v>15.32</v>
      </c>
      <c r="AP8" s="7">
        <f t="shared" si="18"/>
        <v>15.32</v>
      </c>
      <c r="AQ8" s="7">
        <f t="shared" si="18"/>
        <v>15.32</v>
      </c>
      <c r="AR8" s="7">
        <f t="shared" si="18"/>
        <v>15.32</v>
      </c>
      <c r="AS8" s="7">
        <f t="shared" si="18"/>
        <v>15.32</v>
      </c>
      <c r="AT8" s="7">
        <f t="shared" si="18"/>
        <v>15.32</v>
      </c>
      <c r="AU8" s="7">
        <f t="shared" si="18"/>
        <v>15.32</v>
      </c>
      <c r="AV8" s="7">
        <f t="shared" si="18"/>
        <v>15.32</v>
      </c>
      <c r="AW8" s="7">
        <f t="shared" si="18"/>
        <v>15.32</v>
      </c>
      <c r="AX8" s="7">
        <f t="shared" si="18"/>
        <v>15.32</v>
      </c>
      <c r="AY8" s="7">
        <f t="shared" si="18"/>
        <v>15.32</v>
      </c>
    </row>
    <row r="9" spans="1:51" x14ac:dyDescent="0.25">
      <c r="A9" t="s">
        <v>70</v>
      </c>
      <c r="C9" s="7">
        <f>Schemat!O3</f>
        <v>0.5</v>
      </c>
      <c r="D9" s="7">
        <f>C9</f>
        <v>0.5</v>
      </c>
      <c r="E9" s="7">
        <f t="shared" ref="E9:AY9" si="19">D9</f>
        <v>0.5</v>
      </c>
      <c r="F9" s="7">
        <f t="shared" si="19"/>
        <v>0.5</v>
      </c>
      <c r="G9" s="7">
        <f t="shared" si="19"/>
        <v>0.5</v>
      </c>
      <c r="H9" s="7">
        <f t="shared" si="19"/>
        <v>0.5</v>
      </c>
      <c r="I9" s="7">
        <f t="shared" si="19"/>
        <v>0.5</v>
      </c>
      <c r="J9" s="7">
        <f t="shared" si="19"/>
        <v>0.5</v>
      </c>
      <c r="K9" s="7">
        <f t="shared" si="19"/>
        <v>0.5</v>
      </c>
      <c r="L9" s="7">
        <f t="shared" si="19"/>
        <v>0.5</v>
      </c>
      <c r="M9" s="7">
        <f t="shared" si="19"/>
        <v>0.5</v>
      </c>
      <c r="N9" s="7">
        <f t="shared" si="19"/>
        <v>0.5</v>
      </c>
      <c r="O9" s="7">
        <f t="shared" si="19"/>
        <v>0.5</v>
      </c>
      <c r="P9" s="7">
        <f t="shared" si="19"/>
        <v>0.5</v>
      </c>
      <c r="Q9" s="7">
        <f t="shared" si="19"/>
        <v>0.5</v>
      </c>
      <c r="R9" s="7">
        <f t="shared" si="19"/>
        <v>0.5</v>
      </c>
      <c r="S9" s="7">
        <f t="shared" si="19"/>
        <v>0.5</v>
      </c>
      <c r="T9" s="7">
        <f t="shared" si="19"/>
        <v>0.5</v>
      </c>
      <c r="U9" s="7">
        <f t="shared" si="19"/>
        <v>0.5</v>
      </c>
      <c r="V9" s="7">
        <f t="shared" si="19"/>
        <v>0.5</v>
      </c>
      <c r="W9" s="7">
        <f t="shared" si="19"/>
        <v>0.5</v>
      </c>
      <c r="X9" s="7">
        <f t="shared" si="19"/>
        <v>0.5</v>
      </c>
      <c r="Y9" s="7">
        <f t="shared" si="19"/>
        <v>0.5</v>
      </c>
      <c r="Z9" s="7">
        <f t="shared" si="19"/>
        <v>0.5</v>
      </c>
      <c r="AA9" s="7">
        <f t="shared" si="19"/>
        <v>0.5</v>
      </c>
      <c r="AB9" s="7">
        <f t="shared" si="19"/>
        <v>0.5</v>
      </c>
      <c r="AC9" s="7">
        <f t="shared" si="19"/>
        <v>0.5</v>
      </c>
      <c r="AD9" s="7">
        <f t="shared" si="19"/>
        <v>0.5</v>
      </c>
      <c r="AE9" s="7">
        <f t="shared" si="19"/>
        <v>0.5</v>
      </c>
      <c r="AF9" s="7">
        <f t="shared" si="19"/>
        <v>0.5</v>
      </c>
      <c r="AG9" s="7">
        <f t="shared" si="19"/>
        <v>0.5</v>
      </c>
      <c r="AH9" s="7">
        <f t="shared" si="19"/>
        <v>0.5</v>
      </c>
      <c r="AI9" s="7">
        <f t="shared" si="19"/>
        <v>0.5</v>
      </c>
      <c r="AJ9" s="7">
        <f t="shared" si="19"/>
        <v>0.5</v>
      </c>
      <c r="AK9" s="7">
        <f t="shared" si="19"/>
        <v>0.5</v>
      </c>
      <c r="AL9" s="7">
        <f t="shared" si="19"/>
        <v>0.5</v>
      </c>
      <c r="AM9" s="7">
        <f t="shared" si="19"/>
        <v>0.5</v>
      </c>
      <c r="AN9" s="7">
        <f t="shared" si="19"/>
        <v>0.5</v>
      </c>
      <c r="AO9" s="7">
        <f t="shared" si="19"/>
        <v>0.5</v>
      </c>
      <c r="AP9" s="7">
        <f t="shared" si="19"/>
        <v>0.5</v>
      </c>
      <c r="AQ9" s="7">
        <f t="shared" si="19"/>
        <v>0.5</v>
      </c>
      <c r="AR9" s="7">
        <f t="shared" si="19"/>
        <v>0.5</v>
      </c>
      <c r="AS9" s="7">
        <f t="shared" si="19"/>
        <v>0.5</v>
      </c>
      <c r="AT9" s="7">
        <f t="shared" si="19"/>
        <v>0.5</v>
      </c>
      <c r="AU9" s="7">
        <f t="shared" si="19"/>
        <v>0.5</v>
      </c>
      <c r="AV9" s="7">
        <f t="shared" si="19"/>
        <v>0.5</v>
      </c>
      <c r="AW9" s="7">
        <f t="shared" si="19"/>
        <v>0.5</v>
      </c>
      <c r="AX9" s="7">
        <f t="shared" si="19"/>
        <v>0.5</v>
      </c>
      <c r="AY9" s="7">
        <f t="shared" si="19"/>
        <v>0.5</v>
      </c>
    </row>
    <row r="10" spans="1:51" x14ac:dyDescent="0.25">
      <c r="A10" t="s">
        <v>191</v>
      </c>
      <c r="B10">
        <f>Schemat!D5</f>
        <v>18</v>
      </c>
      <c r="C10">
        <f>D10</f>
        <v>4.0157314718667516</v>
      </c>
      <c r="D10" s="7">
        <f>Schemat!O1</f>
        <v>4.0157314718667516</v>
      </c>
      <c r="E10" s="7">
        <f>IF($B$10&gt;=E1,$D$10-($D$10/($D$1*(-1)+$B$10+1)*($D$1*-1-E1*-1)),0)</f>
        <v>3.9041833754260087</v>
      </c>
      <c r="F10" s="7">
        <f t="shared" ref="F10:AY10" si="20">IF($B$10&gt;=F1,$D$10-($D$10/($D$1*(-1)+$B$10+1)*($D$1*-1-F1*-1)),0)</f>
        <v>3.7926352789852653</v>
      </c>
      <c r="G10" s="7">
        <f t="shared" si="20"/>
        <v>3.6810871825445224</v>
      </c>
      <c r="H10" s="7">
        <f t="shared" si="20"/>
        <v>3.569539086103779</v>
      </c>
      <c r="I10" s="7">
        <f t="shared" si="20"/>
        <v>3.4579909896630361</v>
      </c>
      <c r="J10" s="7">
        <f t="shared" si="20"/>
        <v>3.3464428932222932</v>
      </c>
      <c r="K10" s="7">
        <f t="shared" si="20"/>
        <v>3.2348947967815498</v>
      </c>
      <c r="L10" s="7">
        <f t="shared" si="20"/>
        <v>3.1233467003408069</v>
      </c>
      <c r="M10" s="7">
        <f t="shared" si="20"/>
        <v>3.0117986039000639</v>
      </c>
      <c r="N10" s="7">
        <f t="shared" si="20"/>
        <v>2.9002505074593206</v>
      </c>
      <c r="O10" s="7">
        <f t="shared" si="20"/>
        <v>2.7887024110185776</v>
      </c>
      <c r="P10" s="7">
        <f t="shared" si="20"/>
        <v>2.6771543145778347</v>
      </c>
      <c r="Q10" s="7">
        <f t="shared" si="20"/>
        <v>2.5656062181370913</v>
      </c>
      <c r="R10" s="7">
        <f t="shared" si="20"/>
        <v>2.4540581216963484</v>
      </c>
      <c r="S10" s="7">
        <f t="shared" si="20"/>
        <v>2.3425100252556055</v>
      </c>
      <c r="T10" s="7">
        <f t="shared" si="20"/>
        <v>2.2309619288148621</v>
      </c>
      <c r="U10" s="7">
        <f t="shared" si="20"/>
        <v>2.1194138323741187</v>
      </c>
      <c r="V10" s="7">
        <f t="shared" si="20"/>
        <v>2.0078657359333758</v>
      </c>
      <c r="W10" s="7">
        <f t="shared" si="20"/>
        <v>1.8963176394926329</v>
      </c>
      <c r="X10" s="7">
        <f t="shared" si="20"/>
        <v>1.7847695430518895</v>
      </c>
      <c r="Y10" s="7">
        <f t="shared" si="20"/>
        <v>1.6732214466111466</v>
      </c>
      <c r="Z10" s="7">
        <f t="shared" si="20"/>
        <v>1.5616733501704037</v>
      </c>
      <c r="AA10" s="7">
        <f t="shared" si="20"/>
        <v>1.4501252537296603</v>
      </c>
      <c r="AB10" s="7">
        <f t="shared" si="20"/>
        <v>1.3385771572889174</v>
      </c>
      <c r="AC10" s="7">
        <f t="shared" si="20"/>
        <v>1.2270290608481744</v>
      </c>
      <c r="AD10" s="7">
        <f t="shared" si="20"/>
        <v>1.1154809644074311</v>
      </c>
      <c r="AE10" s="7">
        <f t="shared" si="20"/>
        <v>1.0039328679666881</v>
      </c>
      <c r="AF10" s="7">
        <f t="shared" si="20"/>
        <v>0.8923847715259452</v>
      </c>
      <c r="AG10" s="7">
        <f t="shared" si="20"/>
        <v>0.78083667508520183</v>
      </c>
      <c r="AH10" s="7">
        <f t="shared" si="20"/>
        <v>0.6692885786444589</v>
      </c>
      <c r="AI10" s="7">
        <f t="shared" si="20"/>
        <v>0.55774048220371553</v>
      </c>
      <c r="AJ10" s="7">
        <f t="shared" si="20"/>
        <v>0.4461923857629726</v>
      </c>
      <c r="AK10" s="7">
        <f t="shared" si="20"/>
        <v>0.33464428932222967</v>
      </c>
      <c r="AL10" s="7">
        <f t="shared" si="20"/>
        <v>0.2230961928814863</v>
      </c>
      <c r="AM10" s="7">
        <f t="shared" si="20"/>
        <v>0.11154809644074337</v>
      </c>
      <c r="AN10" s="7">
        <f t="shared" si="20"/>
        <v>0</v>
      </c>
      <c r="AO10" s="7">
        <f t="shared" si="20"/>
        <v>0</v>
      </c>
      <c r="AP10" s="7">
        <f t="shared" si="20"/>
        <v>0</v>
      </c>
      <c r="AQ10" s="7">
        <f t="shared" si="20"/>
        <v>0</v>
      </c>
      <c r="AR10" s="7">
        <f t="shared" si="20"/>
        <v>0</v>
      </c>
      <c r="AS10" s="7">
        <f t="shared" si="20"/>
        <v>0</v>
      </c>
      <c r="AT10" s="7">
        <f t="shared" si="20"/>
        <v>0</v>
      </c>
      <c r="AU10" s="7">
        <f t="shared" si="20"/>
        <v>0</v>
      </c>
      <c r="AV10" s="7">
        <f t="shared" si="20"/>
        <v>0</v>
      </c>
      <c r="AW10" s="7">
        <f t="shared" si="20"/>
        <v>0</v>
      </c>
      <c r="AX10" s="7">
        <f t="shared" si="20"/>
        <v>0</v>
      </c>
      <c r="AY10" s="7">
        <f t="shared" si="20"/>
        <v>0</v>
      </c>
    </row>
    <row r="11" spans="1:51" x14ac:dyDescent="0.25">
      <c r="A11" t="s">
        <v>604</v>
      </c>
      <c r="C11" s="7">
        <f>C10+C9</f>
        <v>4.5157314718667516</v>
      </c>
      <c r="D11" s="7">
        <f t="shared" ref="D11:AY11" si="21">D10+D9</f>
        <v>4.5157314718667516</v>
      </c>
      <c r="E11" s="7">
        <f t="shared" si="21"/>
        <v>4.4041833754260082</v>
      </c>
      <c r="F11" s="7">
        <f t="shared" si="21"/>
        <v>4.2926352789852658</v>
      </c>
      <c r="G11" s="7">
        <f t="shared" si="21"/>
        <v>4.1810871825445224</v>
      </c>
      <c r="H11" s="7">
        <f t="shared" si="21"/>
        <v>4.069539086103779</v>
      </c>
      <c r="I11" s="7">
        <f t="shared" si="21"/>
        <v>3.9579909896630361</v>
      </c>
      <c r="J11" s="7">
        <f t="shared" si="21"/>
        <v>3.8464428932222932</v>
      </c>
      <c r="K11" s="7">
        <f t="shared" si="21"/>
        <v>3.7348947967815498</v>
      </c>
      <c r="L11" s="7">
        <f t="shared" si="21"/>
        <v>3.6233467003408069</v>
      </c>
      <c r="M11" s="7">
        <f t="shared" si="21"/>
        <v>3.5117986039000639</v>
      </c>
      <c r="N11" s="7">
        <f t="shared" si="21"/>
        <v>3.4002505074593206</v>
      </c>
      <c r="O11" s="7">
        <f t="shared" si="21"/>
        <v>3.2887024110185776</v>
      </c>
      <c r="P11" s="7">
        <f t="shared" si="21"/>
        <v>3.1771543145778347</v>
      </c>
      <c r="Q11" s="7">
        <f t="shared" si="21"/>
        <v>3.0656062181370913</v>
      </c>
      <c r="R11" s="7">
        <f t="shared" si="21"/>
        <v>2.9540581216963484</v>
      </c>
      <c r="S11" s="7">
        <f t="shared" si="21"/>
        <v>2.8425100252556055</v>
      </c>
      <c r="T11" s="7">
        <f t="shared" si="21"/>
        <v>2.7309619288148621</v>
      </c>
      <c r="U11" s="7">
        <f t="shared" si="21"/>
        <v>2.6194138323741187</v>
      </c>
      <c r="V11" s="7">
        <f t="shared" si="21"/>
        <v>2.5078657359333758</v>
      </c>
      <c r="W11" s="7">
        <f t="shared" si="21"/>
        <v>2.3963176394926329</v>
      </c>
      <c r="X11" s="7">
        <f t="shared" si="21"/>
        <v>2.2847695430518895</v>
      </c>
      <c r="Y11" s="7">
        <f t="shared" si="21"/>
        <v>2.1732214466111466</v>
      </c>
      <c r="Z11" s="7">
        <f t="shared" si="21"/>
        <v>2.0616733501704037</v>
      </c>
      <c r="AA11" s="7">
        <f t="shared" si="21"/>
        <v>1.9501252537296603</v>
      </c>
      <c r="AB11" s="7">
        <f t="shared" si="21"/>
        <v>1.8385771572889174</v>
      </c>
      <c r="AC11" s="7">
        <f t="shared" si="21"/>
        <v>1.7270290608481744</v>
      </c>
      <c r="AD11" s="7">
        <f t="shared" si="21"/>
        <v>1.6154809644074311</v>
      </c>
      <c r="AE11" s="7">
        <f t="shared" si="21"/>
        <v>1.5039328679666881</v>
      </c>
      <c r="AF11" s="7">
        <f t="shared" si="21"/>
        <v>1.3923847715259452</v>
      </c>
      <c r="AG11" s="7">
        <f t="shared" si="21"/>
        <v>1.2808366750852018</v>
      </c>
      <c r="AH11" s="7">
        <f t="shared" si="21"/>
        <v>1.1692885786444589</v>
      </c>
      <c r="AI11" s="7">
        <f t="shared" si="21"/>
        <v>1.0577404822037155</v>
      </c>
      <c r="AJ11" s="7">
        <f t="shared" si="21"/>
        <v>0.9461923857629726</v>
      </c>
      <c r="AK11" s="7">
        <f t="shared" si="21"/>
        <v>0.83464428932222967</v>
      </c>
      <c r="AL11" s="7">
        <f t="shared" si="21"/>
        <v>0.7230961928814863</v>
      </c>
      <c r="AM11" s="7">
        <f t="shared" si="21"/>
        <v>0.61154809644074337</v>
      </c>
      <c r="AN11" s="7">
        <f t="shared" si="21"/>
        <v>0.5</v>
      </c>
      <c r="AO11" s="7">
        <f t="shared" si="21"/>
        <v>0.5</v>
      </c>
      <c r="AP11" s="7">
        <f t="shared" si="21"/>
        <v>0.5</v>
      </c>
      <c r="AQ11" s="7">
        <f t="shared" si="21"/>
        <v>0.5</v>
      </c>
      <c r="AR11" s="7">
        <f t="shared" si="21"/>
        <v>0.5</v>
      </c>
      <c r="AS11" s="7">
        <f t="shared" si="21"/>
        <v>0.5</v>
      </c>
      <c r="AT11" s="7">
        <f t="shared" si="21"/>
        <v>0.5</v>
      </c>
      <c r="AU11" s="7">
        <f t="shared" si="21"/>
        <v>0.5</v>
      </c>
      <c r="AV11" s="7">
        <f t="shared" si="21"/>
        <v>0.5</v>
      </c>
      <c r="AW11" s="7">
        <f t="shared" si="21"/>
        <v>0.5</v>
      </c>
      <c r="AX11" s="7">
        <f t="shared" si="21"/>
        <v>0.5</v>
      </c>
      <c r="AY11" s="7">
        <f t="shared" si="21"/>
        <v>0.5</v>
      </c>
    </row>
    <row r="12" spans="1:51" x14ac:dyDescent="0.25">
      <c r="A12" t="s">
        <v>188</v>
      </c>
    </row>
    <row r="13" spans="1:51" x14ac:dyDescent="0.25">
      <c r="A13" t="s">
        <v>567</v>
      </c>
      <c r="C13" s="7">
        <f>VLOOKUP($B$3,PC[#Data],MATCH("E"&amp;C$21,PC[#Headers],0),FALSE)</f>
        <v>4.5</v>
      </c>
      <c r="D13" s="7">
        <f>($F13-$C13)*($C$1-D$1)/($C$1-$F$1)+$C13</f>
        <v>3.9059999999999997</v>
      </c>
      <c r="E13" s="7">
        <f>($F13-$C13)*($C$1-E$1)/($C$1-$F$1)+$C13</f>
        <v>3.7079999999999997</v>
      </c>
      <c r="F13" s="7">
        <f>VLOOKUP($B$3,PC[#Data],MATCH("E"&amp;F$21,PC[#Headers],0),FALSE)</f>
        <v>3.51</v>
      </c>
      <c r="G13" s="7">
        <f>($N13-$F13)*($F$1-G$1)/($F$1-$N$1)+$F13</f>
        <v>3.4662499999999996</v>
      </c>
      <c r="H13" s="7">
        <f t="shared" ref="H13:M14" si="22">($N13-$F13)*($F$1-H$1)/($F$1-$N$1)+$F13</f>
        <v>3.4224999999999999</v>
      </c>
      <c r="I13" s="7">
        <f t="shared" si="22"/>
        <v>3.3787500000000001</v>
      </c>
      <c r="J13" s="7">
        <f t="shared" si="22"/>
        <v>3.335</v>
      </c>
      <c r="K13" s="7">
        <f t="shared" si="22"/>
        <v>3.2912499999999998</v>
      </c>
      <c r="L13" s="7">
        <f t="shared" si="22"/>
        <v>3.2475000000000001</v>
      </c>
      <c r="M13" s="7">
        <f t="shared" si="22"/>
        <v>3.2037500000000003</v>
      </c>
      <c r="N13" s="7">
        <f>VLOOKUP($B$3,PC[#Data],MATCH("E"&amp;N$21,PC[#Headers],0),FALSE)</f>
        <v>3.16</v>
      </c>
      <c r="O13" s="7">
        <f>($S13-$N13)*($N$1-O$1)/($N$1-$S$1)+$N13</f>
        <v>3.0877777777777777</v>
      </c>
      <c r="P13" s="7">
        <f t="shared" ref="P13:R14" si="23">($S13-$N13)*($N$1-P$1)/($N$1-$S$1)+$N13</f>
        <v>3.0155555555555558</v>
      </c>
      <c r="Q13" s="7">
        <f t="shared" si="23"/>
        <v>2.9433333333333334</v>
      </c>
      <c r="R13" s="7">
        <f t="shared" si="23"/>
        <v>2.8711111111111114</v>
      </c>
      <c r="S13" s="7">
        <f>VLOOKUP($B$3,PC[#Data],MATCH("E"&amp;S$21,PC[#Headers],0),FALSE)</f>
        <v>2.798888888888889</v>
      </c>
      <c r="T13" s="7">
        <f>($W13-$S13)*($S$1-T$1)/($S$1-$W$1)+$S13</f>
        <v>2.7266666666666666</v>
      </c>
      <c r="U13" s="7">
        <f t="shared" ref="U13:V14" si="24">($W13-$S13)*($S$1-U$1)/($S$1-$W$1)+$S13</f>
        <v>2.6544444444444446</v>
      </c>
      <c r="V13" s="7">
        <f t="shared" si="24"/>
        <v>2.5822222222222222</v>
      </c>
      <c r="W13" s="7">
        <f>VLOOKUP($B$3,PC[#Data],MATCH("E"&amp;W$21,PC[#Headers],0),FALSE)</f>
        <v>2.5099999999999998</v>
      </c>
      <c r="X13" s="7">
        <f>($AB13-$W13)*($W$1-X$1)/($W$1-$AB$1)+$W13</f>
        <v>2.38</v>
      </c>
      <c r="Y13" s="7">
        <f t="shared" ref="Y13:AA14" si="25">($AB13-$W13)*($W$1-Y$1)/($W$1-$AB$1)+$W13</f>
        <v>2.25</v>
      </c>
      <c r="Z13" s="7">
        <f t="shared" si="25"/>
        <v>2.12</v>
      </c>
      <c r="AA13" s="7">
        <f t="shared" si="25"/>
        <v>1.99</v>
      </c>
      <c r="AB13" s="7">
        <f>VLOOKUP($B$3,PC[#Data],MATCH("E"&amp;AB$21,PC[#Headers],0),FALSE)</f>
        <v>1.86</v>
      </c>
      <c r="AC13" s="7">
        <f>($AG13-$AB13)*($AB$1-AC$1)/($AB$1-$AG$1)+$AB13</f>
        <v>1.85</v>
      </c>
      <c r="AD13" s="7">
        <f t="shared" ref="AD13:AF14" si="26">($AG13-$AB13)*($AB$1-AD$1)/($AB$1-$AG$1)+$AB13</f>
        <v>1.84</v>
      </c>
      <c r="AE13" s="7">
        <f t="shared" si="26"/>
        <v>1.83</v>
      </c>
      <c r="AF13" s="7">
        <f t="shared" si="26"/>
        <v>1.82</v>
      </c>
      <c r="AG13" s="7">
        <f>VLOOKUP($B$3,PC[#Data],MATCH("E"&amp;AG$21,PC[#Headers],0),FALSE)</f>
        <v>1.81</v>
      </c>
      <c r="AH13" s="7">
        <f>($AJ13-$AG13)*($AG$1-AH$1)/($AG$1-$AJ$1)+$AG13</f>
        <v>1.7933333333333334</v>
      </c>
      <c r="AI13" s="7">
        <f>($AJ13-$AG13)*($AG$1-AI$1)/($AG$1-$AJ$1)+$AG13</f>
        <v>1.7766666666666666</v>
      </c>
      <c r="AJ13" s="7">
        <f>VLOOKUP($B$3,PC[#Data],MATCH("E"&amp;AJ$21,PC[#Headers],0),FALSE)</f>
        <v>1.76</v>
      </c>
      <c r="AK13" s="7">
        <f>($AO13-$AJ13)*($AJ$1-AK$1)/($AJ$1-$AO$1)+$AJ13</f>
        <v>1.75</v>
      </c>
      <c r="AL13" s="7">
        <f t="shared" ref="AL13:AN14" si="27">($AO13-$AJ13)*($AJ$1-AL$1)/($AJ$1-$AO$1)+$AJ13</f>
        <v>1.74</v>
      </c>
      <c r="AM13" s="7">
        <f t="shared" si="27"/>
        <v>1.73</v>
      </c>
      <c r="AN13" s="7">
        <f t="shared" si="27"/>
        <v>1.72</v>
      </c>
      <c r="AO13" s="7">
        <f>VLOOKUP($B$3,PC[#Data],MATCH("E"&amp;AO$21,PC[#Headers],0),FALSE)</f>
        <v>1.71</v>
      </c>
      <c r="AP13" s="7">
        <f>AO13</f>
        <v>1.71</v>
      </c>
      <c r="AQ13" s="7">
        <f t="shared" ref="AQ13:AY13" si="28">AP13</f>
        <v>1.71</v>
      </c>
      <c r="AR13" s="7">
        <f t="shared" si="28"/>
        <v>1.71</v>
      </c>
      <c r="AS13" s="7">
        <f t="shared" si="28"/>
        <v>1.71</v>
      </c>
      <c r="AT13" s="7">
        <f t="shared" si="28"/>
        <v>1.71</v>
      </c>
      <c r="AU13" s="7">
        <f t="shared" si="28"/>
        <v>1.71</v>
      </c>
      <c r="AV13" s="7">
        <f t="shared" si="28"/>
        <v>1.71</v>
      </c>
      <c r="AW13" s="7">
        <f t="shared" si="28"/>
        <v>1.71</v>
      </c>
      <c r="AX13" s="7">
        <f t="shared" si="28"/>
        <v>1.71</v>
      </c>
      <c r="AY13" s="7">
        <f t="shared" si="28"/>
        <v>1.71</v>
      </c>
    </row>
    <row r="14" spans="1:51" x14ac:dyDescent="0.25">
      <c r="A14" t="s">
        <v>568</v>
      </c>
      <c r="C14" s="7">
        <f>VLOOKUP($B$4,PC[#Data],MATCH("E"&amp;C$21,PC[#Headers],0),FALSE)</f>
        <v>0</v>
      </c>
      <c r="D14" s="7">
        <f>($F14-$C14)*($C$1-D$1)/($C$1-$F$1)+$C14</f>
        <v>0</v>
      </c>
      <c r="E14" s="7">
        <f>($F14-$C14)*($C$1-E$1)/($C$1-$F$1)+$C14</f>
        <v>0</v>
      </c>
      <c r="F14" s="7">
        <f>VLOOKUP($B$4,PC[#Data],MATCH("E"&amp;F$21,PC[#Headers],0),FALSE)</f>
        <v>0</v>
      </c>
      <c r="G14" s="7">
        <f>($N14-$F14)*($F$1-G$1)/($F$1-$N$1)+$F14</f>
        <v>0</v>
      </c>
      <c r="H14" s="7">
        <f t="shared" si="22"/>
        <v>0</v>
      </c>
      <c r="I14" s="7">
        <f t="shared" si="22"/>
        <v>0</v>
      </c>
      <c r="J14" s="7">
        <f t="shared" si="22"/>
        <v>0</v>
      </c>
      <c r="K14" s="7">
        <f t="shared" si="22"/>
        <v>0</v>
      </c>
      <c r="L14" s="7">
        <f t="shared" si="22"/>
        <v>0</v>
      </c>
      <c r="M14" s="7">
        <f t="shared" si="22"/>
        <v>0</v>
      </c>
      <c r="N14" s="7">
        <f>VLOOKUP($B$4,PC[#Data],MATCH("E"&amp;N$21,PC[#Headers],0),FALSE)</f>
        <v>0</v>
      </c>
      <c r="O14" s="7">
        <f>($S14-$N14)*($N$1-O$1)/($N$1-$S$1)+$N14</f>
        <v>0</v>
      </c>
      <c r="P14" s="7">
        <f t="shared" si="23"/>
        <v>0</v>
      </c>
      <c r="Q14" s="7">
        <f t="shared" si="23"/>
        <v>0</v>
      </c>
      <c r="R14" s="7">
        <f t="shared" si="23"/>
        <v>0</v>
      </c>
      <c r="S14" s="7">
        <f>VLOOKUP($B$4,PC[#Data],MATCH("E"&amp;S$21,PC[#Headers],0),FALSE)</f>
        <v>0</v>
      </c>
      <c r="T14" s="7">
        <f>($W14-$S14)*($S$1-T$1)/($S$1-$W$1)+$S14</f>
        <v>0</v>
      </c>
      <c r="U14" s="7">
        <f t="shared" si="24"/>
        <v>0</v>
      </c>
      <c r="V14" s="7">
        <f t="shared" si="24"/>
        <v>0</v>
      </c>
      <c r="W14" s="7">
        <f>VLOOKUP($B$4,PC[#Data],MATCH("E"&amp;W$21,PC[#Headers],0),FALSE)</f>
        <v>0</v>
      </c>
      <c r="X14" s="7">
        <f>($AB14-$W14)*($W$1-X$1)/($W$1-$AB$1)+$W14</f>
        <v>0</v>
      </c>
      <c r="Y14" s="7">
        <f t="shared" si="25"/>
        <v>0</v>
      </c>
      <c r="Z14" s="7">
        <f t="shared" si="25"/>
        <v>0</v>
      </c>
      <c r="AA14" s="7">
        <f t="shared" si="25"/>
        <v>0</v>
      </c>
      <c r="AB14" s="7">
        <f>VLOOKUP($B$4,PC[#Data],MATCH("E"&amp;AB$21,PC[#Headers],0),FALSE)</f>
        <v>0</v>
      </c>
      <c r="AC14" s="7">
        <f>($AG14-$AB14)*($AB$1-AC$1)/($AB$1-$AG$1)+$AB14</f>
        <v>0</v>
      </c>
      <c r="AD14" s="7">
        <f t="shared" si="26"/>
        <v>0</v>
      </c>
      <c r="AE14" s="7">
        <f t="shared" si="26"/>
        <v>0</v>
      </c>
      <c r="AF14" s="7">
        <f t="shared" si="26"/>
        <v>0</v>
      </c>
      <c r="AG14" s="7">
        <f>VLOOKUP($B$4,PC[#Data],MATCH("E"&amp;AG$21,PC[#Headers],0),FALSE)</f>
        <v>0</v>
      </c>
      <c r="AH14" s="7">
        <f>($AJ14-$AG14)*($AG$1-AH$1)/($AG$1-$AJ$1)+$AG14</f>
        <v>0</v>
      </c>
      <c r="AI14" s="7">
        <f>($AJ14-$AG14)*($AG$1-AI$1)/($AG$1-$AJ$1)+$AG14</f>
        <v>0</v>
      </c>
      <c r="AJ14" s="7">
        <f>VLOOKUP($B$4,PC[#Data],MATCH("E"&amp;AJ$21,PC[#Headers],0),FALSE)</f>
        <v>0</v>
      </c>
      <c r="AK14" s="7">
        <f>($AO14-$AJ14)*($AJ$1-AK$1)/($AJ$1-$AO$1)+$AJ14</f>
        <v>0</v>
      </c>
      <c r="AL14" s="7">
        <f t="shared" si="27"/>
        <v>0</v>
      </c>
      <c r="AM14" s="7">
        <f t="shared" si="27"/>
        <v>0</v>
      </c>
      <c r="AN14" s="7">
        <f t="shared" si="27"/>
        <v>0</v>
      </c>
      <c r="AO14" s="7">
        <f>VLOOKUP($B$4,PC[#Data],MATCH("E"&amp;AO$21,PC[#Headers],0),FALSE)</f>
        <v>0</v>
      </c>
      <c r="AP14" s="7">
        <f>AO14</f>
        <v>0</v>
      </c>
      <c r="AQ14" s="7">
        <f t="shared" ref="AQ14:AQ17" si="29">AP14</f>
        <v>0</v>
      </c>
      <c r="AR14" s="7">
        <f t="shared" ref="AR14:AR17" si="30">AQ14</f>
        <v>0</v>
      </c>
      <c r="AS14" s="7">
        <f t="shared" ref="AS14:AS17" si="31">AR14</f>
        <v>0</v>
      </c>
      <c r="AT14" s="7">
        <f t="shared" ref="AT14:AT17" si="32">AS14</f>
        <v>0</v>
      </c>
      <c r="AU14" s="7">
        <f t="shared" ref="AU14:AU17" si="33">AT14</f>
        <v>0</v>
      </c>
      <c r="AV14" s="7">
        <f t="shared" ref="AV14:AV17" si="34">AU14</f>
        <v>0</v>
      </c>
      <c r="AW14" s="7">
        <f t="shared" ref="AW14:AW17" si="35">AV14</f>
        <v>0</v>
      </c>
      <c r="AX14" s="7">
        <f t="shared" ref="AX14:AX17" si="36">AW14</f>
        <v>0</v>
      </c>
      <c r="AY14" s="7">
        <f t="shared" ref="AY14:AY17" si="37">AX14</f>
        <v>0</v>
      </c>
    </row>
    <row r="15" spans="1:51" x14ac:dyDescent="0.25">
      <c r="A15" t="s">
        <v>569</v>
      </c>
      <c r="C15" s="7">
        <f>C13+C14</f>
        <v>4.5</v>
      </c>
      <c r="D15" s="7">
        <f t="shared" ref="D15:AY15" si="38">D13+D14</f>
        <v>3.9059999999999997</v>
      </c>
      <c r="E15" s="7">
        <f t="shared" si="38"/>
        <v>3.7079999999999997</v>
      </c>
      <c r="F15" s="7">
        <f t="shared" si="38"/>
        <v>3.51</v>
      </c>
      <c r="G15" s="7">
        <f t="shared" si="38"/>
        <v>3.4662499999999996</v>
      </c>
      <c r="H15" s="7">
        <f t="shared" si="38"/>
        <v>3.4224999999999999</v>
      </c>
      <c r="I15" s="7">
        <f t="shared" si="38"/>
        <v>3.3787500000000001</v>
      </c>
      <c r="J15" s="7">
        <f t="shared" si="38"/>
        <v>3.335</v>
      </c>
      <c r="K15" s="7">
        <f t="shared" si="38"/>
        <v>3.2912499999999998</v>
      </c>
      <c r="L15" s="7">
        <f t="shared" si="38"/>
        <v>3.2475000000000001</v>
      </c>
      <c r="M15" s="7">
        <f t="shared" si="38"/>
        <v>3.2037500000000003</v>
      </c>
      <c r="N15" s="7">
        <f t="shared" si="38"/>
        <v>3.16</v>
      </c>
      <c r="O15" s="7">
        <f t="shared" si="38"/>
        <v>3.0877777777777777</v>
      </c>
      <c r="P15" s="7">
        <f t="shared" si="38"/>
        <v>3.0155555555555558</v>
      </c>
      <c r="Q15" s="7">
        <f t="shared" si="38"/>
        <v>2.9433333333333334</v>
      </c>
      <c r="R15" s="7">
        <f t="shared" si="38"/>
        <v>2.8711111111111114</v>
      </c>
      <c r="S15" s="7">
        <f t="shared" si="38"/>
        <v>2.798888888888889</v>
      </c>
      <c r="T15" s="7">
        <f t="shared" si="38"/>
        <v>2.7266666666666666</v>
      </c>
      <c r="U15" s="7">
        <f t="shared" si="38"/>
        <v>2.6544444444444446</v>
      </c>
      <c r="V15" s="7">
        <f t="shared" si="38"/>
        <v>2.5822222222222222</v>
      </c>
      <c r="W15" s="7">
        <f t="shared" si="38"/>
        <v>2.5099999999999998</v>
      </c>
      <c r="X15" s="7">
        <f t="shared" si="38"/>
        <v>2.38</v>
      </c>
      <c r="Y15" s="7">
        <f t="shared" si="38"/>
        <v>2.25</v>
      </c>
      <c r="Z15" s="7">
        <f t="shared" si="38"/>
        <v>2.12</v>
      </c>
      <c r="AA15" s="7">
        <f t="shared" si="38"/>
        <v>1.99</v>
      </c>
      <c r="AB15" s="7">
        <f t="shared" si="38"/>
        <v>1.86</v>
      </c>
      <c r="AC15" s="7">
        <f t="shared" si="38"/>
        <v>1.85</v>
      </c>
      <c r="AD15" s="7">
        <f t="shared" si="38"/>
        <v>1.84</v>
      </c>
      <c r="AE15" s="7">
        <f t="shared" si="38"/>
        <v>1.83</v>
      </c>
      <c r="AF15" s="7">
        <f t="shared" si="38"/>
        <v>1.82</v>
      </c>
      <c r="AG15" s="7">
        <f t="shared" si="38"/>
        <v>1.81</v>
      </c>
      <c r="AH15" s="7">
        <f t="shared" si="38"/>
        <v>1.7933333333333334</v>
      </c>
      <c r="AI15" s="7">
        <f t="shared" si="38"/>
        <v>1.7766666666666666</v>
      </c>
      <c r="AJ15" s="7">
        <f t="shared" si="38"/>
        <v>1.76</v>
      </c>
      <c r="AK15" s="7">
        <f t="shared" si="38"/>
        <v>1.75</v>
      </c>
      <c r="AL15" s="7">
        <f t="shared" si="38"/>
        <v>1.74</v>
      </c>
      <c r="AM15" s="7">
        <f t="shared" si="38"/>
        <v>1.73</v>
      </c>
      <c r="AN15" s="7">
        <f t="shared" si="38"/>
        <v>1.72</v>
      </c>
      <c r="AO15" s="7">
        <f t="shared" si="38"/>
        <v>1.71</v>
      </c>
      <c r="AP15" s="7">
        <f t="shared" si="38"/>
        <v>1.71</v>
      </c>
      <c r="AQ15" s="7">
        <f t="shared" si="38"/>
        <v>1.71</v>
      </c>
      <c r="AR15" s="7">
        <f t="shared" si="38"/>
        <v>1.71</v>
      </c>
      <c r="AS15" s="7">
        <f t="shared" si="38"/>
        <v>1.71</v>
      </c>
      <c r="AT15" s="7">
        <f t="shared" si="38"/>
        <v>1.71</v>
      </c>
      <c r="AU15" s="7">
        <f t="shared" si="38"/>
        <v>1.71</v>
      </c>
      <c r="AV15" s="7">
        <f t="shared" si="38"/>
        <v>1.71</v>
      </c>
      <c r="AW15" s="7">
        <f t="shared" si="38"/>
        <v>1.71</v>
      </c>
      <c r="AX15" s="7">
        <f t="shared" si="38"/>
        <v>1.71</v>
      </c>
      <c r="AY15" s="7">
        <f t="shared" si="38"/>
        <v>1.71</v>
      </c>
    </row>
    <row r="16" spans="1:51" x14ac:dyDescent="0.25">
      <c r="A16" t="s">
        <v>570</v>
      </c>
      <c r="C16" s="7" t="e">
        <f>VLOOKUP($B$5,PC[#Data],MATCH("E"&amp;C$21,PC[#Headers],0),FALSE)</f>
        <v>#N/A</v>
      </c>
      <c r="D16" s="7" t="e">
        <f>C16</f>
        <v>#N/A</v>
      </c>
      <c r="E16" s="7" t="e">
        <f t="shared" ref="E16:AP16" si="39">D16</f>
        <v>#N/A</v>
      </c>
      <c r="F16" s="7" t="e">
        <f t="shared" si="39"/>
        <v>#N/A</v>
      </c>
      <c r="G16" s="7" t="e">
        <f t="shared" si="39"/>
        <v>#N/A</v>
      </c>
      <c r="H16" s="7" t="e">
        <f t="shared" si="39"/>
        <v>#N/A</v>
      </c>
      <c r="I16" s="7" t="e">
        <f t="shared" si="39"/>
        <v>#N/A</v>
      </c>
      <c r="J16" s="7" t="e">
        <f t="shared" si="39"/>
        <v>#N/A</v>
      </c>
      <c r="K16" s="7" t="e">
        <f t="shared" si="39"/>
        <v>#N/A</v>
      </c>
      <c r="L16" s="7" t="e">
        <f t="shared" si="39"/>
        <v>#N/A</v>
      </c>
      <c r="M16" s="7" t="e">
        <f t="shared" si="39"/>
        <v>#N/A</v>
      </c>
      <c r="N16" s="7" t="e">
        <f t="shared" si="39"/>
        <v>#N/A</v>
      </c>
      <c r="O16" s="7" t="e">
        <f t="shared" si="39"/>
        <v>#N/A</v>
      </c>
      <c r="P16" s="7" t="e">
        <f t="shared" si="39"/>
        <v>#N/A</v>
      </c>
      <c r="Q16" s="7" t="e">
        <f t="shared" si="39"/>
        <v>#N/A</v>
      </c>
      <c r="R16" s="7" t="e">
        <f t="shared" si="39"/>
        <v>#N/A</v>
      </c>
      <c r="S16" s="7" t="e">
        <f t="shared" si="39"/>
        <v>#N/A</v>
      </c>
      <c r="T16" s="7" t="e">
        <f t="shared" si="39"/>
        <v>#N/A</v>
      </c>
      <c r="U16" s="7" t="e">
        <f t="shared" si="39"/>
        <v>#N/A</v>
      </c>
      <c r="V16" s="7" t="e">
        <f t="shared" si="39"/>
        <v>#N/A</v>
      </c>
      <c r="W16" s="7" t="e">
        <f t="shared" si="39"/>
        <v>#N/A</v>
      </c>
      <c r="X16" s="7" t="e">
        <f t="shared" si="39"/>
        <v>#N/A</v>
      </c>
      <c r="Y16" s="7" t="e">
        <f t="shared" si="39"/>
        <v>#N/A</v>
      </c>
      <c r="Z16" s="7" t="e">
        <f t="shared" si="39"/>
        <v>#N/A</v>
      </c>
      <c r="AA16" s="7" t="e">
        <f t="shared" si="39"/>
        <v>#N/A</v>
      </c>
      <c r="AB16" s="7" t="e">
        <f t="shared" si="39"/>
        <v>#N/A</v>
      </c>
      <c r="AC16" s="7" t="e">
        <f t="shared" si="39"/>
        <v>#N/A</v>
      </c>
      <c r="AD16" s="7" t="e">
        <f t="shared" si="39"/>
        <v>#N/A</v>
      </c>
      <c r="AE16" s="7" t="e">
        <f t="shared" si="39"/>
        <v>#N/A</v>
      </c>
      <c r="AF16" s="7" t="e">
        <f t="shared" si="39"/>
        <v>#N/A</v>
      </c>
      <c r="AG16" s="7" t="e">
        <f t="shared" si="39"/>
        <v>#N/A</v>
      </c>
      <c r="AH16" s="7" t="e">
        <f t="shared" si="39"/>
        <v>#N/A</v>
      </c>
      <c r="AI16" s="7" t="e">
        <f t="shared" si="39"/>
        <v>#N/A</v>
      </c>
      <c r="AJ16" s="7" t="e">
        <f t="shared" si="39"/>
        <v>#N/A</v>
      </c>
      <c r="AK16" s="7" t="e">
        <f t="shared" si="39"/>
        <v>#N/A</v>
      </c>
      <c r="AL16" s="7" t="e">
        <f t="shared" si="39"/>
        <v>#N/A</v>
      </c>
      <c r="AM16" s="7" t="e">
        <f t="shared" si="39"/>
        <v>#N/A</v>
      </c>
      <c r="AN16" s="7" t="e">
        <f t="shared" si="39"/>
        <v>#N/A</v>
      </c>
      <c r="AO16" s="7" t="e">
        <f t="shared" si="39"/>
        <v>#N/A</v>
      </c>
      <c r="AP16" s="7" t="e">
        <f t="shared" si="39"/>
        <v>#N/A</v>
      </c>
      <c r="AQ16" s="7" t="e">
        <f t="shared" si="29"/>
        <v>#N/A</v>
      </c>
      <c r="AR16" s="7" t="e">
        <f t="shared" si="30"/>
        <v>#N/A</v>
      </c>
      <c r="AS16" s="7" t="e">
        <f t="shared" si="31"/>
        <v>#N/A</v>
      </c>
      <c r="AT16" s="7" t="e">
        <f t="shared" si="32"/>
        <v>#N/A</v>
      </c>
      <c r="AU16" s="7" t="e">
        <f t="shared" si="33"/>
        <v>#N/A</v>
      </c>
      <c r="AV16" s="7" t="e">
        <f t="shared" si="34"/>
        <v>#N/A</v>
      </c>
      <c r="AW16" s="7" t="e">
        <f t="shared" si="35"/>
        <v>#N/A</v>
      </c>
      <c r="AX16" s="7" t="e">
        <f t="shared" si="36"/>
        <v>#N/A</v>
      </c>
      <c r="AY16" s="7" t="e">
        <f t="shared" si="37"/>
        <v>#N/A</v>
      </c>
    </row>
    <row r="17" spans="1:51" x14ac:dyDescent="0.25">
      <c r="A17" t="s">
        <v>571</v>
      </c>
      <c r="C17" s="7" t="e">
        <f>VLOOKUP($B$6,PC[#Data],MATCH("E"&amp;C$21,PC[#Headers],0),FALSE)</f>
        <v>#N/A</v>
      </c>
      <c r="D17" s="7" t="e">
        <f>C17</f>
        <v>#N/A</v>
      </c>
      <c r="E17" s="7" t="e">
        <f t="shared" ref="E17:AP17" si="40">D17</f>
        <v>#N/A</v>
      </c>
      <c r="F17" s="7" t="e">
        <f t="shared" si="40"/>
        <v>#N/A</v>
      </c>
      <c r="G17" s="7" t="e">
        <f t="shared" si="40"/>
        <v>#N/A</v>
      </c>
      <c r="H17" s="7" t="e">
        <f t="shared" si="40"/>
        <v>#N/A</v>
      </c>
      <c r="I17" s="7" t="e">
        <f t="shared" si="40"/>
        <v>#N/A</v>
      </c>
      <c r="J17" s="7" t="e">
        <f t="shared" si="40"/>
        <v>#N/A</v>
      </c>
      <c r="K17" s="7" t="e">
        <f t="shared" si="40"/>
        <v>#N/A</v>
      </c>
      <c r="L17" s="7" t="e">
        <f t="shared" si="40"/>
        <v>#N/A</v>
      </c>
      <c r="M17" s="7" t="e">
        <f t="shared" si="40"/>
        <v>#N/A</v>
      </c>
      <c r="N17" s="7" t="e">
        <f t="shared" si="40"/>
        <v>#N/A</v>
      </c>
      <c r="O17" s="7" t="e">
        <f t="shared" si="40"/>
        <v>#N/A</v>
      </c>
      <c r="P17" s="7" t="e">
        <f t="shared" si="40"/>
        <v>#N/A</v>
      </c>
      <c r="Q17" s="7" t="e">
        <f t="shared" si="40"/>
        <v>#N/A</v>
      </c>
      <c r="R17" s="7" t="e">
        <f t="shared" si="40"/>
        <v>#N/A</v>
      </c>
      <c r="S17" s="7" t="e">
        <f t="shared" si="40"/>
        <v>#N/A</v>
      </c>
      <c r="T17" s="7" t="e">
        <f t="shared" si="40"/>
        <v>#N/A</v>
      </c>
      <c r="U17" s="7" t="e">
        <f t="shared" si="40"/>
        <v>#N/A</v>
      </c>
      <c r="V17" s="7" t="e">
        <f t="shared" si="40"/>
        <v>#N/A</v>
      </c>
      <c r="W17" s="7" t="e">
        <f t="shared" si="40"/>
        <v>#N/A</v>
      </c>
      <c r="X17" s="7" t="e">
        <f t="shared" si="40"/>
        <v>#N/A</v>
      </c>
      <c r="Y17" s="7" t="e">
        <f t="shared" si="40"/>
        <v>#N/A</v>
      </c>
      <c r="Z17" s="7" t="e">
        <f t="shared" si="40"/>
        <v>#N/A</v>
      </c>
      <c r="AA17" s="7" t="e">
        <f t="shared" si="40"/>
        <v>#N/A</v>
      </c>
      <c r="AB17" s="7" t="e">
        <f t="shared" si="40"/>
        <v>#N/A</v>
      </c>
      <c r="AC17" s="7" t="e">
        <f t="shared" si="40"/>
        <v>#N/A</v>
      </c>
      <c r="AD17" s="7" t="e">
        <f t="shared" si="40"/>
        <v>#N/A</v>
      </c>
      <c r="AE17" s="7" t="e">
        <f t="shared" si="40"/>
        <v>#N/A</v>
      </c>
      <c r="AF17" s="7" t="e">
        <f t="shared" si="40"/>
        <v>#N/A</v>
      </c>
      <c r="AG17" s="7" t="e">
        <f t="shared" si="40"/>
        <v>#N/A</v>
      </c>
      <c r="AH17" s="7" t="e">
        <f t="shared" si="40"/>
        <v>#N/A</v>
      </c>
      <c r="AI17" s="7" t="e">
        <f t="shared" si="40"/>
        <v>#N/A</v>
      </c>
      <c r="AJ17" s="7" t="e">
        <f t="shared" si="40"/>
        <v>#N/A</v>
      </c>
      <c r="AK17" s="7" t="e">
        <f t="shared" si="40"/>
        <v>#N/A</v>
      </c>
      <c r="AL17" s="7" t="e">
        <f t="shared" si="40"/>
        <v>#N/A</v>
      </c>
      <c r="AM17" s="7" t="e">
        <f t="shared" si="40"/>
        <v>#N/A</v>
      </c>
      <c r="AN17" s="7" t="e">
        <f t="shared" si="40"/>
        <v>#N/A</v>
      </c>
      <c r="AO17" s="7" t="e">
        <f t="shared" si="40"/>
        <v>#N/A</v>
      </c>
      <c r="AP17" s="7" t="e">
        <f t="shared" si="40"/>
        <v>#N/A</v>
      </c>
      <c r="AQ17" s="7" t="e">
        <f t="shared" si="29"/>
        <v>#N/A</v>
      </c>
      <c r="AR17" s="7" t="e">
        <f t="shared" si="30"/>
        <v>#N/A</v>
      </c>
      <c r="AS17" s="7" t="e">
        <f t="shared" si="31"/>
        <v>#N/A</v>
      </c>
      <c r="AT17" s="7" t="e">
        <f t="shared" si="32"/>
        <v>#N/A</v>
      </c>
      <c r="AU17" s="7" t="e">
        <f t="shared" si="33"/>
        <v>#N/A</v>
      </c>
      <c r="AV17" s="7" t="e">
        <f t="shared" si="34"/>
        <v>#N/A</v>
      </c>
      <c r="AW17" s="7" t="e">
        <f t="shared" si="35"/>
        <v>#N/A</v>
      </c>
      <c r="AX17" s="7" t="e">
        <f t="shared" si="36"/>
        <v>#N/A</v>
      </c>
      <c r="AY17" s="7" t="e">
        <f t="shared" si="37"/>
        <v>#N/A</v>
      </c>
    </row>
    <row r="18" spans="1:51" x14ac:dyDescent="0.25">
      <c r="A18" t="s">
        <v>572</v>
      </c>
      <c r="C18" s="7" t="e">
        <f>SUM(C16:C17)</f>
        <v>#N/A</v>
      </c>
      <c r="D18" s="7" t="e">
        <f t="shared" ref="D18:AY18" si="41">SUM(D16:D17)</f>
        <v>#N/A</v>
      </c>
      <c r="E18" s="7" t="e">
        <f t="shared" si="41"/>
        <v>#N/A</v>
      </c>
      <c r="F18" s="7" t="e">
        <f t="shared" si="41"/>
        <v>#N/A</v>
      </c>
      <c r="G18" s="7" t="e">
        <f t="shared" si="41"/>
        <v>#N/A</v>
      </c>
      <c r="H18" s="7" t="e">
        <f t="shared" si="41"/>
        <v>#N/A</v>
      </c>
      <c r="I18" s="7" t="e">
        <f t="shared" si="41"/>
        <v>#N/A</v>
      </c>
      <c r="J18" s="7" t="e">
        <f t="shared" si="41"/>
        <v>#N/A</v>
      </c>
      <c r="K18" s="7" t="e">
        <f t="shared" si="41"/>
        <v>#N/A</v>
      </c>
      <c r="L18" s="7" t="e">
        <f t="shared" si="41"/>
        <v>#N/A</v>
      </c>
      <c r="M18" s="7" t="e">
        <f t="shared" si="41"/>
        <v>#N/A</v>
      </c>
      <c r="N18" s="7" t="e">
        <f t="shared" si="41"/>
        <v>#N/A</v>
      </c>
      <c r="O18" s="7" t="e">
        <f t="shared" si="41"/>
        <v>#N/A</v>
      </c>
      <c r="P18" s="7" t="e">
        <f t="shared" si="41"/>
        <v>#N/A</v>
      </c>
      <c r="Q18" s="7" t="e">
        <f t="shared" si="41"/>
        <v>#N/A</v>
      </c>
      <c r="R18" s="7" t="e">
        <f t="shared" si="41"/>
        <v>#N/A</v>
      </c>
      <c r="S18" s="7" t="e">
        <f t="shared" si="41"/>
        <v>#N/A</v>
      </c>
      <c r="T18" s="7" t="e">
        <f t="shared" si="41"/>
        <v>#N/A</v>
      </c>
      <c r="U18" s="7" t="e">
        <f t="shared" si="41"/>
        <v>#N/A</v>
      </c>
      <c r="V18" s="7" t="e">
        <f t="shared" si="41"/>
        <v>#N/A</v>
      </c>
      <c r="W18" s="7" t="e">
        <f t="shared" si="41"/>
        <v>#N/A</v>
      </c>
      <c r="X18" s="7" t="e">
        <f t="shared" si="41"/>
        <v>#N/A</v>
      </c>
      <c r="Y18" s="7" t="e">
        <f t="shared" si="41"/>
        <v>#N/A</v>
      </c>
      <c r="Z18" s="7" t="e">
        <f t="shared" si="41"/>
        <v>#N/A</v>
      </c>
      <c r="AA18" s="7" t="e">
        <f t="shared" si="41"/>
        <v>#N/A</v>
      </c>
      <c r="AB18" s="7" t="e">
        <f t="shared" si="41"/>
        <v>#N/A</v>
      </c>
      <c r="AC18" s="7" t="e">
        <f t="shared" si="41"/>
        <v>#N/A</v>
      </c>
      <c r="AD18" s="7" t="e">
        <f t="shared" si="41"/>
        <v>#N/A</v>
      </c>
      <c r="AE18" s="7" t="e">
        <f t="shared" si="41"/>
        <v>#N/A</v>
      </c>
      <c r="AF18" s="7" t="e">
        <f t="shared" si="41"/>
        <v>#N/A</v>
      </c>
      <c r="AG18" s="7" t="e">
        <f t="shared" si="41"/>
        <v>#N/A</v>
      </c>
      <c r="AH18" s="7" t="e">
        <f t="shared" si="41"/>
        <v>#N/A</v>
      </c>
      <c r="AI18" s="7" t="e">
        <f t="shared" si="41"/>
        <v>#N/A</v>
      </c>
      <c r="AJ18" s="7" t="e">
        <f t="shared" si="41"/>
        <v>#N/A</v>
      </c>
      <c r="AK18" s="7" t="e">
        <f t="shared" si="41"/>
        <v>#N/A</v>
      </c>
      <c r="AL18" s="7" t="e">
        <f t="shared" si="41"/>
        <v>#N/A</v>
      </c>
      <c r="AM18" s="7" t="e">
        <f t="shared" si="41"/>
        <v>#N/A</v>
      </c>
      <c r="AN18" s="7" t="e">
        <f t="shared" si="41"/>
        <v>#N/A</v>
      </c>
      <c r="AO18" s="7" t="e">
        <f t="shared" si="41"/>
        <v>#N/A</v>
      </c>
      <c r="AP18" s="7" t="e">
        <f t="shared" si="41"/>
        <v>#N/A</v>
      </c>
      <c r="AQ18" s="7" t="e">
        <f t="shared" si="41"/>
        <v>#N/A</v>
      </c>
      <c r="AR18" s="7" t="e">
        <f t="shared" si="41"/>
        <v>#N/A</v>
      </c>
      <c r="AS18" s="7" t="e">
        <f t="shared" si="41"/>
        <v>#N/A</v>
      </c>
      <c r="AT18" s="7" t="e">
        <f t="shared" si="41"/>
        <v>#N/A</v>
      </c>
      <c r="AU18" s="7" t="e">
        <f t="shared" si="41"/>
        <v>#N/A</v>
      </c>
      <c r="AV18" s="7" t="e">
        <f t="shared" si="41"/>
        <v>#N/A</v>
      </c>
      <c r="AW18" s="7" t="e">
        <f t="shared" si="41"/>
        <v>#N/A</v>
      </c>
      <c r="AX18" s="7" t="e">
        <f t="shared" si="41"/>
        <v>#N/A</v>
      </c>
      <c r="AY18" s="7" t="e">
        <f t="shared" si="41"/>
        <v>#N/A</v>
      </c>
    </row>
    <row r="19" spans="1:51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</row>
    <row r="20" spans="1:51" x14ac:dyDescent="0.25">
      <c r="D20" s="7"/>
      <c r="E20" s="7"/>
      <c r="G20" s="7"/>
      <c r="H20" s="7"/>
      <c r="I20" s="7"/>
      <c r="J20" s="7"/>
      <c r="K20" s="7"/>
      <c r="L20" s="7"/>
      <c r="M20" s="7"/>
      <c r="O20" s="7"/>
      <c r="P20" s="7"/>
      <c r="Q20" s="7"/>
      <c r="R20" s="7"/>
      <c r="T20" s="7"/>
      <c r="U20" s="7"/>
      <c r="V20" s="7"/>
      <c r="X20" s="7"/>
      <c r="Y20" s="7"/>
      <c r="Z20" s="7"/>
      <c r="AA20" s="7"/>
      <c r="AC20" s="7"/>
      <c r="AD20" s="7"/>
      <c r="AE20" s="7"/>
      <c r="AF20" s="7"/>
      <c r="AH20" s="7"/>
      <c r="AI20" s="7"/>
      <c r="AK20" s="7"/>
      <c r="AL20" s="7"/>
      <c r="AM20" s="7"/>
      <c r="AN20" s="7"/>
      <c r="AP20" s="7"/>
      <c r="AQ20" s="7"/>
      <c r="AR20" s="7"/>
      <c r="AS20" s="7"/>
      <c r="AT20" s="7"/>
      <c r="AU20" s="7"/>
      <c r="AV20" s="7"/>
      <c r="AW20" s="7"/>
      <c r="AX20" s="7"/>
      <c r="AY20" s="7"/>
    </row>
    <row r="21" spans="1:51" x14ac:dyDescent="0.25">
      <c r="B21" t="s">
        <v>119</v>
      </c>
      <c r="C21" t="s">
        <v>120</v>
      </c>
      <c r="D21" s="16" t="s">
        <v>121</v>
      </c>
      <c r="E21" s="16" t="s">
        <v>122</v>
      </c>
      <c r="F21" s="18" t="s">
        <v>123</v>
      </c>
      <c r="G21" s="16" t="s">
        <v>124</v>
      </c>
      <c r="H21" s="16" t="s">
        <v>125</v>
      </c>
      <c r="I21" s="16" t="s">
        <v>126</v>
      </c>
      <c r="J21" s="16" t="s">
        <v>127</v>
      </c>
      <c r="K21" s="16" t="s">
        <v>128</v>
      </c>
      <c r="L21" s="16" t="s">
        <v>129</v>
      </c>
      <c r="M21" s="16" t="s">
        <v>130</v>
      </c>
      <c r="N21" s="18" t="s">
        <v>131</v>
      </c>
      <c r="O21" s="16" t="s">
        <v>132</v>
      </c>
      <c r="P21" s="16" t="s">
        <v>133</v>
      </c>
      <c r="Q21" s="16" t="s">
        <v>134</v>
      </c>
      <c r="R21" s="16" t="s">
        <v>135</v>
      </c>
      <c r="S21" s="18" t="s">
        <v>45</v>
      </c>
      <c r="T21" s="16" t="s">
        <v>136</v>
      </c>
      <c r="U21" s="16" t="s">
        <v>137</v>
      </c>
      <c r="V21" s="16" t="s">
        <v>138</v>
      </c>
      <c r="W21" s="18" t="s">
        <v>139</v>
      </c>
      <c r="X21" s="16" t="s">
        <v>140</v>
      </c>
      <c r="Y21" s="16" t="s">
        <v>141</v>
      </c>
      <c r="Z21" s="16" t="s">
        <v>142</v>
      </c>
      <c r="AA21" s="16" t="s">
        <v>143</v>
      </c>
      <c r="AB21" s="18" t="s">
        <v>144</v>
      </c>
      <c r="AC21" s="16" t="s">
        <v>145</v>
      </c>
      <c r="AD21" s="16" t="s">
        <v>146</v>
      </c>
      <c r="AE21" s="16" t="s">
        <v>147</v>
      </c>
      <c r="AF21" s="16" t="s">
        <v>148</v>
      </c>
      <c r="AG21" s="18" t="s">
        <v>149</v>
      </c>
      <c r="AH21" s="16" t="s">
        <v>150</v>
      </c>
      <c r="AI21" s="16" t="s">
        <v>151</v>
      </c>
      <c r="AJ21" s="18" t="s">
        <v>152</v>
      </c>
      <c r="AK21" s="16" t="s">
        <v>153</v>
      </c>
      <c r="AL21" s="16" t="s">
        <v>154</v>
      </c>
      <c r="AM21" s="16" t="s">
        <v>155</v>
      </c>
      <c r="AN21" s="16" t="s">
        <v>156</v>
      </c>
      <c r="AO21" s="18" t="s">
        <v>157</v>
      </c>
      <c r="AP21" s="16" t="s">
        <v>158</v>
      </c>
      <c r="AQ21" s="16" t="s">
        <v>159</v>
      </c>
      <c r="AR21" s="16" t="s">
        <v>160</v>
      </c>
      <c r="AS21" s="16" t="s">
        <v>161</v>
      </c>
      <c r="AT21" s="16" t="s">
        <v>162</v>
      </c>
      <c r="AU21" s="16" t="s">
        <v>163</v>
      </c>
      <c r="AV21" s="16" t="s">
        <v>164</v>
      </c>
      <c r="AW21" s="16" t="s">
        <v>165</v>
      </c>
      <c r="AX21" s="16" t="s">
        <v>166</v>
      </c>
      <c r="AY21" s="16" t="s">
        <v>167</v>
      </c>
    </row>
    <row r="22" spans="1:51" x14ac:dyDescent="0.25">
      <c r="B22" t="s">
        <v>119</v>
      </c>
      <c r="C22">
        <f>SUM(C23:C34)</f>
        <v>0</v>
      </c>
      <c r="D22">
        <f>SUM(D23:D34)</f>
        <v>2</v>
      </c>
      <c r="E22">
        <f t="shared" ref="E22:AY22" si="42">SUM(E23:E34)</f>
        <v>1</v>
      </c>
      <c r="F22">
        <f t="shared" si="42"/>
        <v>2</v>
      </c>
      <c r="G22">
        <f t="shared" si="42"/>
        <v>7</v>
      </c>
      <c r="H22">
        <f t="shared" si="42"/>
        <v>8</v>
      </c>
      <c r="I22">
        <f t="shared" si="42"/>
        <v>8</v>
      </c>
      <c r="J22">
        <f t="shared" si="42"/>
        <v>10</v>
      </c>
      <c r="K22">
        <f t="shared" si="42"/>
        <v>37</v>
      </c>
      <c r="L22">
        <f t="shared" si="42"/>
        <v>51</v>
      </c>
      <c r="M22">
        <f t="shared" si="42"/>
        <v>51</v>
      </c>
      <c r="N22">
        <f t="shared" si="42"/>
        <v>59</v>
      </c>
      <c r="O22">
        <f t="shared" si="42"/>
        <v>61</v>
      </c>
      <c r="P22">
        <f t="shared" si="42"/>
        <v>111</v>
      </c>
      <c r="Q22">
        <f t="shared" si="42"/>
        <v>144</v>
      </c>
      <c r="R22">
        <f t="shared" si="42"/>
        <v>223</v>
      </c>
      <c r="S22">
        <f t="shared" si="42"/>
        <v>210</v>
      </c>
      <c r="T22">
        <f t="shared" si="42"/>
        <v>162</v>
      </c>
      <c r="U22">
        <f t="shared" si="42"/>
        <v>254</v>
      </c>
      <c r="V22">
        <f t="shared" si="42"/>
        <v>159</v>
      </c>
      <c r="W22">
        <f t="shared" si="42"/>
        <v>250</v>
      </c>
      <c r="X22">
        <f t="shared" si="42"/>
        <v>242</v>
      </c>
      <c r="Y22">
        <f t="shared" si="42"/>
        <v>191</v>
      </c>
      <c r="Z22">
        <f t="shared" si="42"/>
        <v>183</v>
      </c>
      <c r="AA22">
        <f t="shared" si="42"/>
        <v>161</v>
      </c>
      <c r="AB22">
        <f t="shared" si="42"/>
        <v>176</v>
      </c>
      <c r="AC22">
        <f t="shared" si="42"/>
        <v>166</v>
      </c>
      <c r="AD22">
        <f t="shared" si="42"/>
        <v>176</v>
      </c>
      <c r="AE22">
        <f t="shared" si="42"/>
        <v>164</v>
      </c>
      <c r="AF22">
        <f t="shared" si="42"/>
        <v>193</v>
      </c>
      <c r="AG22">
        <f t="shared" si="42"/>
        <v>187</v>
      </c>
      <c r="AH22">
        <f t="shared" si="42"/>
        <v>200</v>
      </c>
      <c r="AI22">
        <f t="shared" si="42"/>
        <v>217</v>
      </c>
      <c r="AJ22">
        <f t="shared" si="42"/>
        <v>250</v>
      </c>
      <c r="AK22">
        <f t="shared" si="42"/>
        <v>248</v>
      </c>
      <c r="AL22">
        <f t="shared" si="42"/>
        <v>246</v>
      </c>
      <c r="AM22">
        <f t="shared" si="42"/>
        <v>190</v>
      </c>
      <c r="AN22">
        <f t="shared" si="42"/>
        <v>184</v>
      </c>
      <c r="AO22">
        <f t="shared" si="42"/>
        <v>165</v>
      </c>
      <c r="AP22">
        <f t="shared" si="42"/>
        <v>123</v>
      </c>
      <c r="AQ22">
        <f t="shared" si="42"/>
        <v>109</v>
      </c>
      <c r="AR22">
        <f t="shared" si="42"/>
        <v>81</v>
      </c>
      <c r="AS22">
        <f t="shared" si="42"/>
        <v>71</v>
      </c>
      <c r="AT22">
        <f t="shared" si="42"/>
        <v>40</v>
      </c>
      <c r="AU22">
        <f t="shared" si="42"/>
        <v>18</v>
      </c>
      <c r="AV22">
        <f t="shared" si="42"/>
        <v>10</v>
      </c>
      <c r="AW22">
        <f t="shared" si="42"/>
        <v>20</v>
      </c>
      <c r="AX22">
        <f t="shared" si="42"/>
        <v>0</v>
      </c>
      <c r="AY22">
        <f t="shared" si="42"/>
        <v>0</v>
      </c>
    </row>
    <row r="23" spans="1:51" x14ac:dyDescent="0.25">
      <c r="A23" s="472" t="s">
        <v>180</v>
      </c>
      <c r="B23" t="s">
        <v>168</v>
      </c>
      <c r="C23" s="7">
        <v>0</v>
      </c>
      <c r="D23" s="7">
        <v>0</v>
      </c>
      <c r="E23" s="7">
        <v>0</v>
      </c>
      <c r="F23" s="7">
        <v>1</v>
      </c>
      <c r="G23" s="7">
        <v>2</v>
      </c>
      <c r="H23" s="7">
        <v>2</v>
      </c>
      <c r="I23" s="7">
        <v>2</v>
      </c>
      <c r="J23" s="7">
        <v>4</v>
      </c>
      <c r="K23" s="7">
        <v>17</v>
      </c>
      <c r="L23" s="7">
        <v>15</v>
      </c>
      <c r="M23" s="7">
        <v>19</v>
      </c>
      <c r="N23" s="7">
        <v>24</v>
      </c>
      <c r="O23" s="7">
        <v>23</v>
      </c>
      <c r="P23" s="7">
        <v>12</v>
      </c>
      <c r="Q23" s="7">
        <v>27</v>
      </c>
      <c r="R23" s="7">
        <v>60</v>
      </c>
      <c r="S23" s="7">
        <v>52</v>
      </c>
      <c r="T23" s="7">
        <v>44</v>
      </c>
      <c r="U23" s="7">
        <v>99</v>
      </c>
      <c r="V23" s="7">
        <v>32</v>
      </c>
      <c r="W23" s="7">
        <v>23</v>
      </c>
      <c r="X23" s="7">
        <v>21</v>
      </c>
      <c r="Y23" s="7">
        <v>8</v>
      </c>
      <c r="Z23" s="7">
        <v>9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v>0</v>
      </c>
      <c r="AL23" s="7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T23" s="7">
        <v>0</v>
      </c>
      <c r="AU23" s="7">
        <v>0</v>
      </c>
      <c r="AV23" s="7">
        <v>0</v>
      </c>
      <c r="AW23" s="7">
        <v>0</v>
      </c>
      <c r="AX23" s="7">
        <v>0</v>
      </c>
      <c r="AY23" s="7"/>
    </row>
    <row r="24" spans="1:51" x14ac:dyDescent="0.25">
      <c r="A24" s="472"/>
      <c r="B24" t="s">
        <v>169</v>
      </c>
      <c r="C24" s="7">
        <v>0</v>
      </c>
      <c r="D24" s="7">
        <v>1</v>
      </c>
      <c r="E24" s="7">
        <v>1</v>
      </c>
      <c r="F24" s="7">
        <v>0</v>
      </c>
      <c r="G24" s="7">
        <v>3</v>
      </c>
      <c r="H24" s="7">
        <v>2</v>
      </c>
      <c r="I24" s="7">
        <v>2</v>
      </c>
      <c r="J24" s="7">
        <v>2</v>
      </c>
      <c r="K24" s="7">
        <v>7</v>
      </c>
      <c r="L24" s="7">
        <v>9</v>
      </c>
      <c r="M24" s="7">
        <v>14</v>
      </c>
      <c r="N24" s="7">
        <v>16</v>
      </c>
      <c r="O24" s="7">
        <v>19</v>
      </c>
      <c r="P24" s="7">
        <v>30</v>
      </c>
      <c r="Q24" s="7">
        <v>48</v>
      </c>
      <c r="R24" s="7">
        <v>91</v>
      </c>
      <c r="S24" s="7">
        <v>82</v>
      </c>
      <c r="T24" s="7">
        <v>25</v>
      </c>
      <c r="U24" s="7">
        <v>20</v>
      </c>
      <c r="V24" s="7">
        <v>25</v>
      </c>
      <c r="W24" s="7">
        <v>17</v>
      </c>
      <c r="X24" s="7">
        <v>11</v>
      </c>
      <c r="Y24" s="7">
        <v>7</v>
      </c>
      <c r="Z24" s="7">
        <v>6</v>
      </c>
      <c r="AA24" s="7">
        <v>3</v>
      </c>
      <c r="AB24" s="7">
        <v>7</v>
      </c>
      <c r="AC24" s="7">
        <v>0</v>
      </c>
      <c r="AD24" s="7">
        <v>0</v>
      </c>
      <c r="AE24" s="7">
        <v>0</v>
      </c>
      <c r="AF24" s="7">
        <v>0</v>
      </c>
      <c r="AG24" s="7">
        <v>0</v>
      </c>
      <c r="AH24" s="7">
        <v>0</v>
      </c>
      <c r="AI24" s="7">
        <v>0</v>
      </c>
      <c r="AJ24" s="7">
        <v>0</v>
      </c>
      <c r="AK24" s="7">
        <v>0</v>
      </c>
      <c r="AL24" s="7">
        <v>0</v>
      </c>
      <c r="AM24" s="7">
        <v>0</v>
      </c>
      <c r="AN24" s="7">
        <v>0</v>
      </c>
      <c r="AO24" s="7">
        <v>0</v>
      </c>
      <c r="AP24" s="7">
        <v>0</v>
      </c>
      <c r="AQ24" s="7">
        <v>0</v>
      </c>
      <c r="AR24" s="7">
        <v>0</v>
      </c>
      <c r="AS24" s="7">
        <v>0</v>
      </c>
      <c r="AT24" s="7">
        <v>0</v>
      </c>
      <c r="AU24" s="7">
        <v>0</v>
      </c>
      <c r="AV24" s="7">
        <v>0</v>
      </c>
      <c r="AW24" s="7">
        <v>0</v>
      </c>
      <c r="AX24" s="7">
        <v>0</v>
      </c>
      <c r="AY24" s="7"/>
    </row>
    <row r="25" spans="1:51" x14ac:dyDescent="0.25">
      <c r="A25" s="472"/>
      <c r="B25" t="s">
        <v>170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2</v>
      </c>
      <c r="P25" s="7">
        <v>9</v>
      </c>
      <c r="Q25" s="7">
        <v>6</v>
      </c>
      <c r="R25" s="7">
        <v>10</v>
      </c>
      <c r="S25" s="7">
        <v>15</v>
      </c>
      <c r="T25" s="7">
        <v>43</v>
      </c>
      <c r="U25" s="7">
        <v>57</v>
      </c>
      <c r="V25" s="7">
        <v>30</v>
      </c>
      <c r="W25" s="7">
        <v>57</v>
      </c>
      <c r="X25" s="7">
        <v>53</v>
      </c>
      <c r="Y25" s="7">
        <v>47</v>
      </c>
      <c r="Z25" s="7">
        <v>41</v>
      </c>
      <c r="AA25" s="7">
        <v>36</v>
      </c>
      <c r="AB25" s="7">
        <v>27</v>
      </c>
      <c r="AC25" s="7">
        <v>26</v>
      </c>
      <c r="AD25" s="7">
        <v>12</v>
      </c>
      <c r="AE25" s="7">
        <v>13</v>
      </c>
      <c r="AF25" s="7">
        <v>5</v>
      </c>
      <c r="AG25" s="7">
        <v>2</v>
      </c>
      <c r="AH25" s="7">
        <v>5</v>
      </c>
      <c r="AI25" s="7">
        <v>0</v>
      </c>
      <c r="AJ25" s="7">
        <v>0</v>
      </c>
      <c r="AK25" s="7">
        <v>0</v>
      </c>
      <c r="AL25" s="7">
        <v>0</v>
      </c>
      <c r="AM25" s="7">
        <v>0</v>
      </c>
      <c r="AN25" s="7">
        <v>0</v>
      </c>
      <c r="AO25" s="7">
        <v>0</v>
      </c>
      <c r="AP25" s="7">
        <v>0</v>
      </c>
      <c r="AQ25" s="7">
        <v>0</v>
      </c>
      <c r="AR25" s="7">
        <v>0</v>
      </c>
      <c r="AS25" s="7">
        <v>0</v>
      </c>
      <c r="AT25" s="7">
        <v>0</v>
      </c>
      <c r="AU25" s="7">
        <v>0</v>
      </c>
      <c r="AV25" s="7">
        <v>0</v>
      </c>
      <c r="AW25" s="7">
        <v>0</v>
      </c>
      <c r="AX25" s="7">
        <v>0</v>
      </c>
      <c r="AY25" s="7"/>
    </row>
    <row r="26" spans="1:51" x14ac:dyDescent="0.25">
      <c r="A26" s="472"/>
      <c r="B26" t="s">
        <v>171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5</v>
      </c>
      <c r="U26" s="7">
        <v>8</v>
      </c>
      <c r="V26" s="7">
        <v>20</v>
      </c>
      <c r="W26" s="7">
        <v>20</v>
      </c>
      <c r="X26" s="7">
        <v>27</v>
      </c>
      <c r="Y26" s="7">
        <v>27</v>
      </c>
      <c r="Z26" s="7">
        <v>29</v>
      </c>
      <c r="AA26" s="7">
        <v>36</v>
      </c>
      <c r="AB26" s="7">
        <v>36</v>
      </c>
      <c r="AC26" s="7">
        <v>35</v>
      </c>
      <c r="AD26" s="7">
        <v>51</v>
      </c>
      <c r="AE26" s="7">
        <v>27</v>
      </c>
      <c r="AF26" s="7">
        <v>32</v>
      </c>
      <c r="AG26" s="7">
        <v>23</v>
      </c>
      <c r="AH26" s="7">
        <v>14</v>
      </c>
      <c r="AI26" s="7">
        <v>18</v>
      </c>
      <c r="AJ26" s="7">
        <v>8</v>
      </c>
      <c r="AK26" s="7">
        <v>9</v>
      </c>
      <c r="AL26" s="7">
        <v>20</v>
      </c>
      <c r="AM26" s="7">
        <v>17</v>
      </c>
      <c r="AN26" s="7">
        <v>10</v>
      </c>
      <c r="AO26" s="7">
        <v>4</v>
      </c>
      <c r="AP26" s="7">
        <v>4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/>
    </row>
    <row r="27" spans="1:51" x14ac:dyDescent="0.25">
      <c r="A27" s="472"/>
      <c r="B27" t="s">
        <v>172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3</v>
      </c>
      <c r="Y27" s="7">
        <v>6</v>
      </c>
      <c r="Z27" s="7">
        <v>11</v>
      </c>
      <c r="AA27" s="7">
        <v>6</v>
      </c>
      <c r="AB27" s="7">
        <v>8</v>
      </c>
      <c r="AC27" s="7">
        <v>22</v>
      </c>
      <c r="AD27" s="7">
        <v>25</v>
      </c>
      <c r="AE27" s="7">
        <v>24</v>
      </c>
      <c r="AF27" s="7">
        <v>22</v>
      </c>
      <c r="AG27" s="7">
        <v>38</v>
      </c>
      <c r="AH27" s="7">
        <v>44</v>
      </c>
      <c r="AI27" s="7">
        <v>35</v>
      </c>
      <c r="AJ27" s="7">
        <v>53</v>
      </c>
      <c r="AK27" s="7">
        <v>46</v>
      </c>
      <c r="AL27" s="7">
        <v>40</v>
      </c>
      <c r="AM27" s="7">
        <v>26</v>
      </c>
      <c r="AN27" s="7">
        <v>24</v>
      </c>
      <c r="AO27" s="7">
        <v>27</v>
      </c>
      <c r="AP27" s="7">
        <v>20</v>
      </c>
      <c r="AQ27" s="7">
        <v>13</v>
      </c>
      <c r="AR27" s="7">
        <v>3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/>
    </row>
    <row r="28" spans="1:51" x14ac:dyDescent="0.25">
      <c r="A28" s="472"/>
      <c r="B28" t="s">
        <v>173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2</v>
      </c>
      <c r="AC28" s="7">
        <v>2</v>
      </c>
      <c r="AD28" s="7">
        <v>8</v>
      </c>
      <c r="AE28" s="7">
        <v>25</v>
      </c>
      <c r="AF28" s="7">
        <v>46</v>
      </c>
      <c r="AG28" s="7">
        <v>26</v>
      </c>
      <c r="AH28" s="7">
        <v>28</v>
      </c>
      <c r="AI28" s="7">
        <v>34</v>
      </c>
      <c r="AJ28" s="7">
        <v>44</v>
      </c>
      <c r="AK28" s="7">
        <v>29</v>
      </c>
      <c r="AL28" s="7">
        <v>42</v>
      </c>
      <c r="AM28" s="7">
        <v>26</v>
      </c>
      <c r="AN28" s="7">
        <v>39</v>
      </c>
      <c r="AO28" s="7">
        <v>19</v>
      </c>
      <c r="AP28" s="7">
        <v>20</v>
      </c>
      <c r="AQ28" s="7">
        <v>20</v>
      </c>
      <c r="AR28" s="7">
        <v>21</v>
      </c>
      <c r="AS28" s="7">
        <v>23</v>
      </c>
      <c r="AT28" s="7">
        <v>15</v>
      </c>
      <c r="AU28" s="7">
        <v>3</v>
      </c>
      <c r="AV28" s="7">
        <v>3</v>
      </c>
      <c r="AW28" s="7">
        <v>5</v>
      </c>
      <c r="AX28" s="7">
        <v>0</v>
      </c>
      <c r="AY28" s="7"/>
    </row>
    <row r="29" spans="1:51" x14ac:dyDescent="0.25">
      <c r="A29" s="472"/>
      <c r="B29" t="s">
        <v>174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3</v>
      </c>
      <c r="AD29" s="7">
        <v>8</v>
      </c>
      <c r="AE29" s="7">
        <v>7</v>
      </c>
      <c r="AF29" s="7">
        <v>15</v>
      </c>
      <c r="AG29" s="7">
        <v>21</v>
      </c>
      <c r="AH29" s="7">
        <v>13</v>
      </c>
      <c r="AI29" s="7">
        <v>27</v>
      </c>
      <c r="AJ29" s="7">
        <v>37</v>
      </c>
      <c r="AK29" s="7">
        <v>45</v>
      </c>
      <c r="AL29" s="7">
        <v>36</v>
      </c>
      <c r="AM29" s="7">
        <v>34</v>
      </c>
      <c r="AN29" s="7">
        <v>36</v>
      </c>
      <c r="AO29" s="7">
        <v>45</v>
      </c>
      <c r="AP29" s="7">
        <v>32</v>
      </c>
      <c r="AQ29" s="7">
        <v>36</v>
      </c>
      <c r="AR29" s="7">
        <v>30</v>
      </c>
      <c r="AS29" s="7">
        <v>26</v>
      </c>
      <c r="AT29" s="7">
        <v>12</v>
      </c>
      <c r="AU29" s="7">
        <v>7</v>
      </c>
      <c r="AV29" s="7">
        <v>3</v>
      </c>
      <c r="AW29" s="7">
        <v>10</v>
      </c>
      <c r="AX29" s="7">
        <v>0</v>
      </c>
      <c r="AY29" s="7"/>
    </row>
    <row r="30" spans="1:51" x14ac:dyDescent="0.25">
      <c r="A30" s="472"/>
      <c r="B30" t="s">
        <v>175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2</v>
      </c>
      <c r="AF30" s="7">
        <v>7</v>
      </c>
      <c r="AG30" s="7">
        <v>12</v>
      </c>
      <c r="AH30" s="7">
        <v>34</v>
      </c>
      <c r="AI30" s="7">
        <v>29</v>
      </c>
      <c r="AJ30" s="7">
        <v>37</v>
      </c>
      <c r="AK30" s="7">
        <v>44</v>
      </c>
      <c r="AL30" s="7">
        <v>59</v>
      </c>
      <c r="AM30" s="7">
        <v>60</v>
      </c>
      <c r="AN30" s="7">
        <v>43</v>
      </c>
      <c r="AO30" s="7">
        <v>41</v>
      </c>
      <c r="AP30" s="7">
        <v>32</v>
      </c>
      <c r="AQ30" s="7">
        <v>22</v>
      </c>
      <c r="AR30" s="7">
        <v>21</v>
      </c>
      <c r="AS30" s="7">
        <v>19</v>
      </c>
      <c r="AT30" s="7">
        <v>11</v>
      </c>
      <c r="AU30" s="7">
        <v>8</v>
      </c>
      <c r="AV30" s="7">
        <v>4</v>
      </c>
      <c r="AW30" s="7">
        <v>5</v>
      </c>
      <c r="AX30" s="7">
        <v>0</v>
      </c>
      <c r="AY30" s="7"/>
    </row>
    <row r="31" spans="1:51" x14ac:dyDescent="0.25">
      <c r="A31" s="472"/>
      <c r="B31" t="s">
        <v>176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2</v>
      </c>
      <c r="X31" s="7">
        <v>4</v>
      </c>
      <c r="Y31" s="7">
        <v>4</v>
      </c>
      <c r="Z31" s="7">
        <v>9</v>
      </c>
      <c r="AA31" s="7">
        <v>10</v>
      </c>
      <c r="AB31" s="7">
        <v>14</v>
      </c>
      <c r="AC31" s="7">
        <v>22</v>
      </c>
      <c r="AD31" s="7">
        <v>27</v>
      </c>
      <c r="AE31" s="7">
        <v>34</v>
      </c>
      <c r="AF31" s="7">
        <v>41</v>
      </c>
      <c r="AG31" s="7">
        <v>37</v>
      </c>
      <c r="AH31" s="7">
        <v>36</v>
      </c>
      <c r="AI31" s="7">
        <v>33</v>
      </c>
      <c r="AJ31" s="7">
        <v>42</v>
      </c>
      <c r="AK31" s="7">
        <v>50</v>
      </c>
      <c r="AL31" s="7">
        <v>27</v>
      </c>
      <c r="AM31" s="7">
        <v>18</v>
      </c>
      <c r="AN31" s="7">
        <v>19</v>
      </c>
      <c r="AO31" s="7">
        <v>18</v>
      </c>
      <c r="AP31" s="7">
        <v>9</v>
      </c>
      <c r="AQ31" s="7">
        <v>13</v>
      </c>
      <c r="AR31" s="7">
        <v>6</v>
      </c>
      <c r="AS31" s="7">
        <v>3</v>
      </c>
      <c r="AT31" s="7">
        <v>2</v>
      </c>
      <c r="AU31" s="7">
        <v>0</v>
      </c>
      <c r="AV31" s="7">
        <v>0</v>
      </c>
      <c r="AW31" s="7">
        <v>0</v>
      </c>
      <c r="AX31" s="7">
        <v>0</v>
      </c>
      <c r="AY31" s="7"/>
    </row>
    <row r="32" spans="1:51" x14ac:dyDescent="0.25">
      <c r="A32" s="472"/>
      <c r="B32" t="s">
        <v>177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2</v>
      </c>
      <c r="T32" s="7">
        <v>8</v>
      </c>
      <c r="U32" s="7">
        <v>31</v>
      </c>
      <c r="V32" s="7">
        <v>11</v>
      </c>
      <c r="W32" s="7">
        <v>26</v>
      </c>
      <c r="X32" s="7">
        <v>20</v>
      </c>
      <c r="Y32" s="7">
        <v>24</v>
      </c>
      <c r="Z32" s="7">
        <v>21</v>
      </c>
      <c r="AA32" s="7">
        <v>21</v>
      </c>
      <c r="AB32" s="7">
        <v>38</v>
      </c>
      <c r="AC32" s="7">
        <v>23</v>
      </c>
      <c r="AD32" s="7">
        <v>23</v>
      </c>
      <c r="AE32" s="7">
        <v>23</v>
      </c>
      <c r="AF32" s="7">
        <v>21</v>
      </c>
      <c r="AG32" s="7">
        <v>24</v>
      </c>
      <c r="AH32" s="7">
        <v>24</v>
      </c>
      <c r="AI32" s="7">
        <v>37</v>
      </c>
      <c r="AJ32" s="7">
        <v>28</v>
      </c>
      <c r="AK32" s="7">
        <v>25</v>
      </c>
      <c r="AL32" s="7">
        <v>22</v>
      </c>
      <c r="AM32" s="7">
        <v>9</v>
      </c>
      <c r="AN32" s="7">
        <v>13</v>
      </c>
      <c r="AO32" s="7">
        <v>11</v>
      </c>
      <c r="AP32" s="7">
        <v>6</v>
      </c>
      <c r="AQ32" s="7">
        <v>5</v>
      </c>
      <c r="AR32" s="7">
        <v>0</v>
      </c>
      <c r="AS32" s="7">
        <v>0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/>
    </row>
    <row r="33" spans="1:51" x14ac:dyDescent="0.25">
      <c r="A33" s="472"/>
      <c r="B33" t="s">
        <v>178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2</v>
      </c>
      <c r="Q33" s="7">
        <v>19</v>
      </c>
      <c r="R33" s="7">
        <v>11</v>
      </c>
      <c r="S33" s="7">
        <v>15</v>
      </c>
      <c r="T33" s="7">
        <v>17</v>
      </c>
      <c r="U33" s="7">
        <v>26</v>
      </c>
      <c r="V33" s="7">
        <v>24</v>
      </c>
      <c r="W33" s="7">
        <v>45</v>
      </c>
      <c r="X33" s="7">
        <v>50</v>
      </c>
      <c r="Y33" s="7">
        <v>56</v>
      </c>
      <c r="Z33" s="7">
        <v>50</v>
      </c>
      <c r="AA33" s="7">
        <v>44</v>
      </c>
      <c r="AB33" s="7">
        <v>43</v>
      </c>
      <c r="AC33" s="7">
        <v>32</v>
      </c>
      <c r="AD33" s="7">
        <v>22</v>
      </c>
      <c r="AE33" s="7">
        <v>9</v>
      </c>
      <c r="AF33" s="7">
        <v>4</v>
      </c>
      <c r="AG33" s="7">
        <v>4</v>
      </c>
      <c r="AH33" s="7">
        <v>2</v>
      </c>
      <c r="AI33" s="7">
        <v>4</v>
      </c>
      <c r="AJ33" s="7">
        <v>1</v>
      </c>
      <c r="AK33" s="7">
        <v>0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7">
        <v>0</v>
      </c>
      <c r="AT33" s="7">
        <v>0</v>
      </c>
      <c r="AU33" s="7">
        <v>0</v>
      </c>
      <c r="AV33" s="7">
        <v>0</v>
      </c>
      <c r="AW33" s="7">
        <v>0</v>
      </c>
      <c r="AX33" s="7">
        <v>0</v>
      </c>
      <c r="AY33" s="7"/>
    </row>
    <row r="34" spans="1:51" x14ac:dyDescent="0.25">
      <c r="A34" s="472"/>
      <c r="B34" t="s">
        <v>179</v>
      </c>
      <c r="C34" s="7">
        <v>0</v>
      </c>
      <c r="D34" s="7">
        <v>1</v>
      </c>
      <c r="E34" s="7">
        <v>0</v>
      </c>
      <c r="F34" s="7">
        <v>1</v>
      </c>
      <c r="G34" s="7">
        <v>2</v>
      </c>
      <c r="H34" s="7">
        <v>4</v>
      </c>
      <c r="I34" s="7">
        <v>4</v>
      </c>
      <c r="J34" s="7">
        <v>4</v>
      </c>
      <c r="K34" s="7">
        <v>13</v>
      </c>
      <c r="L34" s="7">
        <v>27</v>
      </c>
      <c r="M34" s="7">
        <v>18</v>
      </c>
      <c r="N34" s="7">
        <v>19</v>
      </c>
      <c r="O34" s="7">
        <v>17</v>
      </c>
      <c r="P34" s="7">
        <v>58</v>
      </c>
      <c r="Q34" s="7">
        <v>44</v>
      </c>
      <c r="R34" s="7">
        <v>51</v>
      </c>
      <c r="S34" s="7">
        <v>44</v>
      </c>
      <c r="T34" s="7">
        <v>20</v>
      </c>
      <c r="U34" s="7">
        <v>13</v>
      </c>
      <c r="V34" s="7">
        <v>17</v>
      </c>
      <c r="W34" s="7">
        <v>60</v>
      </c>
      <c r="X34" s="7">
        <v>53</v>
      </c>
      <c r="Y34" s="7">
        <v>12</v>
      </c>
      <c r="Z34" s="7">
        <v>7</v>
      </c>
      <c r="AA34" s="7">
        <v>5</v>
      </c>
      <c r="AB34" s="7">
        <v>1</v>
      </c>
      <c r="AC34" s="7">
        <v>1</v>
      </c>
      <c r="AD34" s="7">
        <v>0</v>
      </c>
      <c r="AE34" s="7">
        <v>0</v>
      </c>
      <c r="AF34" s="7">
        <v>0</v>
      </c>
      <c r="AG34" s="7">
        <v>0</v>
      </c>
      <c r="AH34" s="7">
        <v>0</v>
      </c>
      <c r="AI34" s="7">
        <v>0</v>
      </c>
      <c r="AJ34" s="7">
        <v>0</v>
      </c>
      <c r="AK34" s="7">
        <v>0</v>
      </c>
      <c r="AL34" s="7">
        <v>0</v>
      </c>
      <c r="AM34" s="7">
        <v>0</v>
      </c>
      <c r="AN34" s="7">
        <v>0</v>
      </c>
      <c r="AO34" s="7">
        <v>0</v>
      </c>
      <c r="AP34" s="7">
        <v>0</v>
      </c>
      <c r="AQ34" s="7">
        <v>0</v>
      </c>
      <c r="AR34" s="7">
        <v>0</v>
      </c>
      <c r="AS34" s="7">
        <v>0</v>
      </c>
      <c r="AT34" s="7">
        <v>0</v>
      </c>
      <c r="AU34" s="7">
        <v>0</v>
      </c>
      <c r="AV34" s="7">
        <v>0</v>
      </c>
      <c r="AW34" s="7">
        <v>0</v>
      </c>
      <c r="AX34" s="7">
        <v>0</v>
      </c>
      <c r="AY34" s="7"/>
    </row>
    <row r="35" spans="1:51" ht="15.75" thickBot="1" x14ac:dyDescent="0.3"/>
    <row r="36" spans="1:51" x14ac:dyDescent="0.25">
      <c r="A36" s="475" t="s">
        <v>391</v>
      </c>
      <c r="B36" s="476"/>
    </row>
    <row r="37" spans="1:51" x14ac:dyDescent="0.25">
      <c r="A37" s="48" t="s">
        <v>168</v>
      </c>
      <c r="B37" s="49">
        <f>SUM(C37:AY37)</f>
        <v>375.48077357746683</v>
      </c>
      <c r="C37">
        <f t="shared" ref="C37:AH37" si="43">(C$13+C$14)/(C$3+C$4)*C$10*C23</f>
        <v>0</v>
      </c>
      <c r="D37">
        <f t="shared" si="43"/>
        <v>0</v>
      </c>
      <c r="E37">
        <f t="shared" si="43"/>
        <v>0</v>
      </c>
      <c r="F37">
        <f t="shared" si="43"/>
        <v>1.4791277588042533</v>
      </c>
      <c r="G37">
        <f t="shared" si="43"/>
        <v>2.8354596547766557</v>
      </c>
      <c r="H37">
        <f t="shared" si="43"/>
        <v>2.7148327827089296</v>
      </c>
      <c r="I37">
        <f t="shared" si="43"/>
        <v>2.5963749014053294</v>
      </c>
      <c r="J37">
        <f t="shared" si="43"/>
        <v>4.9601720217317098</v>
      </c>
      <c r="K37">
        <f t="shared" si="43"/>
        <v>20.110711944269298</v>
      </c>
      <c r="L37">
        <f t="shared" si="43"/>
        <v>16.90511401559462</v>
      </c>
      <c r="M37">
        <f t="shared" si="43"/>
        <v>20.370216196405753</v>
      </c>
      <c r="N37">
        <f t="shared" si="43"/>
        <v>24.439444276190542</v>
      </c>
      <c r="O37">
        <f t="shared" si="43"/>
        <v>22.005616296922767</v>
      </c>
      <c r="P37">
        <f t="shared" si="43"/>
        <v>10.764143421872955</v>
      </c>
      <c r="Q37">
        <f t="shared" si="43"/>
        <v>22.654302906150516</v>
      </c>
      <c r="R37">
        <f t="shared" si="43"/>
        <v>46.972490270099001</v>
      </c>
      <c r="S37">
        <f t="shared" si="43"/>
        <v>37.881568294837194</v>
      </c>
      <c r="T37">
        <f t="shared" si="43"/>
        <v>29.739548793297967</v>
      </c>
      <c r="U37">
        <f t="shared" si="43"/>
        <v>61.884529001066078</v>
      </c>
      <c r="V37">
        <f t="shared" si="43"/>
        <v>18.434686302455962</v>
      </c>
      <c r="W37">
        <f t="shared" si="43"/>
        <v>12.163824147545521</v>
      </c>
      <c r="X37">
        <f t="shared" si="43"/>
        <v>9.9114201957481587</v>
      </c>
      <c r="Y37">
        <f t="shared" si="43"/>
        <v>3.3464428932222932</v>
      </c>
      <c r="Z37">
        <f t="shared" si="43"/>
        <v>3.3107475023612558</v>
      </c>
      <c r="AA37">
        <f t="shared" si="43"/>
        <v>0</v>
      </c>
      <c r="AB37">
        <f t="shared" si="43"/>
        <v>0</v>
      </c>
      <c r="AC37">
        <f t="shared" si="43"/>
        <v>0</v>
      </c>
      <c r="AD37">
        <f t="shared" si="43"/>
        <v>0</v>
      </c>
      <c r="AE37">
        <f t="shared" si="43"/>
        <v>0</v>
      </c>
      <c r="AF37">
        <f t="shared" si="43"/>
        <v>0</v>
      </c>
      <c r="AG37">
        <f t="shared" si="43"/>
        <v>0</v>
      </c>
      <c r="AH37">
        <f t="shared" si="43"/>
        <v>0</v>
      </c>
      <c r="AI37">
        <f t="shared" ref="AI37:AY37" si="44">(AI$13+AI$14)/(AI$3+AI$4)*AI$10*AI23</f>
        <v>0</v>
      </c>
      <c r="AJ37">
        <f t="shared" si="44"/>
        <v>0</v>
      </c>
      <c r="AK37">
        <f t="shared" si="44"/>
        <v>0</v>
      </c>
      <c r="AL37">
        <f t="shared" si="44"/>
        <v>0</v>
      </c>
      <c r="AM37">
        <f t="shared" si="44"/>
        <v>0</v>
      </c>
      <c r="AN37">
        <f t="shared" si="44"/>
        <v>0</v>
      </c>
      <c r="AO37">
        <f t="shared" si="44"/>
        <v>0</v>
      </c>
      <c r="AP37">
        <f t="shared" si="44"/>
        <v>0</v>
      </c>
      <c r="AQ37">
        <f t="shared" si="44"/>
        <v>0</v>
      </c>
      <c r="AR37">
        <f t="shared" si="44"/>
        <v>0</v>
      </c>
      <c r="AS37">
        <f t="shared" si="44"/>
        <v>0</v>
      </c>
      <c r="AT37">
        <f t="shared" si="44"/>
        <v>0</v>
      </c>
      <c r="AU37">
        <f t="shared" si="44"/>
        <v>0</v>
      </c>
      <c r="AV37">
        <f t="shared" si="44"/>
        <v>0</v>
      </c>
      <c r="AW37">
        <f t="shared" si="44"/>
        <v>0</v>
      </c>
      <c r="AX37">
        <f t="shared" si="44"/>
        <v>0</v>
      </c>
      <c r="AY37">
        <f t="shared" si="44"/>
        <v>0</v>
      </c>
    </row>
    <row r="38" spans="1:51" x14ac:dyDescent="0.25">
      <c r="A38" s="48" t="s">
        <v>169</v>
      </c>
      <c r="B38" s="49">
        <f t="shared" ref="B38:B48" si="45">SUM(C38:AY38)</f>
        <v>347.48107418421142</v>
      </c>
      <c r="C38">
        <f t="shared" ref="C38:AH38" si="46">(C$13+C$14)/(C$3+C$4)*C$10*C24</f>
        <v>0</v>
      </c>
      <c r="D38">
        <f t="shared" si="46"/>
        <v>1.74282745879017</v>
      </c>
      <c r="E38">
        <f t="shared" si="46"/>
        <v>1.6085235506755156</v>
      </c>
      <c r="F38">
        <f t="shared" si="46"/>
        <v>0</v>
      </c>
      <c r="G38">
        <f t="shared" si="46"/>
        <v>4.2531894821649834</v>
      </c>
      <c r="H38">
        <f t="shared" si="46"/>
        <v>2.7148327827089296</v>
      </c>
      <c r="I38">
        <f t="shared" si="46"/>
        <v>2.5963749014053294</v>
      </c>
      <c r="J38">
        <f t="shared" si="46"/>
        <v>2.4800860108658549</v>
      </c>
      <c r="K38">
        <f t="shared" si="46"/>
        <v>8.2808813888167698</v>
      </c>
      <c r="L38">
        <f t="shared" si="46"/>
        <v>10.143068409356772</v>
      </c>
      <c r="M38">
        <f t="shared" si="46"/>
        <v>15.009632986825293</v>
      </c>
      <c r="N38">
        <f t="shared" si="46"/>
        <v>16.292962850793696</v>
      </c>
      <c r="O38">
        <f t="shared" si="46"/>
        <v>18.178552593110112</v>
      </c>
      <c r="P38">
        <f t="shared" si="46"/>
        <v>26.910358554682386</v>
      </c>
      <c r="Q38">
        <f t="shared" si="46"/>
        <v>40.274316277600917</v>
      </c>
      <c r="R38">
        <f t="shared" si="46"/>
        <v>71.241610242983484</v>
      </c>
      <c r="S38">
        <f t="shared" si="46"/>
        <v>59.736319234166345</v>
      </c>
      <c r="T38">
        <f t="shared" si="46"/>
        <v>16.897470905282937</v>
      </c>
      <c r="U38">
        <f t="shared" si="46"/>
        <v>12.50192505072042</v>
      </c>
      <c r="V38">
        <f t="shared" si="46"/>
        <v>14.40209867379372</v>
      </c>
      <c r="W38">
        <f t="shared" si="46"/>
        <v>8.990652630794516</v>
      </c>
      <c r="X38">
        <f t="shared" si="46"/>
        <v>5.1916962930109403</v>
      </c>
      <c r="Y38">
        <f t="shared" si="46"/>
        <v>2.9281375315695066</v>
      </c>
      <c r="Z38">
        <f t="shared" si="46"/>
        <v>2.2071650015741708</v>
      </c>
      <c r="AA38">
        <f t="shared" si="46"/>
        <v>0.96191641830734131</v>
      </c>
      <c r="AB38">
        <f t="shared" si="46"/>
        <v>1.9364749542113004</v>
      </c>
      <c r="AC38">
        <f t="shared" si="46"/>
        <v>0</v>
      </c>
      <c r="AD38">
        <f t="shared" si="46"/>
        <v>0</v>
      </c>
      <c r="AE38">
        <f t="shared" si="46"/>
        <v>0</v>
      </c>
      <c r="AF38">
        <f t="shared" si="46"/>
        <v>0</v>
      </c>
      <c r="AG38">
        <f t="shared" si="46"/>
        <v>0</v>
      </c>
      <c r="AH38">
        <f t="shared" si="46"/>
        <v>0</v>
      </c>
      <c r="AI38">
        <f t="shared" ref="AI38:AY38" si="47">(AI$13+AI$14)/(AI$3+AI$4)*AI$10*AI24</f>
        <v>0</v>
      </c>
      <c r="AJ38">
        <f t="shared" si="47"/>
        <v>0</v>
      </c>
      <c r="AK38">
        <f t="shared" si="47"/>
        <v>0</v>
      </c>
      <c r="AL38">
        <f t="shared" si="47"/>
        <v>0</v>
      </c>
      <c r="AM38">
        <f t="shared" si="47"/>
        <v>0</v>
      </c>
      <c r="AN38">
        <f t="shared" si="47"/>
        <v>0</v>
      </c>
      <c r="AO38">
        <f t="shared" si="47"/>
        <v>0</v>
      </c>
      <c r="AP38">
        <f t="shared" si="47"/>
        <v>0</v>
      </c>
      <c r="AQ38">
        <f t="shared" si="47"/>
        <v>0</v>
      </c>
      <c r="AR38">
        <f t="shared" si="47"/>
        <v>0</v>
      </c>
      <c r="AS38">
        <f t="shared" si="47"/>
        <v>0</v>
      </c>
      <c r="AT38">
        <f t="shared" si="47"/>
        <v>0</v>
      </c>
      <c r="AU38">
        <f t="shared" si="47"/>
        <v>0</v>
      </c>
      <c r="AV38">
        <f t="shared" si="47"/>
        <v>0</v>
      </c>
      <c r="AW38">
        <f t="shared" si="47"/>
        <v>0</v>
      </c>
      <c r="AX38">
        <f t="shared" si="47"/>
        <v>0</v>
      </c>
      <c r="AY38">
        <f t="shared" si="47"/>
        <v>0</v>
      </c>
    </row>
    <row r="39" spans="1:51" x14ac:dyDescent="0.25">
      <c r="A39" s="48" t="s">
        <v>170</v>
      </c>
      <c r="B39" s="49">
        <f t="shared" si="45"/>
        <v>237.73492533704095</v>
      </c>
      <c r="C39">
        <f t="shared" ref="C39:AH39" si="48">(C$13+C$14)/(C$3+C$4)*C$10*C25</f>
        <v>0</v>
      </c>
      <c r="D39">
        <f t="shared" si="48"/>
        <v>0</v>
      </c>
      <c r="E39">
        <f t="shared" si="48"/>
        <v>0</v>
      </c>
      <c r="F39">
        <f t="shared" si="48"/>
        <v>0</v>
      </c>
      <c r="G39">
        <f t="shared" si="48"/>
        <v>0</v>
      </c>
      <c r="H39">
        <f t="shared" si="48"/>
        <v>0</v>
      </c>
      <c r="I39">
        <f t="shared" si="48"/>
        <v>0</v>
      </c>
      <c r="J39">
        <f t="shared" si="48"/>
        <v>0</v>
      </c>
      <c r="K39">
        <f t="shared" si="48"/>
        <v>0</v>
      </c>
      <c r="L39">
        <f t="shared" si="48"/>
        <v>0</v>
      </c>
      <c r="M39">
        <f t="shared" si="48"/>
        <v>0</v>
      </c>
      <c r="N39">
        <f t="shared" si="48"/>
        <v>0</v>
      </c>
      <c r="O39">
        <f t="shared" si="48"/>
        <v>1.9135318519063276</v>
      </c>
      <c r="P39">
        <f t="shared" si="48"/>
        <v>8.0731075664047154</v>
      </c>
      <c r="Q39">
        <f t="shared" si="48"/>
        <v>5.0342895347001146</v>
      </c>
      <c r="R39">
        <f t="shared" si="48"/>
        <v>7.8287483783498333</v>
      </c>
      <c r="S39">
        <f t="shared" si="48"/>
        <v>10.927375469664575</v>
      </c>
      <c r="T39">
        <f t="shared" si="48"/>
        <v>29.06364995708665</v>
      </c>
      <c r="U39">
        <f t="shared" si="48"/>
        <v>35.630486394553195</v>
      </c>
      <c r="V39">
        <f t="shared" si="48"/>
        <v>17.282518408552463</v>
      </c>
      <c r="W39">
        <f t="shared" si="48"/>
        <v>30.145129409134551</v>
      </c>
      <c r="X39">
        <f t="shared" si="48"/>
        <v>25.014536684507256</v>
      </c>
      <c r="Y39">
        <f t="shared" si="48"/>
        <v>19.660351997680973</v>
      </c>
      <c r="Z39">
        <f t="shared" si="48"/>
        <v>15.082294177423499</v>
      </c>
      <c r="AA39">
        <f t="shared" si="48"/>
        <v>11.542997019688096</v>
      </c>
      <c r="AB39">
        <f t="shared" si="48"/>
        <v>7.4692605376721595</v>
      </c>
      <c r="AC39">
        <f t="shared" si="48"/>
        <v>6.37669063343243</v>
      </c>
      <c r="AD39">
        <f t="shared" si="48"/>
        <v>2.5895596448519722</v>
      </c>
      <c r="AE39">
        <f t="shared" si="48"/>
        <v>2.4453826154858818</v>
      </c>
      <c r="AF39">
        <f t="shared" si="48"/>
        <v>0.81025517050667517</v>
      </c>
      <c r="AG39">
        <f t="shared" si="48"/>
        <v>0.27501739285935306</v>
      </c>
      <c r="AH39">
        <f t="shared" si="48"/>
        <v>0.56974249258025145</v>
      </c>
      <c r="AI39">
        <f t="shared" ref="AI39:AY39" si="49">(AI$13+AI$14)/(AI$3+AI$4)*AI$10*AI25</f>
        <v>0</v>
      </c>
      <c r="AJ39">
        <f t="shared" si="49"/>
        <v>0</v>
      </c>
      <c r="AK39">
        <f t="shared" si="49"/>
        <v>0</v>
      </c>
      <c r="AL39">
        <f t="shared" si="49"/>
        <v>0</v>
      </c>
      <c r="AM39">
        <f t="shared" si="49"/>
        <v>0</v>
      </c>
      <c r="AN39">
        <f t="shared" si="49"/>
        <v>0</v>
      </c>
      <c r="AO39">
        <f t="shared" si="49"/>
        <v>0</v>
      </c>
      <c r="AP39">
        <f t="shared" si="49"/>
        <v>0</v>
      </c>
      <c r="AQ39">
        <f t="shared" si="49"/>
        <v>0</v>
      </c>
      <c r="AR39">
        <f t="shared" si="49"/>
        <v>0</v>
      </c>
      <c r="AS39">
        <f t="shared" si="49"/>
        <v>0</v>
      </c>
      <c r="AT39">
        <f t="shared" si="49"/>
        <v>0</v>
      </c>
      <c r="AU39">
        <f t="shared" si="49"/>
        <v>0</v>
      </c>
      <c r="AV39">
        <f t="shared" si="49"/>
        <v>0</v>
      </c>
      <c r="AW39">
        <f t="shared" si="49"/>
        <v>0</v>
      </c>
      <c r="AX39">
        <f t="shared" si="49"/>
        <v>0</v>
      </c>
      <c r="AY39">
        <f t="shared" si="49"/>
        <v>0</v>
      </c>
    </row>
    <row r="40" spans="1:51" x14ac:dyDescent="0.25">
      <c r="A40" s="48" t="s">
        <v>171</v>
      </c>
      <c r="B40" s="49">
        <f t="shared" si="45"/>
        <v>124.93707758000308</v>
      </c>
      <c r="C40">
        <f t="shared" ref="C40:AH40" si="50">(C$13+C$14)/(C$3+C$4)*C$10*C26</f>
        <v>0</v>
      </c>
      <c r="D40">
        <f t="shared" si="50"/>
        <v>0</v>
      </c>
      <c r="E40">
        <f t="shared" si="50"/>
        <v>0</v>
      </c>
      <c r="F40">
        <f t="shared" si="50"/>
        <v>0</v>
      </c>
      <c r="G40">
        <f t="shared" si="50"/>
        <v>0</v>
      </c>
      <c r="H40">
        <f t="shared" si="50"/>
        <v>0</v>
      </c>
      <c r="I40">
        <f t="shared" si="50"/>
        <v>0</v>
      </c>
      <c r="J40">
        <f t="shared" si="50"/>
        <v>0</v>
      </c>
      <c r="K40">
        <f t="shared" si="50"/>
        <v>0</v>
      </c>
      <c r="L40">
        <f t="shared" si="50"/>
        <v>0</v>
      </c>
      <c r="M40">
        <f t="shared" si="50"/>
        <v>0</v>
      </c>
      <c r="N40">
        <f t="shared" si="50"/>
        <v>0</v>
      </c>
      <c r="O40">
        <f t="shared" si="50"/>
        <v>0</v>
      </c>
      <c r="P40">
        <f t="shared" si="50"/>
        <v>0</v>
      </c>
      <c r="Q40">
        <f t="shared" si="50"/>
        <v>0</v>
      </c>
      <c r="R40">
        <f t="shared" si="50"/>
        <v>0</v>
      </c>
      <c r="S40">
        <f t="shared" si="50"/>
        <v>0</v>
      </c>
      <c r="T40">
        <f t="shared" si="50"/>
        <v>3.3794941810565868</v>
      </c>
      <c r="U40">
        <f t="shared" si="50"/>
        <v>5.0007700202881677</v>
      </c>
      <c r="V40">
        <f t="shared" si="50"/>
        <v>11.521678939034976</v>
      </c>
      <c r="W40">
        <f t="shared" si="50"/>
        <v>10.577238389170018</v>
      </c>
      <c r="X40">
        <f t="shared" si="50"/>
        <v>12.74325453739049</v>
      </c>
      <c r="Y40">
        <f t="shared" si="50"/>
        <v>11.294244764625239</v>
      </c>
      <c r="Z40">
        <f t="shared" si="50"/>
        <v>10.667964174275157</v>
      </c>
      <c r="AA40">
        <f t="shared" si="50"/>
        <v>11.542997019688096</v>
      </c>
      <c r="AB40">
        <f t="shared" si="50"/>
        <v>9.9590140502295448</v>
      </c>
      <c r="AC40">
        <f t="shared" si="50"/>
        <v>8.5840066219282711</v>
      </c>
      <c r="AD40">
        <f t="shared" si="50"/>
        <v>11.005628490620881</v>
      </c>
      <c r="AE40">
        <f t="shared" si="50"/>
        <v>5.0788715860091393</v>
      </c>
      <c r="AF40">
        <f t="shared" si="50"/>
        <v>5.1856330912427211</v>
      </c>
      <c r="AG40">
        <f t="shared" si="50"/>
        <v>3.1627000178825604</v>
      </c>
      <c r="AH40">
        <f t="shared" si="50"/>
        <v>1.5952789792247042</v>
      </c>
      <c r="AI40">
        <f t="shared" ref="AI40:AY40" si="51">(AI$13+AI$14)/(AI$3+AI$4)*AI$10*AI26</f>
        <v>1.6532664482056623</v>
      </c>
      <c r="AJ40">
        <f t="shared" si="51"/>
        <v>0.56885085037510452</v>
      </c>
      <c r="AK40">
        <f t="shared" si="51"/>
        <v>0.46646201118885561</v>
      </c>
      <c r="AL40">
        <f t="shared" si="51"/>
        <v>0.67192995848124715</v>
      </c>
      <c r="AM40">
        <f t="shared" si="51"/>
        <v>0.27779344908568138</v>
      </c>
      <c r="AN40">
        <f t="shared" si="51"/>
        <v>0</v>
      </c>
      <c r="AO40">
        <f t="shared" si="51"/>
        <v>0</v>
      </c>
      <c r="AP40">
        <f t="shared" si="51"/>
        <v>0</v>
      </c>
      <c r="AQ40">
        <f t="shared" si="51"/>
        <v>0</v>
      </c>
      <c r="AR40">
        <f t="shared" si="51"/>
        <v>0</v>
      </c>
      <c r="AS40">
        <f t="shared" si="51"/>
        <v>0</v>
      </c>
      <c r="AT40">
        <f t="shared" si="51"/>
        <v>0</v>
      </c>
      <c r="AU40">
        <f t="shared" si="51"/>
        <v>0</v>
      </c>
      <c r="AV40">
        <f t="shared" si="51"/>
        <v>0</v>
      </c>
      <c r="AW40">
        <f t="shared" si="51"/>
        <v>0</v>
      </c>
      <c r="AX40">
        <f t="shared" si="51"/>
        <v>0</v>
      </c>
      <c r="AY40">
        <f t="shared" si="51"/>
        <v>0</v>
      </c>
    </row>
    <row r="41" spans="1:51" x14ac:dyDescent="0.25">
      <c r="A41" s="48" t="s">
        <v>172</v>
      </c>
      <c r="B41" s="49">
        <f t="shared" si="45"/>
        <v>52.354663781022779</v>
      </c>
      <c r="C41">
        <f t="shared" ref="C41:AH41" si="52">(C$13+C$14)/(C$3+C$4)*C$10*C27</f>
        <v>0</v>
      </c>
      <c r="D41">
        <f t="shared" si="52"/>
        <v>0</v>
      </c>
      <c r="E41">
        <f t="shared" si="52"/>
        <v>0</v>
      </c>
      <c r="F41">
        <f t="shared" si="52"/>
        <v>0</v>
      </c>
      <c r="G41">
        <f t="shared" si="52"/>
        <v>0</v>
      </c>
      <c r="H41">
        <f t="shared" si="52"/>
        <v>0</v>
      </c>
      <c r="I41">
        <f t="shared" si="52"/>
        <v>0</v>
      </c>
      <c r="J41">
        <f t="shared" si="52"/>
        <v>0</v>
      </c>
      <c r="K41">
        <f t="shared" si="52"/>
        <v>0</v>
      </c>
      <c r="L41">
        <f t="shared" si="52"/>
        <v>0</v>
      </c>
      <c r="M41">
        <f t="shared" si="52"/>
        <v>0</v>
      </c>
      <c r="N41">
        <f t="shared" si="52"/>
        <v>0</v>
      </c>
      <c r="O41">
        <f t="shared" si="52"/>
        <v>0</v>
      </c>
      <c r="P41">
        <f t="shared" si="52"/>
        <v>0</v>
      </c>
      <c r="Q41">
        <f t="shared" si="52"/>
        <v>0</v>
      </c>
      <c r="R41">
        <f t="shared" si="52"/>
        <v>0</v>
      </c>
      <c r="S41">
        <f t="shared" si="52"/>
        <v>0</v>
      </c>
      <c r="T41">
        <f t="shared" si="52"/>
        <v>0</v>
      </c>
      <c r="U41">
        <f t="shared" si="52"/>
        <v>0</v>
      </c>
      <c r="V41">
        <f t="shared" si="52"/>
        <v>0</v>
      </c>
      <c r="W41">
        <f t="shared" si="52"/>
        <v>0</v>
      </c>
      <c r="X41">
        <f t="shared" si="52"/>
        <v>1.4159171708211655</v>
      </c>
      <c r="Y41">
        <f t="shared" si="52"/>
        <v>2.5098321699167201</v>
      </c>
      <c r="Z41">
        <f t="shared" si="52"/>
        <v>4.0464691695526458</v>
      </c>
      <c r="AA41">
        <f t="shared" si="52"/>
        <v>1.9238328366146826</v>
      </c>
      <c r="AB41">
        <f t="shared" si="52"/>
        <v>2.2131142333843434</v>
      </c>
      <c r="AC41">
        <f t="shared" si="52"/>
        <v>5.3956613052120561</v>
      </c>
      <c r="AD41">
        <f t="shared" si="52"/>
        <v>5.3949159267749414</v>
      </c>
      <c r="AE41">
        <f t="shared" si="52"/>
        <v>4.5145525208970128</v>
      </c>
      <c r="AF41">
        <f t="shared" si="52"/>
        <v>3.5651227502293708</v>
      </c>
      <c r="AG41">
        <f t="shared" si="52"/>
        <v>5.2253304643277083</v>
      </c>
      <c r="AH41">
        <f t="shared" si="52"/>
        <v>5.0137339347062131</v>
      </c>
      <c r="AI41">
        <f t="shared" ref="AI41:AY41" si="53">(AI$13+AI$14)/(AI$3+AI$4)*AI$10*AI27</f>
        <v>3.2146847603998987</v>
      </c>
      <c r="AJ41">
        <f t="shared" si="53"/>
        <v>3.7686368837350677</v>
      </c>
      <c r="AK41">
        <f t="shared" si="53"/>
        <v>2.3841391682985953</v>
      </c>
      <c r="AL41">
        <f t="shared" si="53"/>
        <v>1.3438599169624943</v>
      </c>
      <c r="AM41">
        <f t="shared" si="53"/>
        <v>0.42486056918986559</v>
      </c>
      <c r="AN41">
        <f t="shared" si="53"/>
        <v>0</v>
      </c>
      <c r="AO41">
        <f t="shared" si="53"/>
        <v>0</v>
      </c>
      <c r="AP41">
        <f t="shared" si="53"/>
        <v>0</v>
      </c>
      <c r="AQ41">
        <f t="shared" si="53"/>
        <v>0</v>
      </c>
      <c r="AR41">
        <f t="shared" si="53"/>
        <v>0</v>
      </c>
      <c r="AS41">
        <f t="shared" si="53"/>
        <v>0</v>
      </c>
      <c r="AT41">
        <f t="shared" si="53"/>
        <v>0</v>
      </c>
      <c r="AU41">
        <f t="shared" si="53"/>
        <v>0</v>
      </c>
      <c r="AV41">
        <f t="shared" si="53"/>
        <v>0</v>
      </c>
      <c r="AW41">
        <f t="shared" si="53"/>
        <v>0</v>
      </c>
      <c r="AX41">
        <f t="shared" si="53"/>
        <v>0</v>
      </c>
      <c r="AY41">
        <f t="shared" si="53"/>
        <v>0</v>
      </c>
    </row>
    <row r="42" spans="1:51" x14ac:dyDescent="0.25">
      <c r="A42" s="48" t="s">
        <v>173</v>
      </c>
      <c r="B42" s="49">
        <f t="shared" si="45"/>
        <v>31.283430870968285</v>
      </c>
      <c r="C42">
        <f t="shared" ref="C42:AH42" si="54">(C$13+C$14)/(C$3+C$4)*C$10*C28</f>
        <v>0</v>
      </c>
      <c r="D42">
        <f t="shared" si="54"/>
        <v>0</v>
      </c>
      <c r="E42">
        <f t="shared" si="54"/>
        <v>0</v>
      </c>
      <c r="F42">
        <f t="shared" si="54"/>
        <v>0</v>
      </c>
      <c r="G42">
        <f t="shared" si="54"/>
        <v>0</v>
      </c>
      <c r="H42">
        <f t="shared" si="54"/>
        <v>0</v>
      </c>
      <c r="I42">
        <f t="shared" si="54"/>
        <v>0</v>
      </c>
      <c r="J42">
        <f t="shared" si="54"/>
        <v>0</v>
      </c>
      <c r="K42">
        <f t="shared" si="54"/>
        <v>0</v>
      </c>
      <c r="L42">
        <f t="shared" si="54"/>
        <v>0</v>
      </c>
      <c r="M42">
        <f t="shared" si="54"/>
        <v>0</v>
      </c>
      <c r="N42">
        <f t="shared" si="54"/>
        <v>0</v>
      </c>
      <c r="O42">
        <f t="shared" si="54"/>
        <v>0</v>
      </c>
      <c r="P42">
        <f t="shared" si="54"/>
        <v>0</v>
      </c>
      <c r="Q42">
        <f t="shared" si="54"/>
        <v>0</v>
      </c>
      <c r="R42">
        <f t="shared" si="54"/>
        <v>0</v>
      </c>
      <c r="S42">
        <f t="shared" si="54"/>
        <v>0</v>
      </c>
      <c r="T42">
        <f t="shared" si="54"/>
        <v>0</v>
      </c>
      <c r="U42">
        <f t="shared" si="54"/>
        <v>0</v>
      </c>
      <c r="V42">
        <f t="shared" si="54"/>
        <v>0</v>
      </c>
      <c r="W42">
        <f t="shared" si="54"/>
        <v>0</v>
      </c>
      <c r="X42">
        <f t="shared" si="54"/>
        <v>0</v>
      </c>
      <c r="Y42">
        <f t="shared" si="54"/>
        <v>0</v>
      </c>
      <c r="Z42">
        <f t="shared" si="54"/>
        <v>0</v>
      </c>
      <c r="AA42">
        <f t="shared" si="54"/>
        <v>0</v>
      </c>
      <c r="AB42">
        <f t="shared" si="54"/>
        <v>0.55327855834608586</v>
      </c>
      <c r="AC42">
        <f t="shared" si="54"/>
        <v>0.4905146641101869</v>
      </c>
      <c r="AD42">
        <f t="shared" si="54"/>
        <v>1.7263730965679813</v>
      </c>
      <c r="AE42">
        <f t="shared" si="54"/>
        <v>4.7026588759343877</v>
      </c>
      <c r="AF42">
        <f t="shared" si="54"/>
        <v>7.4543475686614116</v>
      </c>
      <c r="AG42">
        <f t="shared" si="54"/>
        <v>3.5752261071715896</v>
      </c>
      <c r="AH42">
        <f t="shared" si="54"/>
        <v>3.1905579584494084</v>
      </c>
      <c r="AI42">
        <f t="shared" ref="AI42:AY42" si="55">(AI$13+AI$14)/(AI$3+AI$4)*AI$10*AI28</f>
        <v>3.1228366243884729</v>
      </c>
      <c r="AJ42">
        <f t="shared" si="55"/>
        <v>3.1286796770630749</v>
      </c>
      <c r="AK42">
        <f t="shared" si="55"/>
        <v>1.5030442582752013</v>
      </c>
      <c r="AL42">
        <f t="shared" si="55"/>
        <v>1.4110529128106191</v>
      </c>
      <c r="AM42">
        <f t="shared" si="55"/>
        <v>0.42486056918986559</v>
      </c>
      <c r="AN42">
        <f t="shared" si="55"/>
        <v>0</v>
      </c>
      <c r="AO42">
        <f t="shared" si="55"/>
        <v>0</v>
      </c>
      <c r="AP42">
        <f t="shared" si="55"/>
        <v>0</v>
      </c>
      <c r="AQ42">
        <f t="shared" si="55"/>
        <v>0</v>
      </c>
      <c r="AR42">
        <f t="shared" si="55"/>
        <v>0</v>
      </c>
      <c r="AS42">
        <f t="shared" si="55"/>
        <v>0</v>
      </c>
      <c r="AT42">
        <f t="shared" si="55"/>
        <v>0</v>
      </c>
      <c r="AU42">
        <f t="shared" si="55"/>
        <v>0</v>
      </c>
      <c r="AV42">
        <f t="shared" si="55"/>
        <v>0</v>
      </c>
      <c r="AW42">
        <f t="shared" si="55"/>
        <v>0</v>
      </c>
      <c r="AX42">
        <f t="shared" si="55"/>
        <v>0</v>
      </c>
      <c r="AY42">
        <f t="shared" si="55"/>
        <v>0</v>
      </c>
    </row>
    <row r="43" spans="1:51" x14ac:dyDescent="0.25">
      <c r="A43" s="48" t="s">
        <v>174</v>
      </c>
      <c r="B43" s="49">
        <f t="shared" si="45"/>
        <v>19.786873929922013</v>
      </c>
      <c r="C43">
        <f t="shared" ref="C43:AH43" si="56">(C$13+C$14)/(C$3+C$4)*C$10*C29</f>
        <v>0</v>
      </c>
      <c r="D43">
        <f t="shared" si="56"/>
        <v>0</v>
      </c>
      <c r="E43">
        <f t="shared" si="56"/>
        <v>0</v>
      </c>
      <c r="F43">
        <f t="shared" si="56"/>
        <v>0</v>
      </c>
      <c r="G43">
        <f t="shared" si="56"/>
        <v>0</v>
      </c>
      <c r="H43">
        <f t="shared" si="56"/>
        <v>0</v>
      </c>
      <c r="I43">
        <f t="shared" si="56"/>
        <v>0</v>
      </c>
      <c r="J43">
        <f t="shared" si="56"/>
        <v>0</v>
      </c>
      <c r="K43">
        <f t="shared" si="56"/>
        <v>0</v>
      </c>
      <c r="L43">
        <f t="shared" si="56"/>
        <v>0</v>
      </c>
      <c r="M43">
        <f t="shared" si="56"/>
        <v>0</v>
      </c>
      <c r="N43">
        <f t="shared" si="56"/>
        <v>0</v>
      </c>
      <c r="O43">
        <f t="shared" si="56"/>
        <v>0</v>
      </c>
      <c r="P43">
        <f t="shared" si="56"/>
        <v>0</v>
      </c>
      <c r="Q43">
        <f t="shared" si="56"/>
        <v>0</v>
      </c>
      <c r="R43">
        <f t="shared" si="56"/>
        <v>0</v>
      </c>
      <c r="S43">
        <f t="shared" si="56"/>
        <v>0</v>
      </c>
      <c r="T43">
        <f t="shared" si="56"/>
        <v>0</v>
      </c>
      <c r="U43">
        <f t="shared" si="56"/>
        <v>0</v>
      </c>
      <c r="V43">
        <f t="shared" si="56"/>
        <v>0</v>
      </c>
      <c r="W43">
        <f t="shared" si="56"/>
        <v>0</v>
      </c>
      <c r="X43">
        <f t="shared" si="56"/>
        <v>0</v>
      </c>
      <c r="Y43">
        <f t="shared" si="56"/>
        <v>0</v>
      </c>
      <c r="Z43">
        <f t="shared" si="56"/>
        <v>0</v>
      </c>
      <c r="AA43">
        <f t="shared" si="56"/>
        <v>0</v>
      </c>
      <c r="AB43">
        <f t="shared" si="56"/>
        <v>0</v>
      </c>
      <c r="AC43">
        <f t="shared" si="56"/>
        <v>0.73577199616528033</v>
      </c>
      <c r="AD43">
        <f t="shared" si="56"/>
        <v>1.7263730965679813</v>
      </c>
      <c r="AE43">
        <f t="shared" si="56"/>
        <v>1.3167444852616286</v>
      </c>
      <c r="AF43">
        <f t="shared" si="56"/>
        <v>2.4307655115200255</v>
      </c>
      <c r="AG43">
        <f t="shared" si="56"/>
        <v>2.8876826250232073</v>
      </c>
      <c r="AH43">
        <f t="shared" si="56"/>
        <v>1.4813304807086538</v>
      </c>
      <c r="AI43">
        <f t="shared" ref="AI43:AY43" si="57">(AI$13+AI$14)/(AI$3+AI$4)*AI$10*AI29</f>
        <v>2.4798996723084934</v>
      </c>
      <c r="AJ43">
        <f t="shared" si="57"/>
        <v>2.6309351829848584</v>
      </c>
      <c r="AK43">
        <f t="shared" si="57"/>
        <v>2.3323100559442778</v>
      </c>
      <c r="AL43">
        <f t="shared" si="57"/>
        <v>1.209473925266245</v>
      </c>
      <c r="AM43">
        <f t="shared" si="57"/>
        <v>0.55558689817136275</v>
      </c>
      <c r="AN43">
        <f t="shared" si="57"/>
        <v>0</v>
      </c>
      <c r="AO43">
        <f t="shared" si="57"/>
        <v>0</v>
      </c>
      <c r="AP43">
        <f t="shared" si="57"/>
        <v>0</v>
      </c>
      <c r="AQ43">
        <f t="shared" si="57"/>
        <v>0</v>
      </c>
      <c r="AR43">
        <f t="shared" si="57"/>
        <v>0</v>
      </c>
      <c r="AS43">
        <f t="shared" si="57"/>
        <v>0</v>
      </c>
      <c r="AT43">
        <f t="shared" si="57"/>
        <v>0</v>
      </c>
      <c r="AU43">
        <f t="shared" si="57"/>
        <v>0</v>
      </c>
      <c r="AV43">
        <f t="shared" si="57"/>
        <v>0</v>
      </c>
      <c r="AW43">
        <f t="shared" si="57"/>
        <v>0</v>
      </c>
      <c r="AX43">
        <f t="shared" si="57"/>
        <v>0</v>
      </c>
      <c r="AY43">
        <f t="shared" si="57"/>
        <v>0</v>
      </c>
    </row>
    <row r="44" spans="1:51" x14ac:dyDescent="0.25">
      <c r="A44" s="48" t="s">
        <v>175</v>
      </c>
      <c r="B44" s="49">
        <f t="shared" si="45"/>
        <v>17.572576171272996</v>
      </c>
      <c r="C44">
        <f t="shared" ref="C44:AH44" si="58">(C$13+C$14)/(C$3+C$4)*C$10*C30</f>
        <v>0</v>
      </c>
      <c r="D44">
        <f t="shared" si="58"/>
        <v>0</v>
      </c>
      <c r="E44">
        <f t="shared" si="58"/>
        <v>0</v>
      </c>
      <c r="F44">
        <f t="shared" si="58"/>
        <v>0</v>
      </c>
      <c r="G44">
        <f t="shared" si="58"/>
        <v>0</v>
      </c>
      <c r="H44">
        <f t="shared" si="58"/>
        <v>0</v>
      </c>
      <c r="I44">
        <f t="shared" si="58"/>
        <v>0</v>
      </c>
      <c r="J44">
        <f t="shared" si="58"/>
        <v>0</v>
      </c>
      <c r="K44">
        <f t="shared" si="58"/>
        <v>0</v>
      </c>
      <c r="L44">
        <f t="shared" si="58"/>
        <v>0</v>
      </c>
      <c r="M44">
        <f t="shared" si="58"/>
        <v>0</v>
      </c>
      <c r="N44">
        <f t="shared" si="58"/>
        <v>0</v>
      </c>
      <c r="O44">
        <f t="shared" si="58"/>
        <v>0</v>
      </c>
      <c r="P44">
        <f t="shared" si="58"/>
        <v>0</v>
      </c>
      <c r="Q44">
        <f t="shared" si="58"/>
        <v>0</v>
      </c>
      <c r="R44">
        <f t="shared" si="58"/>
        <v>0</v>
      </c>
      <c r="S44">
        <f t="shared" si="58"/>
        <v>0</v>
      </c>
      <c r="T44">
        <f t="shared" si="58"/>
        <v>0</v>
      </c>
      <c r="U44">
        <f t="shared" si="58"/>
        <v>0</v>
      </c>
      <c r="V44">
        <f t="shared" si="58"/>
        <v>0</v>
      </c>
      <c r="W44">
        <f t="shared" si="58"/>
        <v>0</v>
      </c>
      <c r="X44">
        <f t="shared" si="58"/>
        <v>0</v>
      </c>
      <c r="Y44">
        <f t="shared" si="58"/>
        <v>0</v>
      </c>
      <c r="Z44">
        <f t="shared" si="58"/>
        <v>0</v>
      </c>
      <c r="AA44">
        <f t="shared" si="58"/>
        <v>0</v>
      </c>
      <c r="AB44">
        <f t="shared" si="58"/>
        <v>0</v>
      </c>
      <c r="AC44">
        <f t="shared" si="58"/>
        <v>0</v>
      </c>
      <c r="AD44">
        <f t="shared" si="58"/>
        <v>0</v>
      </c>
      <c r="AE44">
        <f t="shared" si="58"/>
        <v>0.37621271007475104</v>
      </c>
      <c r="AF44">
        <f t="shared" si="58"/>
        <v>1.1343572387093452</v>
      </c>
      <c r="AG44">
        <f t="shared" si="58"/>
        <v>1.6501043571561183</v>
      </c>
      <c r="AH44">
        <f t="shared" si="58"/>
        <v>3.8742489495457102</v>
      </c>
      <c r="AI44">
        <f t="shared" ref="AI44:AY44" si="59">(AI$13+AI$14)/(AI$3+AI$4)*AI$10*AI30</f>
        <v>2.6635959443313446</v>
      </c>
      <c r="AJ44">
        <f t="shared" si="59"/>
        <v>2.6309351829848584</v>
      </c>
      <c r="AK44">
        <f t="shared" si="59"/>
        <v>2.2804809435899607</v>
      </c>
      <c r="AL44">
        <f t="shared" si="59"/>
        <v>1.9821933775196792</v>
      </c>
      <c r="AM44">
        <f t="shared" si="59"/>
        <v>0.98044746736122834</v>
      </c>
      <c r="AN44">
        <f t="shared" si="59"/>
        <v>0</v>
      </c>
      <c r="AO44">
        <f t="shared" si="59"/>
        <v>0</v>
      </c>
      <c r="AP44">
        <f t="shared" si="59"/>
        <v>0</v>
      </c>
      <c r="AQ44">
        <f t="shared" si="59"/>
        <v>0</v>
      </c>
      <c r="AR44">
        <f t="shared" si="59"/>
        <v>0</v>
      </c>
      <c r="AS44">
        <f t="shared" si="59"/>
        <v>0</v>
      </c>
      <c r="AT44">
        <f t="shared" si="59"/>
        <v>0</v>
      </c>
      <c r="AU44">
        <f t="shared" si="59"/>
        <v>0</v>
      </c>
      <c r="AV44">
        <f t="shared" si="59"/>
        <v>0</v>
      </c>
      <c r="AW44">
        <f t="shared" si="59"/>
        <v>0</v>
      </c>
      <c r="AX44">
        <f t="shared" si="59"/>
        <v>0</v>
      </c>
      <c r="AY44">
        <f t="shared" si="59"/>
        <v>0</v>
      </c>
    </row>
    <row r="45" spans="1:51" x14ac:dyDescent="0.25">
      <c r="A45" s="48" t="s">
        <v>176</v>
      </c>
      <c r="B45" s="49">
        <f t="shared" si="45"/>
        <v>58.270917763181977</v>
      </c>
      <c r="C45">
        <f t="shared" ref="C45:AH45" si="60">(C$13+C$14)/(C$3+C$4)*C$10*C31</f>
        <v>0</v>
      </c>
      <c r="D45">
        <f t="shared" si="60"/>
        <v>0</v>
      </c>
      <c r="E45">
        <f t="shared" si="60"/>
        <v>0</v>
      </c>
      <c r="F45">
        <f t="shared" si="60"/>
        <v>0</v>
      </c>
      <c r="G45">
        <f t="shared" si="60"/>
        <v>0</v>
      </c>
      <c r="H45">
        <f t="shared" si="60"/>
        <v>0</v>
      </c>
      <c r="I45">
        <f t="shared" si="60"/>
        <v>0</v>
      </c>
      <c r="J45">
        <f t="shared" si="60"/>
        <v>0</v>
      </c>
      <c r="K45">
        <f t="shared" si="60"/>
        <v>0</v>
      </c>
      <c r="L45">
        <f t="shared" si="60"/>
        <v>0</v>
      </c>
      <c r="M45">
        <f t="shared" si="60"/>
        <v>0</v>
      </c>
      <c r="N45">
        <f t="shared" si="60"/>
        <v>0</v>
      </c>
      <c r="O45">
        <f t="shared" si="60"/>
        <v>0</v>
      </c>
      <c r="P45">
        <f t="shared" si="60"/>
        <v>0</v>
      </c>
      <c r="Q45">
        <f t="shared" si="60"/>
        <v>0</v>
      </c>
      <c r="R45">
        <f t="shared" si="60"/>
        <v>0</v>
      </c>
      <c r="S45">
        <f t="shared" si="60"/>
        <v>0</v>
      </c>
      <c r="T45">
        <f t="shared" si="60"/>
        <v>0</v>
      </c>
      <c r="U45">
        <f t="shared" si="60"/>
        <v>0</v>
      </c>
      <c r="V45">
        <f t="shared" si="60"/>
        <v>0</v>
      </c>
      <c r="W45">
        <f t="shared" si="60"/>
        <v>1.0577238389170018</v>
      </c>
      <c r="X45">
        <f t="shared" si="60"/>
        <v>1.8878895610948874</v>
      </c>
      <c r="Y45">
        <f t="shared" si="60"/>
        <v>1.6732214466111466</v>
      </c>
      <c r="Z45">
        <f t="shared" si="60"/>
        <v>3.3107475023612558</v>
      </c>
      <c r="AA45">
        <f t="shared" si="60"/>
        <v>3.2063880610244713</v>
      </c>
      <c r="AB45">
        <f t="shared" si="60"/>
        <v>3.8729499084226009</v>
      </c>
      <c r="AC45">
        <f t="shared" si="60"/>
        <v>5.3956613052120561</v>
      </c>
      <c r="AD45">
        <f t="shared" si="60"/>
        <v>5.826509200916937</v>
      </c>
      <c r="AE45">
        <f t="shared" si="60"/>
        <v>6.3956160712707675</v>
      </c>
      <c r="AF45">
        <f t="shared" si="60"/>
        <v>6.6440923981547364</v>
      </c>
      <c r="AG45">
        <f t="shared" si="60"/>
        <v>5.0878217678980313</v>
      </c>
      <c r="AH45">
        <f t="shared" si="60"/>
        <v>4.102145946577811</v>
      </c>
      <c r="AI45">
        <f t="shared" ref="AI45:AY45" si="61">(AI$13+AI$14)/(AI$3+AI$4)*AI$10*AI31</f>
        <v>3.0309884883770475</v>
      </c>
      <c r="AJ45">
        <f t="shared" si="61"/>
        <v>2.9864669644692987</v>
      </c>
      <c r="AK45">
        <f t="shared" si="61"/>
        <v>2.5914556177158645</v>
      </c>
      <c r="AL45">
        <f t="shared" si="61"/>
        <v>0.90710544394968362</v>
      </c>
      <c r="AM45">
        <f t="shared" si="61"/>
        <v>0.29413424020836848</v>
      </c>
      <c r="AN45">
        <f t="shared" si="61"/>
        <v>0</v>
      </c>
      <c r="AO45">
        <f t="shared" si="61"/>
        <v>0</v>
      </c>
      <c r="AP45">
        <f t="shared" si="61"/>
        <v>0</v>
      </c>
      <c r="AQ45">
        <f t="shared" si="61"/>
        <v>0</v>
      </c>
      <c r="AR45">
        <f t="shared" si="61"/>
        <v>0</v>
      </c>
      <c r="AS45">
        <f t="shared" si="61"/>
        <v>0</v>
      </c>
      <c r="AT45">
        <f t="shared" si="61"/>
        <v>0</v>
      </c>
      <c r="AU45">
        <f t="shared" si="61"/>
        <v>0</v>
      </c>
      <c r="AV45">
        <f t="shared" si="61"/>
        <v>0</v>
      </c>
      <c r="AW45">
        <f t="shared" si="61"/>
        <v>0</v>
      </c>
      <c r="AX45">
        <f t="shared" si="61"/>
        <v>0</v>
      </c>
      <c r="AY45">
        <f t="shared" si="61"/>
        <v>0</v>
      </c>
    </row>
    <row r="46" spans="1:51" x14ac:dyDescent="0.25">
      <c r="A46" s="48" t="s">
        <v>177</v>
      </c>
      <c r="B46" s="49">
        <f t="shared" si="45"/>
        <v>122.71906150664299</v>
      </c>
      <c r="C46">
        <f t="shared" ref="C46:AH46" si="62">(C$13+C$14)/(C$3+C$4)*C$10*C32</f>
        <v>0</v>
      </c>
      <c r="D46">
        <f t="shared" si="62"/>
        <v>0</v>
      </c>
      <c r="E46">
        <f t="shared" si="62"/>
        <v>0</v>
      </c>
      <c r="F46">
        <f t="shared" si="62"/>
        <v>0</v>
      </c>
      <c r="G46">
        <f t="shared" si="62"/>
        <v>0</v>
      </c>
      <c r="H46">
        <f t="shared" si="62"/>
        <v>0</v>
      </c>
      <c r="I46">
        <f t="shared" si="62"/>
        <v>0</v>
      </c>
      <c r="J46">
        <f t="shared" si="62"/>
        <v>0</v>
      </c>
      <c r="K46">
        <f t="shared" si="62"/>
        <v>0</v>
      </c>
      <c r="L46">
        <f t="shared" si="62"/>
        <v>0</v>
      </c>
      <c r="M46">
        <f t="shared" si="62"/>
        <v>0</v>
      </c>
      <c r="N46">
        <f t="shared" si="62"/>
        <v>0</v>
      </c>
      <c r="O46">
        <f t="shared" si="62"/>
        <v>0</v>
      </c>
      <c r="P46">
        <f t="shared" si="62"/>
        <v>0</v>
      </c>
      <c r="Q46">
        <f t="shared" si="62"/>
        <v>0</v>
      </c>
      <c r="R46">
        <f t="shared" si="62"/>
        <v>0</v>
      </c>
      <c r="S46">
        <f t="shared" si="62"/>
        <v>1.4569833959552767</v>
      </c>
      <c r="T46">
        <f t="shared" si="62"/>
        <v>5.4071906896905393</v>
      </c>
      <c r="U46">
        <f t="shared" si="62"/>
        <v>19.377983828616649</v>
      </c>
      <c r="V46">
        <f t="shared" si="62"/>
        <v>6.3369234164692365</v>
      </c>
      <c r="W46">
        <f t="shared" si="62"/>
        <v>13.750409905921025</v>
      </c>
      <c r="X46">
        <f t="shared" si="62"/>
        <v>9.4394478054744368</v>
      </c>
      <c r="Y46">
        <f t="shared" si="62"/>
        <v>10.03932867966688</v>
      </c>
      <c r="Z46">
        <f t="shared" si="62"/>
        <v>7.7250775055095975</v>
      </c>
      <c r="AA46">
        <f t="shared" si="62"/>
        <v>6.7334149281513893</v>
      </c>
      <c r="AB46">
        <f t="shared" si="62"/>
        <v>10.512292608575631</v>
      </c>
      <c r="AC46">
        <f t="shared" si="62"/>
        <v>5.6409186372671494</v>
      </c>
      <c r="AD46">
        <f t="shared" si="62"/>
        <v>4.9633226526329466</v>
      </c>
      <c r="AE46">
        <f t="shared" si="62"/>
        <v>4.3264461658596369</v>
      </c>
      <c r="AF46">
        <f t="shared" si="62"/>
        <v>3.4030717161280357</v>
      </c>
      <c r="AG46">
        <f t="shared" si="62"/>
        <v>3.3002087143122365</v>
      </c>
      <c r="AH46">
        <f t="shared" si="62"/>
        <v>2.7347639643852073</v>
      </c>
      <c r="AI46">
        <f t="shared" ref="AI46:AY46" si="63">(AI$13+AI$14)/(AI$3+AI$4)*AI$10*AI32</f>
        <v>3.3983810324227499</v>
      </c>
      <c r="AJ46">
        <f t="shared" si="63"/>
        <v>1.9909779763128659</v>
      </c>
      <c r="AK46">
        <f t="shared" si="63"/>
        <v>1.2957278088579323</v>
      </c>
      <c r="AL46">
        <f t="shared" si="63"/>
        <v>0.73912295432937181</v>
      </c>
      <c r="AM46">
        <f t="shared" si="63"/>
        <v>0.14706712010418424</v>
      </c>
      <c r="AN46">
        <f t="shared" si="63"/>
        <v>0</v>
      </c>
      <c r="AO46">
        <f t="shared" si="63"/>
        <v>0</v>
      </c>
      <c r="AP46">
        <f t="shared" si="63"/>
        <v>0</v>
      </c>
      <c r="AQ46">
        <f t="shared" si="63"/>
        <v>0</v>
      </c>
      <c r="AR46">
        <f t="shared" si="63"/>
        <v>0</v>
      </c>
      <c r="AS46">
        <f t="shared" si="63"/>
        <v>0</v>
      </c>
      <c r="AT46">
        <f t="shared" si="63"/>
        <v>0</v>
      </c>
      <c r="AU46">
        <f t="shared" si="63"/>
        <v>0</v>
      </c>
      <c r="AV46">
        <f t="shared" si="63"/>
        <v>0</v>
      </c>
      <c r="AW46">
        <f t="shared" si="63"/>
        <v>0</v>
      </c>
      <c r="AX46">
        <f t="shared" si="63"/>
        <v>0</v>
      </c>
      <c r="AY46">
        <f t="shared" si="63"/>
        <v>0</v>
      </c>
    </row>
    <row r="47" spans="1:51" x14ac:dyDescent="0.25">
      <c r="A47" s="48" t="s">
        <v>178</v>
      </c>
      <c r="B47" s="49">
        <f t="shared" si="45"/>
        <v>210.21623390851752</v>
      </c>
      <c r="C47">
        <f t="shared" ref="C47:AH47" si="64">(C$13+C$14)/(C$3+C$4)*C$10*C33</f>
        <v>0</v>
      </c>
      <c r="D47">
        <f t="shared" si="64"/>
        <v>0</v>
      </c>
      <c r="E47">
        <f t="shared" si="64"/>
        <v>0</v>
      </c>
      <c r="F47">
        <f t="shared" si="64"/>
        <v>0</v>
      </c>
      <c r="G47">
        <f t="shared" si="64"/>
        <v>0</v>
      </c>
      <c r="H47">
        <f t="shared" si="64"/>
        <v>0</v>
      </c>
      <c r="I47">
        <f t="shared" si="64"/>
        <v>0</v>
      </c>
      <c r="J47">
        <f t="shared" si="64"/>
        <v>0</v>
      </c>
      <c r="K47">
        <f t="shared" si="64"/>
        <v>0</v>
      </c>
      <c r="L47">
        <f t="shared" si="64"/>
        <v>0</v>
      </c>
      <c r="M47">
        <f t="shared" si="64"/>
        <v>0</v>
      </c>
      <c r="N47">
        <f t="shared" si="64"/>
        <v>0</v>
      </c>
      <c r="O47">
        <f t="shared" si="64"/>
        <v>0</v>
      </c>
      <c r="P47">
        <f t="shared" si="64"/>
        <v>1.7940239036454924</v>
      </c>
      <c r="Q47">
        <f t="shared" si="64"/>
        <v>15.941916859883696</v>
      </c>
      <c r="R47">
        <f t="shared" si="64"/>
        <v>8.6116232161848174</v>
      </c>
      <c r="S47">
        <f t="shared" si="64"/>
        <v>10.927375469664575</v>
      </c>
      <c r="T47">
        <f t="shared" si="64"/>
        <v>11.490280215592396</v>
      </c>
      <c r="U47">
        <f t="shared" si="64"/>
        <v>16.252502565936545</v>
      </c>
      <c r="V47">
        <f t="shared" si="64"/>
        <v>13.826014726841972</v>
      </c>
      <c r="W47">
        <f t="shared" si="64"/>
        <v>23.798786375632542</v>
      </c>
      <c r="X47">
        <f t="shared" si="64"/>
        <v>23.598619513686092</v>
      </c>
      <c r="Y47">
        <f t="shared" si="64"/>
        <v>23.425100252556053</v>
      </c>
      <c r="Z47">
        <f t="shared" si="64"/>
        <v>18.393041679784755</v>
      </c>
      <c r="AA47">
        <f t="shared" si="64"/>
        <v>14.108107468507672</v>
      </c>
      <c r="AB47">
        <f t="shared" si="64"/>
        <v>11.895489004440845</v>
      </c>
      <c r="AC47">
        <f t="shared" si="64"/>
        <v>7.8482346257629905</v>
      </c>
      <c r="AD47">
        <f t="shared" si="64"/>
        <v>4.7475260155619488</v>
      </c>
      <c r="AE47">
        <f t="shared" si="64"/>
        <v>1.6929571953363798</v>
      </c>
      <c r="AF47">
        <f t="shared" si="64"/>
        <v>0.64820413640534014</v>
      </c>
      <c r="AG47">
        <f t="shared" si="64"/>
        <v>0.55003478571870612</v>
      </c>
      <c r="AH47">
        <f t="shared" si="64"/>
        <v>0.22789699703210059</v>
      </c>
      <c r="AI47">
        <f t="shared" ref="AI47:AY47" si="65">(AI$13+AI$14)/(AI$3+AI$4)*AI$10*AI33</f>
        <v>0.36739254404570271</v>
      </c>
      <c r="AJ47">
        <f t="shared" si="65"/>
        <v>7.1106356296888065E-2</v>
      </c>
      <c r="AK47">
        <f t="shared" si="65"/>
        <v>0</v>
      </c>
      <c r="AL47">
        <f t="shared" si="65"/>
        <v>0</v>
      </c>
      <c r="AM47">
        <f t="shared" si="65"/>
        <v>0</v>
      </c>
      <c r="AN47">
        <f t="shared" si="65"/>
        <v>0</v>
      </c>
      <c r="AO47">
        <f t="shared" si="65"/>
        <v>0</v>
      </c>
      <c r="AP47">
        <f t="shared" si="65"/>
        <v>0</v>
      </c>
      <c r="AQ47">
        <f t="shared" si="65"/>
        <v>0</v>
      </c>
      <c r="AR47">
        <f t="shared" si="65"/>
        <v>0</v>
      </c>
      <c r="AS47">
        <f t="shared" si="65"/>
        <v>0</v>
      </c>
      <c r="AT47">
        <f t="shared" si="65"/>
        <v>0</v>
      </c>
      <c r="AU47">
        <f t="shared" si="65"/>
        <v>0</v>
      </c>
      <c r="AV47">
        <f t="shared" si="65"/>
        <v>0</v>
      </c>
      <c r="AW47">
        <f t="shared" si="65"/>
        <v>0</v>
      </c>
      <c r="AX47">
        <f t="shared" si="65"/>
        <v>0</v>
      </c>
      <c r="AY47">
        <f t="shared" si="65"/>
        <v>0</v>
      </c>
    </row>
    <row r="48" spans="1:51" x14ac:dyDescent="0.25">
      <c r="A48" s="48" t="s">
        <v>179</v>
      </c>
      <c r="B48" s="49">
        <f t="shared" si="45"/>
        <v>381.18775656842325</v>
      </c>
      <c r="C48">
        <f t="shared" ref="C48:AH48" si="66">(C$13+C$14)/(C$3+C$4)*C$10*C34</f>
        <v>0</v>
      </c>
      <c r="D48">
        <f t="shared" si="66"/>
        <v>1.74282745879017</v>
      </c>
      <c r="E48">
        <f t="shared" si="66"/>
        <v>0</v>
      </c>
      <c r="F48">
        <f t="shared" si="66"/>
        <v>1.4791277588042533</v>
      </c>
      <c r="G48">
        <f t="shared" si="66"/>
        <v>2.8354596547766557</v>
      </c>
      <c r="H48">
        <f t="shared" si="66"/>
        <v>5.4296655654178592</v>
      </c>
      <c r="I48">
        <f t="shared" si="66"/>
        <v>5.1927498028106589</v>
      </c>
      <c r="J48">
        <f t="shared" si="66"/>
        <v>4.9601720217317098</v>
      </c>
      <c r="K48">
        <f t="shared" si="66"/>
        <v>15.378779722088286</v>
      </c>
      <c r="L48">
        <f t="shared" si="66"/>
        <v>30.429205228070312</v>
      </c>
      <c r="M48">
        <f t="shared" si="66"/>
        <v>19.298099554489664</v>
      </c>
      <c r="N48">
        <f t="shared" si="66"/>
        <v>19.347893385317516</v>
      </c>
      <c r="O48">
        <f t="shared" si="66"/>
        <v>16.265020741203784</v>
      </c>
      <c r="P48">
        <f t="shared" si="66"/>
        <v>52.026693205719276</v>
      </c>
      <c r="Q48">
        <f t="shared" si="66"/>
        <v>36.918123254467503</v>
      </c>
      <c r="R48">
        <f t="shared" si="66"/>
        <v>39.926616729584154</v>
      </c>
      <c r="S48">
        <f t="shared" si="66"/>
        <v>32.053634711016088</v>
      </c>
      <c r="T48">
        <f t="shared" si="66"/>
        <v>13.517976724226347</v>
      </c>
      <c r="U48">
        <f t="shared" si="66"/>
        <v>8.1262512829682727</v>
      </c>
      <c r="V48">
        <f t="shared" si="66"/>
        <v>9.7934270981797305</v>
      </c>
      <c r="W48">
        <f t="shared" si="66"/>
        <v>31.731715167510053</v>
      </c>
      <c r="X48">
        <f t="shared" si="66"/>
        <v>25.014536684507256</v>
      </c>
      <c r="Y48">
        <f t="shared" si="66"/>
        <v>5.0196643398334402</v>
      </c>
      <c r="Z48">
        <f t="shared" si="66"/>
        <v>2.5750258351698658</v>
      </c>
      <c r="AA48">
        <f t="shared" si="66"/>
        <v>1.6031940305122356</v>
      </c>
      <c r="AB48">
        <f t="shared" si="66"/>
        <v>0.27663927917304293</v>
      </c>
      <c r="AC48">
        <f t="shared" si="66"/>
        <v>0.24525733205509345</v>
      </c>
      <c r="AD48">
        <f t="shared" si="66"/>
        <v>0</v>
      </c>
      <c r="AE48">
        <f t="shared" si="66"/>
        <v>0</v>
      </c>
      <c r="AF48">
        <f t="shared" si="66"/>
        <v>0</v>
      </c>
      <c r="AG48">
        <f t="shared" si="66"/>
        <v>0</v>
      </c>
      <c r="AH48">
        <f t="shared" si="66"/>
        <v>0</v>
      </c>
      <c r="AI48">
        <f t="shared" ref="AI48:AY48" si="67">(AI$13+AI$14)/(AI$3+AI$4)*AI$10*AI34</f>
        <v>0</v>
      </c>
      <c r="AJ48">
        <f t="shared" si="67"/>
        <v>0</v>
      </c>
      <c r="AK48">
        <f t="shared" si="67"/>
        <v>0</v>
      </c>
      <c r="AL48">
        <f t="shared" si="67"/>
        <v>0</v>
      </c>
      <c r="AM48">
        <f t="shared" si="67"/>
        <v>0</v>
      </c>
      <c r="AN48">
        <f t="shared" si="67"/>
        <v>0</v>
      </c>
      <c r="AO48">
        <f t="shared" si="67"/>
        <v>0</v>
      </c>
      <c r="AP48">
        <f t="shared" si="67"/>
        <v>0</v>
      </c>
      <c r="AQ48">
        <f t="shared" si="67"/>
        <v>0</v>
      </c>
      <c r="AR48">
        <f t="shared" si="67"/>
        <v>0</v>
      </c>
      <c r="AS48">
        <f t="shared" si="67"/>
        <v>0</v>
      </c>
      <c r="AT48">
        <f t="shared" si="67"/>
        <v>0</v>
      </c>
      <c r="AU48">
        <f t="shared" si="67"/>
        <v>0</v>
      </c>
      <c r="AV48">
        <f t="shared" si="67"/>
        <v>0</v>
      </c>
      <c r="AW48">
        <f t="shared" si="67"/>
        <v>0</v>
      </c>
      <c r="AX48">
        <f t="shared" si="67"/>
        <v>0</v>
      </c>
      <c r="AY48">
        <f t="shared" si="67"/>
        <v>0</v>
      </c>
    </row>
    <row r="49" spans="1:51" x14ac:dyDescent="0.25">
      <c r="A49" s="48" t="s">
        <v>201</v>
      </c>
      <c r="B49" s="49">
        <f>SUM(B37:B48)</f>
        <v>1979.0253651786738</v>
      </c>
    </row>
    <row r="50" spans="1:51" x14ac:dyDescent="0.25">
      <c r="A50" s="473" t="s">
        <v>286</v>
      </c>
      <c r="B50" s="474"/>
    </row>
    <row r="51" spans="1:51" x14ac:dyDescent="0.25">
      <c r="A51" s="48" t="s">
        <v>168</v>
      </c>
      <c r="B51" s="49">
        <f t="shared" ref="B51:B62" si="68">SUM(C51:AY51)</f>
        <v>0</v>
      </c>
      <c r="C51">
        <f>IF((C$3+C$4)&lt;C$11,(C$11-C$3-C$4)*C23*10,0)</f>
        <v>0</v>
      </c>
      <c r="D51">
        <f t="shared" ref="D51:AY56" si="69">IF((D$3+D$4)&lt;D$11,(D$11-D$3-D$4)*D23*10,0)</f>
        <v>0</v>
      </c>
      <c r="E51">
        <f t="shared" si="69"/>
        <v>0</v>
      </c>
      <c r="F51">
        <f t="shared" si="69"/>
        <v>0</v>
      </c>
      <c r="G51">
        <f t="shared" si="69"/>
        <v>0</v>
      </c>
      <c r="H51">
        <f t="shared" si="69"/>
        <v>0</v>
      </c>
      <c r="I51">
        <f t="shared" si="69"/>
        <v>0</v>
      </c>
      <c r="J51">
        <f t="shared" si="69"/>
        <v>0</v>
      </c>
      <c r="K51">
        <f t="shared" si="69"/>
        <v>0</v>
      </c>
      <c r="L51">
        <f t="shared" si="69"/>
        <v>0</v>
      </c>
      <c r="M51">
        <f t="shared" si="69"/>
        <v>0</v>
      </c>
      <c r="N51">
        <f t="shared" si="69"/>
        <v>0</v>
      </c>
      <c r="O51">
        <f t="shared" si="69"/>
        <v>0</v>
      </c>
      <c r="P51">
        <f t="shared" si="69"/>
        <v>0</v>
      </c>
      <c r="Q51">
        <f t="shared" si="69"/>
        <v>0</v>
      </c>
      <c r="R51">
        <f t="shared" si="69"/>
        <v>0</v>
      </c>
      <c r="S51">
        <f t="shared" si="69"/>
        <v>0</v>
      </c>
      <c r="T51">
        <f t="shared" si="69"/>
        <v>0</v>
      </c>
      <c r="U51">
        <f t="shared" si="69"/>
        <v>0</v>
      </c>
      <c r="V51">
        <f t="shared" si="69"/>
        <v>0</v>
      </c>
      <c r="W51">
        <f t="shared" si="69"/>
        <v>0</v>
      </c>
      <c r="X51">
        <f t="shared" si="69"/>
        <v>0</v>
      </c>
      <c r="Y51">
        <f t="shared" si="69"/>
        <v>0</v>
      </c>
      <c r="Z51">
        <f t="shared" si="69"/>
        <v>0</v>
      </c>
      <c r="AA51">
        <f t="shared" si="69"/>
        <v>0</v>
      </c>
      <c r="AB51">
        <f t="shared" si="69"/>
        <v>0</v>
      </c>
      <c r="AC51">
        <f t="shared" si="69"/>
        <v>0</v>
      </c>
      <c r="AD51">
        <f t="shared" si="69"/>
        <v>0</v>
      </c>
      <c r="AE51">
        <f t="shared" si="69"/>
        <v>0</v>
      </c>
      <c r="AF51">
        <f t="shared" si="69"/>
        <v>0</v>
      </c>
      <c r="AG51">
        <f t="shared" si="69"/>
        <v>0</v>
      </c>
      <c r="AH51">
        <f t="shared" si="69"/>
        <v>0</v>
      </c>
      <c r="AI51">
        <f t="shared" si="69"/>
        <v>0</v>
      </c>
      <c r="AJ51">
        <f t="shared" si="69"/>
        <v>0</v>
      </c>
      <c r="AK51">
        <f t="shared" si="69"/>
        <v>0</v>
      </c>
      <c r="AL51">
        <f t="shared" si="69"/>
        <v>0</v>
      </c>
      <c r="AM51">
        <f t="shared" si="69"/>
        <v>0</v>
      </c>
      <c r="AN51">
        <f t="shared" si="69"/>
        <v>0</v>
      </c>
      <c r="AO51">
        <f t="shared" si="69"/>
        <v>0</v>
      </c>
      <c r="AP51">
        <f t="shared" si="69"/>
        <v>0</v>
      </c>
      <c r="AQ51">
        <f t="shared" si="69"/>
        <v>0</v>
      </c>
      <c r="AR51">
        <f t="shared" si="69"/>
        <v>0</v>
      </c>
      <c r="AS51">
        <f t="shared" si="69"/>
        <v>0</v>
      </c>
      <c r="AT51">
        <f t="shared" si="69"/>
        <v>0</v>
      </c>
      <c r="AU51">
        <f t="shared" si="69"/>
        <v>0</v>
      </c>
      <c r="AV51">
        <f t="shared" si="69"/>
        <v>0</v>
      </c>
      <c r="AW51">
        <f t="shared" si="69"/>
        <v>0</v>
      </c>
      <c r="AX51">
        <f t="shared" si="69"/>
        <v>0</v>
      </c>
      <c r="AY51">
        <f t="shared" si="69"/>
        <v>0</v>
      </c>
    </row>
    <row r="52" spans="1:51" x14ac:dyDescent="0.25">
      <c r="A52" s="48" t="s">
        <v>169</v>
      </c>
      <c r="B52" s="49">
        <f t="shared" si="68"/>
        <v>0</v>
      </c>
      <c r="C52">
        <f t="shared" ref="C52:R62" si="70">IF((C$3+C$4)&lt;C$11,(C$11-C$3-C$4)*C24*10,0)</f>
        <v>0</v>
      </c>
      <c r="D52">
        <f t="shared" si="70"/>
        <v>0</v>
      </c>
      <c r="E52">
        <f t="shared" si="70"/>
        <v>0</v>
      </c>
      <c r="F52">
        <f t="shared" si="70"/>
        <v>0</v>
      </c>
      <c r="G52">
        <f t="shared" si="70"/>
        <v>0</v>
      </c>
      <c r="H52">
        <f t="shared" si="70"/>
        <v>0</v>
      </c>
      <c r="I52">
        <f t="shared" si="70"/>
        <v>0</v>
      </c>
      <c r="J52">
        <f t="shared" si="70"/>
        <v>0</v>
      </c>
      <c r="K52">
        <f t="shared" si="70"/>
        <v>0</v>
      </c>
      <c r="L52">
        <f t="shared" si="70"/>
        <v>0</v>
      </c>
      <c r="M52">
        <f t="shared" si="70"/>
        <v>0</v>
      </c>
      <c r="N52">
        <f t="shared" si="70"/>
        <v>0</v>
      </c>
      <c r="O52">
        <f t="shared" si="70"/>
        <v>0</v>
      </c>
      <c r="P52">
        <f t="shared" si="70"/>
        <v>0</v>
      </c>
      <c r="Q52">
        <f t="shared" si="70"/>
        <v>0</v>
      </c>
      <c r="R52">
        <f t="shared" si="70"/>
        <v>0</v>
      </c>
      <c r="S52">
        <f t="shared" si="69"/>
        <v>0</v>
      </c>
      <c r="T52">
        <f t="shared" si="69"/>
        <v>0</v>
      </c>
      <c r="U52">
        <f t="shared" si="69"/>
        <v>0</v>
      </c>
      <c r="V52">
        <f t="shared" si="69"/>
        <v>0</v>
      </c>
      <c r="W52">
        <f t="shared" si="69"/>
        <v>0</v>
      </c>
      <c r="X52">
        <f t="shared" si="69"/>
        <v>0</v>
      </c>
      <c r="Y52">
        <f t="shared" si="69"/>
        <v>0</v>
      </c>
      <c r="Z52">
        <f t="shared" si="69"/>
        <v>0</v>
      </c>
      <c r="AA52">
        <f t="shared" si="69"/>
        <v>0</v>
      </c>
      <c r="AB52">
        <f t="shared" si="69"/>
        <v>0</v>
      </c>
      <c r="AC52">
        <f t="shared" si="69"/>
        <v>0</v>
      </c>
      <c r="AD52">
        <f t="shared" si="69"/>
        <v>0</v>
      </c>
      <c r="AE52">
        <f t="shared" si="69"/>
        <v>0</v>
      </c>
      <c r="AF52">
        <f t="shared" si="69"/>
        <v>0</v>
      </c>
      <c r="AG52">
        <f t="shared" si="69"/>
        <v>0</v>
      </c>
      <c r="AH52">
        <f t="shared" si="69"/>
        <v>0</v>
      </c>
      <c r="AI52">
        <f t="shared" si="69"/>
        <v>0</v>
      </c>
      <c r="AJ52">
        <f t="shared" si="69"/>
        <v>0</v>
      </c>
      <c r="AK52">
        <f t="shared" si="69"/>
        <v>0</v>
      </c>
      <c r="AL52">
        <f t="shared" si="69"/>
        <v>0</v>
      </c>
      <c r="AM52">
        <f t="shared" si="69"/>
        <v>0</v>
      </c>
      <c r="AN52">
        <f t="shared" si="69"/>
        <v>0</v>
      </c>
      <c r="AO52">
        <f t="shared" si="69"/>
        <v>0</v>
      </c>
      <c r="AP52">
        <f t="shared" si="69"/>
        <v>0</v>
      </c>
      <c r="AQ52">
        <f t="shared" si="69"/>
        <v>0</v>
      </c>
      <c r="AR52">
        <f t="shared" si="69"/>
        <v>0</v>
      </c>
      <c r="AS52">
        <f t="shared" si="69"/>
        <v>0</v>
      </c>
      <c r="AT52">
        <f t="shared" si="69"/>
        <v>0</v>
      </c>
      <c r="AU52">
        <f t="shared" si="69"/>
        <v>0</v>
      </c>
      <c r="AV52">
        <f t="shared" si="69"/>
        <v>0</v>
      </c>
      <c r="AW52">
        <f t="shared" si="69"/>
        <v>0</v>
      </c>
      <c r="AX52">
        <f t="shared" si="69"/>
        <v>0</v>
      </c>
      <c r="AY52">
        <f t="shared" si="69"/>
        <v>0</v>
      </c>
    </row>
    <row r="53" spans="1:51" x14ac:dyDescent="0.25">
      <c r="A53" s="48" t="s">
        <v>170</v>
      </c>
      <c r="B53" s="49">
        <f t="shared" si="68"/>
        <v>0</v>
      </c>
      <c r="C53">
        <f t="shared" si="70"/>
        <v>0</v>
      </c>
      <c r="D53">
        <f t="shared" si="69"/>
        <v>0</v>
      </c>
      <c r="E53">
        <f t="shared" si="69"/>
        <v>0</v>
      </c>
      <c r="F53">
        <f t="shared" si="69"/>
        <v>0</v>
      </c>
      <c r="G53">
        <f t="shared" si="69"/>
        <v>0</v>
      </c>
      <c r="H53">
        <f t="shared" si="69"/>
        <v>0</v>
      </c>
      <c r="I53">
        <f t="shared" si="69"/>
        <v>0</v>
      </c>
      <c r="J53">
        <f t="shared" si="69"/>
        <v>0</v>
      </c>
      <c r="K53">
        <f t="shared" si="69"/>
        <v>0</v>
      </c>
      <c r="L53">
        <f t="shared" si="69"/>
        <v>0</v>
      </c>
      <c r="M53">
        <f t="shared" si="69"/>
        <v>0</v>
      </c>
      <c r="N53">
        <f t="shared" si="69"/>
        <v>0</v>
      </c>
      <c r="O53">
        <f t="shared" si="69"/>
        <v>0</v>
      </c>
      <c r="P53">
        <f t="shared" si="69"/>
        <v>0</v>
      </c>
      <c r="Q53">
        <f t="shared" si="69"/>
        <v>0</v>
      </c>
      <c r="R53">
        <f t="shared" si="69"/>
        <v>0</v>
      </c>
      <c r="S53">
        <f t="shared" si="69"/>
        <v>0</v>
      </c>
      <c r="T53">
        <f t="shared" si="69"/>
        <v>0</v>
      </c>
      <c r="U53">
        <f t="shared" si="69"/>
        <v>0</v>
      </c>
      <c r="V53">
        <f t="shared" si="69"/>
        <v>0</v>
      </c>
      <c r="W53">
        <f t="shared" si="69"/>
        <v>0</v>
      </c>
      <c r="X53">
        <f t="shared" si="69"/>
        <v>0</v>
      </c>
      <c r="Y53">
        <f t="shared" si="69"/>
        <v>0</v>
      </c>
      <c r="Z53">
        <f t="shared" si="69"/>
        <v>0</v>
      </c>
      <c r="AA53">
        <f t="shared" si="69"/>
        <v>0</v>
      </c>
      <c r="AB53">
        <f t="shared" si="69"/>
        <v>0</v>
      </c>
      <c r="AC53">
        <f t="shared" si="69"/>
        <v>0</v>
      </c>
      <c r="AD53">
        <f t="shared" si="69"/>
        <v>0</v>
      </c>
      <c r="AE53">
        <f t="shared" si="69"/>
        <v>0</v>
      </c>
      <c r="AF53">
        <f t="shared" si="69"/>
        <v>0</v>
      </c>
      <c r="AG53">
        <f t="shared" si="69"/>
        <v>0</v>
      </c>
      <c r="AH53">
        <f t="shared" si="69"/>
        <v>0</v>
      </c>
      <c r="AI53">
        <f t="shared" si="69"/>
        <v>0</v>
      </c>
      <c r="AJ53">
        <f t="shared" si="69"/>
        <v>0</v>
      </c>
      <c r="AK53">
        <f t="shared" si="69"/>
        <v>0</v>
      </c>
      <c r="AL53">
        <f t="shared" si="69"/>
        <v>0</v>
      </c>
      <c r="AM53">
        <f t="shared" si="69"/>
        <v>0</v>
      </c>
      <c r="AN53">
        <f t="shared" si="69"/>
        <v>0</v>
      </c>
      <c r="AO53">
        <f t="shared" si="69"/>
        <v>0</v>
      </c>
      <c r="AP53">
        <f t="shared" si="69"/>
        <v>0</v>
      </c>
      <c r="AQ53">
        <f t="shared" si="69"/>
        <v>0</v>
      </c>
      <c r="AR53">
        <f t="shared" si="69"/>
        <v>0</v>
      </c>
      <c r="AS53">
        <f t="shared" si="69"/>
        <v>0</v>
      </c>
      <c r="AT53">
        <f t="shared" si="69"/>
        <v>0</v>
      </c>
      <c r="AU53">
        <f t="shared" si="69"/>
        <v>0</v>
      </c>
      <c r="AV53">
        <f t="shared" si="69"/>
        <v>0</v>
      </c>
      <c r="AW53">
        <f t="shared" si="69"/>
        <v>0</v>
      </c>
      <c r="AX53">
        <f t="shared" si="69"/>
        <v>0</v>
      </c>
      <c r="AY53">
        <f t="shared" si="69"/>
        <v>0</v>
      </c>
    </row>
    <row r="54" spans="1:51" x14ac:dyDescent="0.25">
      <c r="A54" s="48" t="s">
        <v>171</v>
      </c>
      <c r="B54" s="49">
        <f t="shared" si="68"/>
        <v>0</v>
      </c>
      <c r="C54">
        <f t="shared" si="70"/>
        <v>0</v>
      </c>
      <c r="D54">
        <f t="shared" si="69"/>
        <v>0</v>
      </c>
      <c r="E54">
        <f t="shared" si="69"/>
        <v>0</v>
      </c>
      <c r="F54">
        <f t="shared" si="69"/>
        <v>0</v>
      </c>
      <c r="G54">
        <f t="shared" si="69"/>
        <v>0</v>
      </c>
      <c r="H54">
        <f t="shared" si="69"/>
        <v>0</v>
      </c>
      <c r="I54">
        <f t="shared" si="69"/>
        <v>0</v>
      </c>
      <c r="J54">
        <f t="shared" si="69"/>
        <v>0</v>
      </c>
      <c r="K54">
        <f t="shared" si="69"/>
        <v>0</v>
      </c>
      <c r="L54">
        <f t="shared" si="69"/>
        <v>0</v>
      </c>
      <c r="M54">
        <f t="shared" si="69"/>
        <v>0</v>
      </c>
      <c r="N54">
        <f t="shared" si="69"/>
        <v>0</v>
      </c>
      <c r="O54">
        <f t="shared" si="69"/>
        <v>0</v>
      </c>
      <c r="P54">
        <f t="shared" si="69"/>
        <v>0</v>
      </c>
      <c r="Q54">
        <f t="shared" si="69"/>
        <v>0</v>
      </c>
      <c r="R54">
        <f t="shared" si="69"/>
        <v>0</v>
      </c>
      <c r="S54">
        <f t="shared" si="69"/>
        <v>0</v>
      </c>
      <c r="T54">
        <f t="shared" si="69"/>
        <v>0</v>
      </c>
      <c r="U54">
        <f t="shared" si="69"/>
        <v>0</v>
      </c>
      <c r="V54">
        <f t="shared" si="69"/>
        <v>0</v>
      </c>
      <c r="W54">
        <f t="shared" si="69"/>
        <v>0</v>
      </c>
      <c r="X54">
        <f t="shared" si="69"/>
        <v>0</v>
      </c>
      <c r="Y54">
        <f t="shared" si="69"/>
        <v>0</v>
      </c>
      <c r="Z54">
        <f t="shared" si="69"/>
        <v>0</v>
      </c>
      <c r="AA54">
        <f t="shared" si="69"/>
        <v>0</v>
      </c>
      <c r="AB54">
        <f t="shared" si="69"/>
        <v>0</v>
      </c>
      <c r="AC54">
        <f t="shared" si="69"/>
        <v>0</v>
      </c>
      <c r="AD54">
        <f t="shared" si="69"/>
        <v>0</v>
      </c>
      <c r="AE54">
        <f t="shared" si="69"/>
        <v>0</v>
      </c>
      <c r="AF54">
        <f t="shared" si="69"/>
        <v>0</v>
      </c>
      <c r="AG54">
        <f t="shared" si="69"/>
        <v>0</v>
      </c>
      <c r="AH54">
        <f t="shared" si="69"/>
        <v>0</v>
      </c>
      <c r="AI54">
        <f t="shared" si="69"/>
        <v>0</v>
      </c>
      <c r="AJ54">
        <f t="shared" si="69"/>
        <v>0</v>
      </c>
      <c r="AK54">
        <f t="shared" si="69"/>
        <v>0</v>
      </c>
      <c r="AL54">
        <f t="shared" si="69"/>
        <v>0</v>
      </c>
      <c r="AM54">
        <f t="shared" si="69"/>
        <v>0</v>
      </c>
      <c r="AN54">
        <f t="shared" si="69"/>
        <v>0</v>
      </c>
      <c r="AO54">
        <f t="shared" si="69"/>
        <v>0</v>
      </c>
      <c r="AP54">
        <f t="shared" si="69"/>
        <v>0</v>
      </c>
      <c r="AQ54">
        <f t="shared" si="69"/>
        <v>0</v>
      </c>
      <c r="AR54">
        <f t="shared" si="69"/>
        <v>0</v>
      </c>
      <c r="AS54">
        <f t="shared" si="69"/>
        <v>0</v>
      </c>
      <c r="AT54">
        <f t="shared" si="69"/>
        <v>0</v>
      </c>
      <c r="AU54">
        <f t="shared" si="69"/>
        <v>0</v>
      </c>
      <c r="AV54">
        <f t="shared" si="69"/>
        <v>0</v>
      </c>
      <c r="AW54">
        <f t="shared" si="69"/>
        <v>0</v>
      </c>
      <c r="AX54">
        <f t="shared" si="69"/>
        <v>0</v>
      </c>
      <c r="AY54">
        <f t="shared" si="69"/>
        <v>0</v>
      </c>
    </row>
    <row r="55" spans="1:51" x14ac:dyDescent="0.25">
      <c r="A55" s="48" t="s">
        <v>172</v>
      </c>
      <c r="B55" s="49">
        <f t="shared" si="68"/>
        <v>0</v>
      </c>
      <c r="C55">
        <f t="shared" si="70"/>
        <v>0</v>
      </c>
      <c r="D55">
        <f t="shared" si="69"/>
        <v>0</v>
      </c>
      <c r="E55">
        <f t="shared" si="69"/>
        <v>0</v>
      </c>
      <c r="F55">
        <f t="shared" si="69"/>
        <v>0</v>
      </c>
      <c r="G55">
        <f t="shared" si="69"/>
        <v>0</v>
      </c>
      <c r="H55">
        <f t="shared" si="69"/>
        <v>0</v>
      </c>
      <c r="I55">
        <f t="shared" si="69"/>
        <v>0</v>
      </c>
      <c r="J55">
        <f t="shared" si="69"/>
        <v>0</v>
      </c>
      <c r="K55">
        <f t="shared" si="69"/>
        <v>0</v>
      </c>
      <c r="L55">
        <f t="shared" si="69"/>
        <v>0</v>
      </c>
      <c r="M55">
        <f t="shared" si="69"/>
        <v>0</v>
      </c>
      <c r="N55">
        <f t="shared" si="69"/>
        <v>0</v>
      </c>
      <c r="O55">
        <f t="shared" si="69"/>
        <v>0</v>
      </c>
      <c r="P55">
        <f t="shared" si="69"/>
        <v>0</v>
      </c>
      <c r="Q55">
        <f t="shared" si="69"/>
        <v>0</v>
      </c>
      <c r="R55">
        <f t="shared" si="69"/>
        <v>0</v>
      </c>
      <c r="S55">
        <f t="shared" si="69"/>
        <v>0</v>
      </c>
      <c r="T55">
        <f t="shared" si="69"/>
        <v>0</v>
      </c>
      <c r="U55">
        <f t="shared" si="69"/>
        <v>0</v>
      </c>
      <c r="V55">
        <f t="shared" si="69"/>
        <v>0</v>
      </c>
      <c r="W55">
        <f t="shared" si="69"/>
        <v>0</v>
      </c>
      <c r="X55">
        <f t="shared" si="69"/>
        <v>0</v>
      </c>
      <c r="Y55">
        <f t="shared" si="69"/>
        <v>0</v>
      </c>
      <c r="Z55">
        <f t="shared" si="69"/>
        <v>0</v>
      </c>
      <c r="AA55">
        <f t="shared" si="69"/>
        <v>0</v>
      </c>
      <c r="AB55">
        <f t="shared" si="69"/>
        <v>0</v>
      </c>
      <c r="AC55">
        <f t="shared" si="69"/>
        <v>0</v>
      </c>
      <c r="AD55">
        <f t="shared" si="69"/>
        <v>0</v>
      </c>
      <c r="AE55">
        <f t="shared" si="69"/>
        <v>0</v>
      </c>
      <c r="AF55">
        <f t="shared" si="69"/>
        <v>0</v>
      </c>
      <c r="AG55">
        <f t="shared" si="69"/>
        <v>0</v>
      </c>
      <c r="AH55">
        <f t="shared" si="69"/>
        <v>0</v>
      </c>
      <c r="AI55">
        <f t="shared" si="69"/>
        <v>0</v>
      </c>
      <c r="AJ55">
        <f t="shared" si="69"/>
        <v>0</v>
      </c>
      <c r="AK55">
        <f t="shared" si="69"/>
        <v>0</v>
      </c>
      <c r="AL55">
        <f t="shared" si="69"/>
        <v>0</v>
      </c>
      <c r="AM55">
        <f t="shared" si="69"/>
        <v>0</v>
      </c>
      <c r="AN55">
        <f t="shared" si="69"/>
        <v>0</v>
      </c>
      <c r="AO55">
        <f t="shared" si="69"/>
        <v>0</v>
      </c>
      <c r="AP55">
        <f t="shared" si="69"/>
        <v>0</v>
      </c>
      <c r="AQ55">
        <f t="shared" si="69"/>
        <v>0</v>
      </c>
      <c r="AR55">
        <f t="shared" si="69"/>
        <v>0</v>
      </c>
      <c r="AS55">
        <f t="shared" si="69"/>
        <v>0</v>
      </c>
      <c r="AT55">
        <f t="shared" si="69"/>
        <v>0</v>
      </c>
      <c r="AU55">
        <f t="shared" si="69"/>
        <v>0</v>
      </c>
      <c r="AV55">
        <f t="shared" si="69"/>
        <v>0</v>
      </c>
      <c r="AW55">
        <f t="shared" si="69"/>
        <v>0</v>
      </c>
      <c r="AX55">
        <f t="shared" si="69"/>
        <v>0</v>
      </c>
      <c r="AY55">
        <f t="shared" si="69"/>
        <v>0</v>
      </c>
    </row>
    <row r="56" spans="1:51" x14ac:dyDescent="0.25">
      <c r="A56" s="48" t="s">
        <v>173</v>
      </c>
      <c r="B56" s="49">
        <f t="shared" si="68"/>
        <v>0</v>
      </c>
      <c r="C56">
        <f t="shared" si="70"/>
        <v>0</v>
      </c>
      <c r="D56">
        <f t="shared" si="69"/>
        <v>0</v>
      </c>
      <c r="E56">
        <f t="shared" si="69"/>
        <v>0</v>
      </c>
      <c r="F56">
        <f t="shared" si="69"/>
        <v>0</v>
      </c>
      <c r="G56">
        <f t="shared" si="69"/>
        <v>0</v>
      </c>
      <c r="H56">
        <f t="shared" si="69"/>
        <v>0</v>
      </c>
      <c r="I56">
        <f t="shared" si="69"/>
        <v>0</v>
      </c>
      <c r="J56">
        <f t="shared" si="69"/>
        <v>0</v>
      </c>
      <c r="K56">
        <f t="shared" si="69"/>
        <v>0</v>
      </c>
      <c r="L56">
        <f t="shared" si="69"/>
        <v>0</v>
      </c>
      <c r="M56">
        <f t="shared" si="69"/>
        <v>0</v>
      </c>
      <c r="N56">
        <f t="shared" si="69"/>
        <v>0</v>
      </c>
      <c r="O56">
        <f t="shared" si="69"/>
        <v>0</v>
      </c>
      <c r="P56">
        <f t="shared" si="69"/>
        <v>0</v>
      </c>
      <c r="Q56">
        <f t="shared" si="69"/>
        <v>0</v>
      </c>
      <c r="R56">
        <f t="shared" si="69"/>
        <v>0</v>
      </c>
      <c r="S56">
        <f t="shared" si="69"/>
        <v>0</v>
      </c>
      <c r="T56">
        <f t="shared" si="69"/>
        <v>0</v>
      </c>
      <c r="U56">
        <f t="shared" si="69"/>
        <v>0</v>
      </c>
      <c r="V56">
        <f t="shared" si="69"/>
        <v>0</v>
      </c>
      <c r="W56">
        <f t="shared" si="69"/>
        <v>0</v>
      </c>
      <c r="X56">
        <f t="shared" si="69"/>
        <v>0</v>
      </c>
      <c r="Y56">
        <f t="shared" si="69"/>
        <v>0</v>
      </c>
      <c r="Z56">
        <f t="shared" si="69"/>
        <v>0</v>
      </c>
      <c r="AA56">
        <f t="shared" si="69"/>
        <v>0</v>
      </c>
      <c r="AB56">
        <f t="shared" si="69"/>
        <v>0</v>
      </c>
      <c r="AC56">
        <f t="shared" si="69"/>
        <v>0</v>
      </c>
      <c r="AD56">
        <f t="shared" si="69"/>
        <v>0</v>
      </c>
      <c r="AE56">
        <f t="shared" si="69"/>
        <v>0</v>
      </c>
      <c r="AF56">
        <f t="shared" si="69"/>
        <v>0</v>
      </c>
      <c r="AG56">
        <f t="shared" si="69"/>
        <v>0</v>
      </c>
      <c r="AH56">
        <f t="shared" ref="D56:AY61" si="71">IF((AH$3+AH$4)&lt;AH$11,(AH$11-AH$3-AH$4)*AH28*10,0)</f>
        <v>0</v>
      </c>
      <c r="AI56">
        <f t="shared" si="71"/>
        <v>0</v>
      </c>
      <c r="AJ56">
        <f t="shared" si="71"/>
        <v>0</v>
      </c>
      <c r="AK56">
        <f t="shared" si="71"/>
        <v>0</v>
      </c>
      <c r="AL56">
        <f t="shared" si="71"/>
        <v>0</v>
      </c>
      <c r="AM56">
        <f t="shared" si="71"/>
        <v>0</v>
      </c>
      <c r="AN56">
        <f t="shared" si="71"/>
        <v>0</v>
      </c>
      <c r="AO56">
        <f t="shared" si="71"/>
        <v>0</v>
      </c>
      <c r="AP56">
        <f t="shared" si="71"/>
        <v>0</v>
      </c>
      <c r="AQ56">
        <f t="shared" si="71"/>
        <v>0</v>
      </c>
      <c r="AR56">
        <f t="shared" si="71"/>
        <v>0</v>
      </c>
      <c r="AS56">
        <f t="shared" si="71"/>
        <v>0</v>
      </c>
      <c r="AT56">
        <f t="shared" si="71"/>
        <v>0</v>
      </c>
      <c r="AU56">
        <f t="shared" si="71"/>
        <v>0</v>
      </c>
      <c r="AV56">
        <f t="shared" si="71"/>
        <v>0</v>
      </c>
      <c r="AW56">
        <f t="shared" si="71"/>
        <v>0</v>
      </c>
      <c r="AX56">
        <f t="shared" si="71"/>
        <v>0</v>
      </c>
      <c r="AY56">
        <f t="shared" si="71"/>
        <v>0</v>
      </c>
    </row>
    <row r="57" spans="1:51" x14ac:dyDescent="0.25">
      <c r="A57" s="48" t="s">
        <v>174</v>
      </c>
      <c r="B57" s="49">
        <f t="shared" si="68"/>
        <v>0</v>
      </c>
      <c r="C57">
        <f t="shared" si="70"/>
        <v>0</v>
      </c>
      <c r="D57">
        <f t="shared" si="71"/>
        <v>0</v>
      </c>
      <c r="E57">
        <f t="shared" si="71"/>
        <v>0</v>
      </c>
      <c r="F57">
        <f t="shared" si="71"/>
        <v>0</v>
      </c>
      <c r="G57">
        <f t="shared" si="71"/>
        <v>0</v>
      </c>
      <c r="H57">
        <f t="shared" si="71"/>
        <v>0</v>
      </c>
      <c r="I57">
        <f t="shared" si="71"/>
        <v>0</v>
      </c>
      <c r="J57">
        <f t="shared" si="71"/>
        <v>0</v>
      </c>
      <c r="K57">
        <f t="shared" si="71"/>
        <v>0</v>
      </c>
      <c r="L57">
        <f t="shared" si="71"/>
        <v>0</v>
      </c>
      <c r="M57">
        <f t="shared" si="71"/>
        <v>0</v>
      </c>
      <c r="N57">
        <f t="shared" si="71"/>
        <v>0</v>
      </c>
      <c r="O57">
        <f t="shared" si="71"/>
        <v>0</v>
      </c>
      <c r="P57">
        <f t="shared" si="71"/>
        <v>0</v>
      </c>
      <c r="Q57">
        <f t="shared" si="71"/>
        <v>0</v>
      </c>
      <c r="R57">
        <f t="shared" si="71"/>
        <v>0</v>
      </c>
      <c r="S57">
        <f t="shared" si="71"/>
        <v>0</v>
      </c>
      <c r="T57">
        <f t="shared" si="71"/>
        <v>0</v>
      </c>
      <c r="U57">
        <f t="shared" si="71"/>
        <v>0</v>
      </c>
      <c r="V57">
        <f t="shared" si="71"/>
        <v>0</v>
      </c>
      <c r="W57">
        <f t="shared" si="71"/>
        <v>0</v>
      </c>
      <c r="X57">
        <f t="shared" si="71"/>
        <v>0</v>
      </c>
      <c r="Y57">
        <f t="shared" si="71"/>
        <v>0</v>
      </c>
      <c r="Z57">
        <f t="shared" si="71"/>
        <v>0</v>
      </c>
      <c r="AA57">
        <f t="shared" si="71"/>
        <v>0</v>
      </c>
      <c r="AB57">
        <f t="shared" si="71"/>
        <v>0</v>
      </c>
      <c r="AC57">
        <f t="shared" si="71"/>
        <v>0</v>
      </c>
      <c r="AD57">
        <f t="shared" si="71"/>
        <v>0</v>
      </c>
      <c r="AE57">
        <f t="shared" si="71"/>
        <v>0</v>
      </c>
      <c r="AF57">
        <f t="shared" si="71"/>
        <v>0</v>
      </c>
      <c r="AG57">
        <f t="shared" si="71"/>
        <v>0</v>
      </c>
      <c r="AH57">
        <f t="shared" si="71"/>
        <v>0</v>
      </c>
      <c r="AI57">
        <f t="shared" si="71"/>
        <v>0</v>
      </c>
      <c r="AJ57">
        <f t="shared" si="71"/>
        <v>0</v>
      </c>
      <c r="AK57">
        <f t="shared" si="71"/>
        <v>0</v>
      </c>
      <c r="AL57">
        <f t="shared" si="71"/>
        <v>0</v>
      </c>
      <c r="AM57">
        <f t="shared" si="71"/>
        <v>0</v>
      </c>
      <c r="AN57">
        <f t="shared" si="71"/>
        <v>0</v>
      </c>
      <c r="AO57">
        <f t="shared" si="71"/>
        <v>0</v>
      </c>
      <c r="AP57">
        <f t="shared" si="71"/>
        <v>0</v>
      </c>
      <c r="AQ57">
        <f t="shared" si="71"/>
        <v>0</v>
      </c>
      <c r="AR57">
        <f t="shared" si="71"/>
        <v>0</v>
      </c>
      <c r="AS57">
        <f t="shared" si="71"/>
        <v>0</v>
      </c>
      <c r="AT57">
        <f t="shared" si="71"/>
        <v>0</v>
      </c>
      <c r="AU57">
        <f t="shared" si="71"/>
        <v>0</v>
      </c>
      <c r="AV57">
        <f t="shared" si="71"/>
        <v>0</v>
      </c>
      <c r="AW57">
        <f t="shared" si="71"/>
        <v>0</v>
      </c>
      <c r="AX57">
        <f t="shared" si="71"/>
        <v>0</v>
      </c>
      <c r="AY57">
        <f t="shared" si="71"/>
        <v>0</v>
      </c>
    </row>
    <row r="58" spans="1:51" x14ac:dyDescent="0.25">
      <c r="A58" s="48" t="s">
        <v>175</v>
      </c>
      <c r="B58" s="49">
        <f t="shared" si="68"/>
        <v>0</v>
      </c>
      <c r="C58">
        <f t="shared" si="70"/>
        <v>0</v>
      </c>
      <c r="D58">
        <f t="shared" si="71"/>
        <v>0</v>
      </c>
      <c r="E58">
        <f t="shared" si="71"/>
        <v>0</v>
      </c>
      <c r="F58">
        <f t="shared" si="71"/>
        <v>0</v>
      </c>
      <c r="G58">
        <f t="shared" si="71"/>
        <v>0</v>
      </c>
      <c r="H58">
        <f t="shared" si="71"/>
        <v>0</v>
      </c>
      <c r="I58">
        <f t="shared" si="71"/>
        <v>0</v>
      </c>
      <c r="J58">
        <f t="shared" si="71"/>
        <v>0</v>
      </c>
      <c r="K58">
        <f t="shared" si="71"/>
        <v>0</v>
      </c>
      <c r="L58">
        <f t="shared" si="71"/>
        <v>0</v>
      </c>
      <c r="M58">
        <f t="shared" si="71"/>
        <v>0</v>
      </c>
      <c r="N58">
        <f t="shared" si="71"/>
        <v>0</v>
      </c>
      <c r="O58">
        <f t="shared" si="71"/>
        <v>0</v>
      </c>
      <c r="P58">
        <f t="shared" si="71"/>
        <v>0</v>
      </c>
      <c r="Q58">
        <f t="shared" si="71"/>
        <v>0</v>
      </c>
      <c r="R58">
        <f t="shared" si="71"/>
        <v>0</v>
      </c>
      <c r="S58">
        <f t="shared" si="71"/>
        <v>0</v>
      </c>
      <c r="T58">
        <f t="shared" si="71"/>
        <v>0</v>
      </c>
      <c r="U58">
        <f t="shared" si="71"/>
        <v>0</v>
      </c>
      <c r="V58">
        <f t="shared" si="71"/>
        <v>0</v>
      </c>
      <c r="W58">
        <f t="shared" si="71"/>
        <v>0</v>
      </c>
      <c r="X58">
        <f t="shared" si="71"/>
        <v>0</v>
      </c>
      <c r="Y58">
        <f t="shared" si="71"/>
        <v>0</v>
      </c>
      <c r="Z58">
        <f t="shared" si="71"/>
        <v>0</v>
      </c>
      <c r="AA58">
        <f t="shared" si="71"/>
        <v>0</v>
      </c>
      <c r="AB58">
        <f t="shared" si="71"/>
        <v>0</v>
      </c>
      <c r="AC58">
        <f t="shared" si="71"/>
        <v>0</v>
      </c>
      <c r="AD58">
        <f t="shared" si="71"/>
        <v>0</v>
      </c>
      <c r="AE58">
        <f t="shared" si="71"/>
        <v>0</v>
      </c>
      <c r="AF58">
        <f t="shared" si="71"/>
        <v>0</v>
      </c>
      <c r="AG58">
        <f t="shared" si="71"/>
        <v>0</v>
      </c>
      <c r="AH58">
        <f t="shared" si="71"/>
        <v>0</v>
      </c>
      <c r="AI58">
        <f t="shared" si="71"/>
        <v>0</v>
      </c>
      <c r="AJ58">
        <f t="shared" si="71"/>
        <v>0</v>
      </c>
      <c r="AK58">
        <f t="shared" si="71"/>
        <v>0</v>
      </c>
      <c r="AL58">
        <f t="shared" si="71"/>
        <v>0</v>
      </c>
      <c r="AM58">
        <f t="shared" si="71"/>
        <v>0</v>
      </c>
      <c r="AN58">
        <f t="shared" si="71"/>
        <v>0</v>
      </c>
      <c r="AO58">
        <f t="shared" si="71"/>
        <v>0</v>
      </c>
      <c r="AP58">
        <f t="shared" si="71"/>
        <v>0</v>
      </c>
      <c r="AQ58">
        <f t="shared" si="71"/>
        <v>0</v>
      </c>
      <c r="AR58">
        <f t="shared" si="71"/>
        <v>0</v>
      </c>
      <c r="AS58">
        <f t="shared" si="71"/>
        <v>0</v>
      </c>
      <c r="AT58">
        <f t="shared" si="71"/>
        <v>0</v>
      </c>
      <c r="AU58">
        <f t="shared" si="71"/>
        <v>0</v>
      </c>
      <c r="AV58">
        <f t="shared" si="71"/>
        <v>0</v>
      </c>
      <c r="AW58">
        <f t="shared" si="71"/>
        <v>0</v>
      </c>
      <c r="AX58">
        <f t="shared" si="71"/>
        <v>0</v>
      </c>
      <c r="AY58">
        <f t="shared" si="71"/>
        <v>0</v>
      </c>
    </row>
    <row r="59" spans="1:51" x14ac:dyDescent="0.25">
      <c r="A59" s="48" t="s">
        <v>176</v>
      </c>
      <c r="B59" s="49">
        <f t="shared" si="68"/>
        <v>0</v>
      </c>
      <c r="C59">
        <f t="shared" si="70"/>
        <v>0</v>
      </c>
      <c r="D59">
        <f t="shared" si="71"/>
        <v>0</v>
      </c>
      <c r="E59">
        <f t="shared" si="71"/>
        <v>0</v>
      </c>
      <c r="F59">
        <f t="shared" si="71"/>
        <v>0</v>
      </c>
      <c r="G59">
        <f t="shared" si="71"/>
        <v>0</v>
      </c>
      <c r="H59">
        <f t="shared" si="71"/>
        <v>0</v>
      </c>
      <c r="I59">
        <f t="shared" si="71"/>
        <v>0</v>
      </c>
      <c r="J59">
        <f t="shared" si="71"/>
        <v>0</v>
      </c>
      <c r="K59">
        <f t="shared" si="71"/>
        <v>0</v>
      </c>
      <c r="L59">
        <f t="shared" si="71"/>
        <v>0</v>
      </c>
      <c r="M59">
        <f t="shared" si="71"/>
        <v>0</v>
      </c>
      <c r="N59">
        <f t="shared" si="71"/>
        <v>0</v>
      </c>
      <c r="O59">
        <f t="shared" si="71"/>
        <v>0</v>
      </c>
      <c r="P59">
        <f t="shared" si="71"/>
        <v>0</v>
      </c>
      <c r="Q59">
        <f t="shared" si="71"/>
        <v>0</v>
      </c>
      <c r="R59">
        <f t="shared" si="71"/>
        <v>0</v>
      </c>
      <c r="S59">
        <f t="shared" si="71"/>
        <v>0</v>
      </c>
      <c r="T59">
        <f t="shared" si="71"/>
        <v>0</v>
      </c>
      <c r="U59">
        <f t="shared" si="71"/>
        <v>0</v>
      </c>
      <c r="V59">
        <f t="shared" si="71"/>
        <v>0</v>
      </c>
      <c r="W59">
        <f t="shared" si="71"/>
        <v>0</v>
      </c>
      <c r="X59">
        <f t="shared" si="71"/>
        <v>0</v>
      </c>
      <c r="Y59">
        <f t="shared" si="71"/>
        <v>0</v>
      </c>
      <c r="Z59">
        <f t="shared" si="71"/>
        <v>0</v>
      </c>
      <c r="AA59">
        <f t="shared" si="71"/>
        <v>0</v>
      </c>
      <c r="AB59">
        <f t="shared" si="71"/>
        <v>0</v>
      </c>
      <c r="AC59">
        <f t="shared" si="71"/>
        <v>0</v>
      </c>
      <c r="AD59">
        <f t="shared" si="71"/>
        <v>0</v>
      </c>
      <c r="AE59">
        <f t="shared" si="71"/>
        <v>0</v>
      </c>
      <c r="AF59">
        <f t="shared" si="71"/>
        <v>0</v>
      </c>
      <c r="AG59">
        <f t="shared" si="71"/>
        <v>0</v>
      </c>
      <c r="AH59">
        <f t="shared" si="71"/>
        <v>0</v>
      </c>
      <c r="AI59">
        <f t="shared" si="71"/>
        <v>0</v>
      </c>
      <c r="AJ59">
        <f t="shared" si="71"/>
        <v>0</v>
      </c>
      <c r="AK59">
        <f t="shared" si="71"/>
        <v>0</v>
      </c>
      <c r="AL59">
        <f t="shared" si="71"/>
        <v>0</v>
      </c>
      <c r="AM59">
        <f t="shared" si="71"/>
        <v>0</v>
      </c>
      <c r="AN59">
        <f t="shared" si="71"/>
        <v>0</v>
      </c>
      <c r="AO59">
        <f t="shared" si="71"/>
        <v>0</v>
      </c>
      <c r="AP59">
        <f t="shared" si="71"/>
        <v>0</v>
      </c>
      <c r="AQ59">
        <f t="shared" si="71"/>
        <v>0</v>
      </c>
      <c r="AR59">
        <f t="shared" si="71"/>
        <v>0</v>
      </c>
      <c r="AS59">
        <f t="shared" si="71"/>
        <v>0</v>
      </c>
      <c r="AT59">
        <f t="shared" si="71"/>
        <v>0</v>
      </c>
      <c r="AU59">
        <f t="shared" si="71"/>
        <v>0</v>
      </c>
      <c r="AV59">
        <f t="shared" si="71"/>
        <v>0</v>
      </c>
      <c r="AW59">
        <f t="shared" si="71"/>
        <v>0</v>
      </c>
      <c r="AX59">
        <f t="shared" si="71"/>
        <v>0</v>
      </c>
      <c r="AY59">
        <f t="shared" si="71"/>
        <v>0</v>
      </c>
    </row>
    <row r="60" spans="1:51" x14ac:dyDescent="0.25">
      <c r="A60" s="48" t="s">
        <v>177</v>
      </c>
      <c r="B60" s="49">
        <f t="shared" si="68"/>
        <v>0</v>
      </c>
      <c r="C60">
        <f t="shared" si="70"/>
        <v>0</v>
      </c>
      <c r="D60">
        <f t="shared" si="71"/>
        <v>0</v>
      </c>
      <c r="E60">
        <f t="shared" si="71"/>
        <v>0</v>
      </c>
      <c r="F60">
        <f t="shared" si="71"/>
        <v>0</v>
      </c>
      <c r="G60">
        <f t="shared" si="71"/>
        <v>0</v>
      </c>
      <c r="H60">
        <f t="shared" si="71"/>
        <v>0</v>
      </c>
      <c r="I60">
        <f t="shared" si="71"/>
        <v>0</v>
      </c>
      <c r="J60">
        <f t="shared" si="71"/>
        <v>0</v>
      </c>
      <c r="K60">
        <f t="shared" si="71"/>
        <v>0</v>
      </c>
      <c r="L60">
        <f t="shared" si="71"/>
        <v>0</v>
      </c>
      <c r="M60">
        <f t="shared" si="71"/>
        <v>0</v>
      </c>
      <c r="N60">
        <f t="shared" si="71"/>
        <v>0</v>
      </c>
      <c r="O60">
        <f t="shared" si="71"/>
        <v>0</v>
      </c>
      <c r="P60">
        <f t="shared" si="71"/>
        <v>0</v>
      </c>
      <c r="Q60">
        <f t="shared" si="71"/>
        <v>0</v>
      </c>
      <c r="R60">
        <f t="shared" si="71"/>
        <v>0</v>
      </c>
      <c r="S60">
        <f t="shared" si="71"/>
        <v>0</v>
      </c>
      <c r="T60">
        <f t="shared" si="71"/>
        <v>0</v>
      </c>
      <c r="U60">
        <f t="shared" si="71"/>
        <v>0</v>
      </c>
      <c r="V60">
        <f t="shared" si="71"/>
        <v>0</v>
      </c>
      <c r="W60">
        <f t="shared" si="71"/>
        <v>0</v>
      </c>
      <c r="X60">
        <f t="shared" si="71"/>
        <v>0</v>
      </c>
      <c r="Y60">
        <f t="shared" si="71"/>
        <v>0</v>
      </c>
      <c r="Z60">
        <f t="shared" si="71"/>
        <v>0</v>
      </c>
      <c r="AA60">
        <f t="shared" si="71"/>
        <v>0</v>
      </c>
      <c r="AB60">
        <f t="shared" si="71"/>
        <v>0</v>
      </c>
      <c r="AC60">
        <f t="shared" si="71"/>
        <v>0</v>
      </c>
      <c r="AD60">
        <f t="shared" si="71"/>
        <v>0</v>
      </c>
      <c r="AE60">
        <f t="shared" si="71"/>
        <v>0</v>
      </c>
      <c r="AF60">
        <f t="shared" si="71"/>
        <v>0</v>
      </c>
      <c r="AG60">
        <f t="shared" si="71"/>
        <v>0</v>
      </c>
      <c r="AH60">
        <f t="shared" si="71"/>
        <v>0</v>
      </c>
      <c r="AI60">
        <f t="shared" si="71"/>
        <v>0</v>
      </c>
      <c r="AJ60">
        <f t="shared" si="71"/>
        <v>0</v>
      </c>
      <c r="AK60">
        <f t="shared" si="71"/>
        <v>0</v>
      </c>
      <c r="AL60">
        <f t="shared" si="71"/>
        <v>0</v>
      </c>
      <c r="AM60">
        <f t="shared" si="71"/>
        <v>0</v>
      </c>
      <c r="AN60">
        <f t="shared" si="71"/>
        <v>0</v>
      </c>
      <c r="AO60">
        <f t="shared" si="71"/>
        <v>0</v>
      </c>
      <c r="AP60">
        <f t="shared" si="71"/>
        <v>0</v>
      </c>
      <c r="AQ60">
        <f t="shared" si="71"/>
        <v>0</v>
      </c>
      <c r="AR60">
        <f t="shared" si="71"/>
        <v>0</v>
      </c>
      <c r="AS60">
        <f t="shared" si="71"/>
        <v>0</v>
      </c>
      <c r="AT60">
        <f t="shared" si="71"/>
        <v>0</v>
      </c>
      <c r="AU60">
        <f t="shared" si="71"/>
        <v>0</v>
      </c>
      <c r="AV60">
        <f t="shared" si="71"/>
        <v>0</v>
      </c>
      <c r="AW60">
        <f t="shared" si="71"/>
        <v>0</v>
      </c>
      <c r="AX60">
        <f t="shared" si="71"/>
        <v>0</v>
      </c>
      <c r="AY60">
        <f t="shared" si="71"/>
        <v>0</v>
      </c>
    </row>
    <row r="61" spans="1:51" x14ac:dyDescent="0.25">
      <c r="A61" s="48" t="s">
        <v>178</v>
      </c>
      <c r="B61" s="49">
        <f t="shared" si="68"/>
        <v>0</v>
      </c>
      <c r="C61">
        <f t="shared" si="70"/>
        <v>0</v>
      </c>
      <c r="D61">
        <f t="shared" si="71"/>
        <v>0</v>
      </c>
      <c r="E61">
        <f t="shared" si="71"/>
        <v>0</v>
      </c>
      <c r="F61">
        <f t="shared" si="71"/>
        <v>0</v>
      </c>
      <c r="G61">
        <f t="shared" si="71"/>
        <v>0</v>
      </c>
      <c r="H61">
        <f t="shared" si="71"/>
        <v>0</v>
      </c>
      <c r="I61">
        <f t="shared" si="71"/>
        <v>0</v>
      </c>
      <c r="J61">
        <f t="shared" si="71"/>
        <v>0</v>
      </c>
      <c r="K61">
        <f t="shared" si="71"/>
        <v>0</v>
      </c>
      <c r="L61">
        <f t="shared" si="71"/>
        <v>0</v>
      </c>
      <c r="M61">
        <f t="shared" si="71"/>
        <v>0</v>
      </c>
      <c r="N61">
        <f t="shared" si="71"/>
        <v>0</v>
      </c>
      <c r="O61">
        <f t="shared" si="71"/>
        <v>0</v>
      </c>
      <c r="P61">
        <f t="shared" si="71"/>
        <v>0</v>
      </c>
      <c r="Q61">
        <f t="shared" si="71"/>
        <v>0</v>
      </c>
      <c r="R61">
        <f t="shared" si="71"/>
        <v>0</v>
      </c>
      <c r="S61">
        <f t="shared" si="71"/>
        <v>0</v>
      </c>
      <c r="T61">
        <f t="shared" si="71"/>
        <v>0</v>
      </c>
      <c r="U61">
        <f t="shared" si="71"/>
        <v>0</v>
      </c>
      <c r="V61">
        <f t="shared" si="71"/>
        <v>0</v>
      </c>
      <c r="W61">
        <f t="shared" si="71"/>
        <v>0</v>
      </c>
      <c r="X61">
        <f t="shared" si="71"/>
        <v>0</v>
      </c>
      <c r="Y61">
        <f t="shared" si="71"/>
        <v>0</v>
      </c>
      <c r="Z61">
        <f t="shared" si="71"/>
        <v>0</v>
      </c>
      <c r="AA61">
        <f t="shared" si="71"/>
        <v>0</v>
      </c>
      <c r="AB61">
        <f t="shared" si="71"/>
        <v>0</v>
      </c>
      <c r="AC61">
        <f t="shared" si="71"/>
        <v>0</v>
      </c>
      <c r="AD61">
        <f t="shared" si="71"/>
        <v>0</v>
      </c>
      <c r="AE61">
        <f t="shared" si="71"/>
        <v>0</v>
      </c>
      <c r="AF61">
        <f t="shared" si="71"/>
        <v>0</v>
      </c>
      <c r="AG61">
        <f t="shared" si="71"/>
        <v>0</v>
      </c>
      <c r="AH61">
        <f t="shared" si="71"/>
        <v>0</v>
      </c>
      <c r="AI61">
        <f t="shared" si="71"/>
        <v>0</v>
      </c>
      <c r="AJ61">
        <f t="shared" si="71"/>
        <v>0</v>
      </c>
      <c r="AK61">
        <f t="shared" si="71"/>
        <v>0</v>
      </c>
      <c r="AL61">
        <f t="shared" si="71"/>
        <v>0</v>
      </c>
      <c r="AM61">
        <f t="shared" si="71"/>
        <v>0</v>
      </c>
      <c r="AN61">
        <f t="shared" si="71"/>
        <v>0</v>
      </c>
      <c r="AO61">
        <f t="shared" si="71"/>
        <v>0</v>
      </c>
      <c r="AP61">
        <f t="shared" si="71"/>
        <v>0</v>
      </c>
      <c r="AQ61">
        <f t="shared" si="71"/>
        <v>0</v>
      </c>
      <c r="AR61">
        <f t="shared" si="71"/>
        <v>0</v>
      </c>
      <c r="AS61">
        <f t="shared" si="71"/>
        <v>0</v>
      </c>
      <c r="AT61">
        <f t="shared" si="71"/>
        <v>0</v>
      </c>
      <c r="AU61">
        <f t="shared" si="71"/>
        <v>0</v>
      </c>
      <c r="AV61">
        <f t="shared" si="71"/>
        <v>0</v>
      </c>
      <c r="AW61">
        <f t="shared" ref="D61:AY62" si="72">IF((AW$3+AW$4)&lt;AW$11,(AW$11-AW$3-AW$4)*AW33*10,0)</f>
        <v>0</v>
      </c>
      <c r="AX61">
        <f t="shared" si="72"/>
        <v>0</v>
      </c>
      <c r="AY61">
        <f t="shared" si="72"/>
        <v>0</v>
      </c>
    </row>
    <row r="62" spans="1:51" x14ac:dyDescent="0.25">
      <c r="A62" s="48" t="s">
        <v>179</v>
      </c>
      <c r="B62" s="49">
        <f t="shared" si="68"/>
        <v>0</v>
      </c>
      <c r="C62">
        <f t="shared" si="70"/>
        <v>0</v>
      </c>
      <c r="D62">
        <f t="shared" si="72"/>
        <v>0</v>
      </c>
      <c r="E62">
        <f t="shared" si="72"/>
        <v>0</v>
      </c>
      <c r="F62">
        <f t="shared" si="72"/>
        <v>0</v>
      </c>
      <c r="G62">
        <f t="shared" si="72"/>
        <v>0</v>
      </c>
      <c r="H62">
        <f t="shared" si="72"/>
        <v>0</v>
      </c>
      <c r="I62">
        <f t="shared" si="72"/>
        <v>0</v>
      </c>
      <c r="J62">
        <f t="shared" si="72"/>
        <v>0</v>
      </c>
      <c r="K62">
        <f t="shared" si="72"/>
        <v>0</v>
      </c>
      <c r="L62">
        <f t="shared" si="72"/>
        <v>0</v>
      </c>
      <c r="M62">
        <f t="shared" si="72"/>
        <v>0</v>
      </c>
      <c r="N62">
        <f t="shared" si="72"/>
        <v>0</v>
      </c>
      <c r="O62">
        <f t="shared" si="72"/>
        <v>0</v>
      </c>
      <c r="P62">
        <f t="shared" si="72"/>
        <v>0</v>
      </c>
      <c r="Q62">
        <f t="shared" si="72"/>
        <v>0</v>
      </c>
      <c r="R62">
        <f t="shared" si="72"/>
        <v>0</v>
      </c>
      <c r="S62">
        <f t="shared" si="72"/>
        <v>0</v>
      </c>
      <c r="T62">
        <f t="shared" si="72"/>
        <v>0</v>
      </c>
      <c r="U62">
        <f t="shared" si="72"/>
        <v>0</v>
      </c>
      <c r="V62">
        <f t="shared" si="72"/>
        <v>0</v>
      </c>
      <c r="W62">
        <f t="shared" si="72"/>
        <v>0</v>
      </c>
      <c r="X62">
        <f t="shared" si="72"/>
        <v>0</v>
      </c>
      <c r="Y62">
        <f t="shared" si="72"/>
        <v>0</v>
      </c>
      <c r="Z62">
        <f t="shared" si="72"/>
        <v>0</v>
      </c>
      <c r="AA62">
        <f t="shared" si="72"/>
        <v>0</v>
      </c>
      <c r="AB62">
        <f t="shared" si="72"/>
        <v>0</v>
      </c>
      <c r="AC62">
        <f t="shared" si="72"/>
        <v>0</v>
      </c>
      <c r="AD62">
        <f t="shared" si="72"/>
        <v>0</v>
      </c>
      <c r="AE62">
        <f t="shared" si="72"/>
        <v>0</v>
      </c>
      <c r="AF62">
        <f t="shared" si="72"/>
        <v>0</v>
      </c>
      <c r="AG62">
        <f t="shared" si="72"/>
        <v>0</v>
      </c>
      <c r="AH62">
        <f t="shared" si="72"/>
        <v>0</v>
      </c>
      <c r="AI62">
        <f t="shared" si="72"/>
        <v>0</v>
      </c>
      <c r="AJ62">
        <f t="shared" si="72"/>
        <v>0</v>
      </c>
      <c r="AK62">
        <f t="shared" si="72"/>
        <v>0</v>
      </c>
      <c r="AL62">
        <f t="shared" si="72"/>
        <v>0</v>
      </c>
      <c r="AM62">
        <f t="shared" si="72"/>
        <v>0</v>
      </c>
      <c r="AN62">
        <f t="shared" si="72"/>
        <v>0</v>
      </c>
      <c r="AO62">
        <f t="shared" si="72"/>
        <v>0</v>
      </c>
      <c r="AP62">
        <f t="shared" si="72"/>
        <v>0</v>
      </c>
      <c r="AQ62">
        <f t="shared" si="72"/>
        <v>0</v>
      </c>
      <c r="AR62">
        <f t="shared" si="72"/>
        <v>0</v>
      </c>
      <c r="AS62">
        <f t="shared" si="72"/>
        <v>0</v>
      </c>
      <c r="AT62">
        <f t="shared" si="72"/>
        <v>0</v>
      </c>
      <c r="AU62">
        <f t="shared" si="72"/>
        <v>0</v>
      </c>
      <c r="AV62">
        <f t="shared" si="72"/>
        <v>0</v>
      </c>
      <c r="AW62">
        <f t="shared" si="72"/>
        <v>0</v>
      </c>
      <c r="AX62">
        <f t="shared" si="72"/>
        <v>0</v>
      </c>
      <c r="AY62">
        <f t="shared" si="72"/>
        <v>0</v>
      </c>
    </row>
    <row r="63" spans="1:51" x14ac:dyDescent="0.25">
      <c r="A63" s="48"/>
      <c r="B63" s="50"/>
    </row>
    <row r="64" spans="1:51" x14ac:dyDescent="0.25">
      <c r="A64" s="473" t="s">
        <v>70</v>
      </c>
      <c r="B64" s="474"/>
    </row>
    <row r="65" spans="1:51" x14ac:dyDescent="0.25">
      <c r="A65" s="48" t="s">
        <v>168</v>
      </c>
      <c r="B65" s="52">
        <f>SUM(C65:AY65)/2.8</f>
        <v>27.647398589065265</v>
      </c>
      <c r="C65">
        <f>(C$13+C$14)/(C$3+C$4)*C$9*C23</f>
        <v>0</v>
      </c>
      <c r="D65">
        <f t="shared" ref="D65:J65" si="73">(D$13+D$14)/(D$3+D$4)*D$9*D23</f>
        <v>0</v>
      </c>
      <c r="E65">
        <f t="shared" si="73"/>
        <v>0</v>
      </c>
      <c r="F65">
        <f t="shared" si="73"/>
        <v>0.19499999999999998</v>
      </c>
      <c r="G65">
        <f t="shared" si="73"/>
        <v>0.38513888888888886</v>
      </c>
      <c r="H65">
        <f t="shared" si="73"/>
        <v>0.38027777777777777</v>
      </c>
      <c r="I65">
        <f t="shared" si="73"/>
        <v>0.37541666666666668</v>
      </c>
      <c r="J65">
        <f t="shared" si="73"/>
        <v>0.74111111111111105</v>
      </c>
      <c r="K65">
        <f>(K$13+K$14)/(K$3+K$4)*K$9*K23</f>
        <v>3.1084027777777776</v>
      </c>
      <c r="L65">
        <f t="shared" ref="L65:AA65" si="74">(L$13+L$14)/(L$3+L$4)*L$9*L23</f>
        <v>2.7062499999999998</v>
      </c>
      <c r="M65">
        <f t="shared" si="74"/>
        <v>3.3817361111111115</v>
      </c>
      <c r="N65">
        <f t="shared" si="74"/>
        <v>4.2133333333333338</v>
      </c>
      <c r="O65">
        <f t="shared" si="74"/>
        <v>3.9454938271604938</v>
      </c>
      <c r="P65">
        <f t="shared" si="74"/>
        <v>2.0103703703703708</v>
      </c>
      <c r="Q65">
        <f t="shared" si="74"/>
        <v>4.415</v>
      </c>
      <c r="R65">
        <f t="shared" si="74"/>
        <v>9.5703703703703713</v>
      </c>
      <c r="S65">
        <f t="shared" si="74"/>
        <v>8.085679012345679</v>
      </c>
      <c r="T65">
        <f t="shared" si="74"/>
        <v>6.6651851851851847</v>
      </c>
      <c r="U65">
        <f t="shared" si="74"/>
        <v>14.599444444444446</v>
      </c>
      <c r="V65">
        <f t="shared" si="74"/>
        <v>4.5906172839506176</v>
      </c>
      <c r="W65">
        <f t="shared" si="74"/>
        <v>3.2072222222222218</v>
      </c>
      <c r="X65">
        <f t="shared" si="74"/>
        <v>2.7766666666666664</v>
      </c>
      <c r="Y65">
        <f t="shared" si="74"/>
        <v>1</v>
      </c>
      <c r="Z65">
        <f t="shared" si="74"/>
        <v>1.06</v>
      </c>
      <c r="AA65">
        <f t="shared" si="74"/>
        <v>0</v>
      </c>
      <c r="AB65">
        <f t="shared" ref="AB65:AY65" si="75">(AB$13+AB$14)/(AB$3+AB$4)*AB$9*AB23</f>
        <v>0</v>
      </c>
      <c r="AC65">
        <f t="shared" si="75"/>
        <v>0</v>
      </c>
      <c r="AD65">
        <f t="shared" si="75"/>
        <v>0</v>
      </c>
      <c r="AE65">
        <f t="shared" si="75"/>
        <v>0</v>
      </c>
      <c r="AF65">
        <f t="shared" si="75"/>
        <v>0</v>
      </c>
      <c r="AG65">
        <f t="shared" si="75"/>
        <v>0</v>
      </c>
      <c r="AH65">
        <f t="shared" si="75"/>
        <v>0</v>
      </c>
      <c r="AI65">
        <f t="shared" si="75"/>
        <v>0</v>
      </c>
      <c r="AJ65">
        <f t="shared" si="75"/>
        <v>0</v>
      </c>
      <c r="AK65">
        <f t="shared" si="75"/>
        <v>0</v>
      </c>
      <c r="AL65">
        <f t="shared" si="75"/>
        <v>0</v>
      </c>
      <c r="AM65">
        <f t="shared" si="75"/>
        <v>0</v>
      </c>
      <c r="AN65">
        <f t="shared" si="75"/>
        <v>0</v>
      </c>
      <c r="AO65">
        <f t="shared" si="75"/>
        <v>0</v>
      </c>
      <c r="AP65">
        <f t="shared" si="75"/>
        <v>0</v>
      </c>
      <c r="AQ65">
        <f t="shared" si="75"/>
        <v>0</v>
      </c>
      <c r="AR65">
        <f t="shared" si="75"/>
        <v>0</v>
      </c>
      <c r="AS65">
        <f t="shared" si="75"/>
        <v>0</v>
      </c>
      <c r="AT65">
        <f t="shared" si="75"/>
        <v>0</v>
      </c>
      <c r="AU65">
        <f t="shared" si="75"/>
        <v>0</v>
      </c>
      <c r="AV65">
        <f t="shared" si="75"/>
        <v>0</v>
      </c>
      <c r="AW65">
        <f t="shared" si="75"/>
        <v>0</v>
      </c>
      <c r="AX65">
        <f t="shared" si="75"/>
        <v>0</v>
      </c>
      <c r="AY65">
        <f t="shared" si="75"/>
        <v>0</v>
      </c>
    </row>
    <row r="66" spans="1:51" x14ac:dyDescent="0.25">
      <c r="A66" s="48" t="s">
        <v>169</v>
      </c>
      <c r="B66" s="52">
        <f t="shared" ref="B66:B76" si="76">SUM(C66:AY66)/2.8</f>
        <v>25.184118165784835</v>
      </c>
      <c r="C66">
        <f t="shared" ref="C66:J76" si="77">(C$13+C$14)/(C$3+C$4)*C$9*C24</f>
        <v>0</v>
      </c>
      <c r="D66">
        <f t="shared" si="77"/>
        <v>0.21699999999999997</v>
      </c>
      <c r="E66">
        <f t="shared" si="77"/>
        <v>0.20599999999999999</v>
      </c>
      <c r="F66">
        <f t="shared" si="77"/>
        <v>0</v>
      </c>
      <c r="G66">
        <f t="shared" si="77"/>
        <v>0.57770833333333327</v>
      </c>
      <c r="H66">
        <f t="shared" si="77"/>
        <v>0.38027777777777777</v>
      </c>
      <c r="I66">
        <f t="shared" si="77"/>
        <v>0.37541666666666668</v>
      </c>
      <c r="J66">
        <f t="shared" si="77"/>
        <v>0.37055555555555553</v>
      </c>
      <c r="K66">
        <f t="shared" ref="K66:Z66" si="78">(K$13+K$14)/(K$3+K$4)*K$9*K24</f>
        <v>1.2799305555555556</v>
      </c>
      <c r="L66">
        <f t="shared" si="78"/>
        <v>1.62375</v>
      </c>
      <c r="M66">
        <f t="shared" si="78"/>
        <v>2.4918055555555556</v>
      </c>
      <c r="N66">
        <f t="shared" si="78"/>
        <v>2.8088888888888892</v>
      </c>
      <c r="O66">
        <f t="shared" si="78"/>
        <v>3.2593209876543208</v>
      </c>
      <c r="P66">
        <f t="shared" si="78"/>
        <v>5.0259259259259261</v>
      </c>
      <c r="Q66">
        <f t="shared" si="78"/>
        <v>7.8488888888888884</v>
      </c>
      <c r="R66">
        <f t="shared" si="78"/>
        <v>14.515061728395063</v>
      </c>
      <c r="S66">
        <f t="shared" si="78"/>
        <v>12.750493827160495</v>
      </c>
      <c r="T66">
        <f t="shared" si="78"/>
        <v>3.7870370370370368</v>
      </c>
      <c r="U66">
        <f t="shared" si="78"/>
        <v>2.9493827160493828</v>
      </c>
      <c r="V66">
        <f t="shared" si="78"/>
        <v>3.5864197530864201</v>
      </c>
      <c r="W66">
        <f t="shared" si="78"/>
        <v>2.3705555555555553</v>
      </c>
      <c r="X66">
        <f t="shared" si="78"/>
        <v>1.4544444444444444</v>
      </c>
      <c r="Y66">
        <f t="shared" si="78"/>
        <v>0.875</v>
      </c>
      <c r="Z66">
        <f t="shared" si="78"/>
        <v>0.70666666666666678</v>
      </c>
      <c r="AA66">
        <f t="shared" ref="AA66:AY66" si="79">(AA$13+AA$14)/(AA$3+AA$4)*AA$9*AA24</f>
        <v>0.33166666666666667</v>
      </c>
      <c r="AB66">
        <f t="shared" si="79"/>
        <v>0.72333333333333338</v>
      </c>
      <c r="AC66">
        <f t="shared" si="79"/>
        <v>0</v>
      </c>
      <c r="AD66">
        <f t="shared" si="79"/>
        <v>0</v>
      </c>
      <c r="AE66">
        <f t="shared" si="79"/>
        <v>0</v>
      </c>
      <c r="AF66">
        <f t="shared" si="79"/>
        <v>0</v>
      </c>
      <c r="AG66">
        <f t="shared" si="79"/>
        <v>0</v>
      </c>
      <c r="AH66">
        <f t="shared" si="79"/>
        <v>0</v>
      </c>
      <c r="AI66">
        <f t="shared" si="79"/>
        <v>0</v>
      </c>
      <c r="AJ66">
        <f t="shared" si="79"/>
        <v>0</v>
      </c>
      <c r="AK66">
        <f t="shared" si="79"/>
        <v>0</v>
      </c>
      <c r="AL66">
        <f t="shared" si="79"/>
        <v>0</v>
      </c>
      <c r="AM66">
        <f t="shared" si="79"/>
        <v>0</v>
      </c>
      <c r="AN66">
        <f t="shared" si="79"/>
        <v>0</v>
      </c>
      <c r="AO66">
        <f t="shared" si="79"/>
        <v>0</v>
      </c>
      <c r="AP66">
        <f t="shared" si="79"/>
        <v>0</v>
      </c>
      <c r="AQ66">
        <f t="shared" si="79"/>
        <v>0</v>
      </c>
      <c r="AR66">
        <f t="shared" si="79"/>
        <v>0</v>
      </c>
      <c r="AS66">
        <f t="shared" si="79"/>
        <v>0</v>
      </c>
      <c r="AT66">
        <f t="shared" si="79"/>
        <v>0</v>
      </c>
      <c r="AU66">
        <f t="shared" si="79"/>
        <v>0</v>
      </c>
      <c r="AV66">
        <f t="shared" si="79"/>
        <v>0</v>
      </c>
      <c r="AW66">
        <f t="shared" si="79"/>
        <v>0</v>
      </c>
      <c r="AX66">
        <f t="shared" si="79"/>
        <v>0</v>
      </c>
      <c r="AY66">
        <f t="shared" si="79"/>
        <v>0</v>
      </c>
    </row>
    <row r="67" spans="1:51" x14ac:dyDescent="0.25">
      <c r="A67" s="48" t="s">
        <v>170</v>
      </c>
      <c r="B67" s="52">
        <f t="shared" si="76"/>
        <v>23.016206449388612</v>
      </c>
      <c r="C67">
        <f t="shared" si="77"/>
        <v>0</v>
      </c>
      <c r="D67">
        <f t="shared" si="77"/>
        <v>0</v>
      </c>
      <c r="E67">
        <f t="shared" si="77"/>
        <v>0</v>
      </c>
      <c r="F67">
        <f t="shared" si="77"/>
        <v>0</v>
      </c>
      <c r="G67">
        <f t="shared" si="77"/>
        <v>0</v>
      </c>
      <c r="H67">
        <f t="shared" si="77"/>
        <v>0</v>
      </c>
      <c r="I67">
        <f t="shared" si="77"/>
        <v>0</v>
      </c>
      <c r="J67">
        <f t="shared" si="77"/>
        <v>0</v>
      </c>
      <c r="K67">
        <f t="shared" ref="K67:Z67" si="80">(K$13+K$14)/(K$3+K$4)*K$9*K25</f>
        <v>0</v>
      </c>
      <c r="L67">
        <f t="shared" si="80"/>
        <v>0</v>
      </c>
      <c r="M67">
        <f t="shared" si="80"/>
        <v>0</v>
      </c>
      <c r="N67">
        <f t="shared" si="80"/>
        <v>0</v>
      </c>
      <c r="O67">
        <f t="shared" si="80"/>
        <v>0.3430864197530864</v>
      </c>
      <c r="P67">
        <f t="shared" si="80"/>
        <v>1.5077777777777779</v>
      </c>
      <c r="Q67">
        <f t="shared" si="80"/>
        <v>0.98111111111111104</v>
      </c>
      <c r="R67">
        <f t="shared" si="80"/>
        <v>1.5950617283950619</v>
      </c>
      <c r="S67">
        <f t="shared" si="80"/>
        <v>2.3324074074074077</v>
      </c>
      <c r="T67">
        <f t="shared" si="80"/>
        <v>6.5137037037037029</v>
      </c>
      <c r="U67">
        <f t="shared" si="80"/>
        <v>8.4057407407407414</v>
      </c>
      <c r="V67">
        <f t="shared" si="80"/>
        <v>4.3037037037037038</v>
      </c>
      <c r="W67">
        <f t="shared" si="80"/>
        <v>7.9483333333333324</v>
      </c>
      <c r="X67">
        <f t="shared" si="80"/>
        <v>7.0077777777777772</v>
      </c>
      <c r="Y67">
        <f t="shared" si="80"/>
        <v>5.875</v>
      </c>
      <c r="Z67">
        <f t="shared" si="80"/>
        <v>4.8288888888888897</v>
      </c>
      <c r="AA67">
        <f t="shared" ref="AA67:AY67" si="81">(AA$13+AA$14)/(AA$3+AA$4)*AA$9*AA25</f>
        <v>3.98</v>
      </c>
      <c r="AB67">
        <f t="shared" si="81"/>
        <v>2.79</v>
      </c>
      <c r="AC67">
        <f t="shared" si="81"/>
        <v>2.5984268983102128</v>
      </c>
      <c r="AD67">
        <f t="shared" si="81"/>
        <v>1.1607368155437801</v>
      </c>
      <c r="AE67">
        <f t="shared" si="81"/>
        <v>1.2179014620960806</v>
      </c>
      <c r="AF67">
        <f t="shared" si="81"/>
        <v>0.45398307790549164</v>
      </c>
      <c r="AG67">
        <f t="shared" si="81"/>
        <v>0.1761043004475579</v>
      </c>
      <c r="AH67">
        <f t="shared" si="81"/>
        <v>0.42563291139240511</v>
      </c>
      <c r="AI67">
        <f t="shared" si="81"/>
        <v>0</v>
      </c>
      <c r="AJ67">
        <f t="shared" si="81"/>
        <v>0</v>
      </c>
      <c r="AK67">
        <f t="shared" si="81"/>
        <v>0</v>
      </c>
      <c r="AL67">
        <f t="shared" si="81"/>
        <v>0</v>
      </c>
      <c r="AM67">
        <f t="shared" si="81"/>
        <v>0</v>
      </c>
      <c r="AN67">
        <f t="shared" si="81"/>
        <v>0</v>
      </c>
      <c r="AO67">
        <f t="shared" si="81"/>
        <v>0</v>
      </c>
      <c r="AP67">
        <f t="shared" si="81"/>
        <v>0</v>
      </c>
      <c r="AQ67">
        <f t="shared" si="81"/>
        <v>0</v>
      </c>
      <c r="AR67">
        <f t="shared" si="81"/>
        <v>0</v>
      </c>
      <c r="AS67">
        <f t="shared" si="81"/>
        <v>0</v>
      </c>
      <c r="AT67">
        <f t="shared" si="81"/>
        <v>0</v>
      </c>
      <c r="AU67">
        <f t="shared" si="81"/>
        <v>0</v>
      </c>
      <c r="AV67">
        <f t="shared" si="81"/>
        <v>0</v>
      </c>
      <c r="AW67">
        <f t="shared" si="81"/>
        <v>0</v>
      </c>
      <c r="AX67">
        <f t="shared" si="81"/>
        <v>0</v>
      </c>
      <c r="AY67">
        <f t="shared" si="81"/>
        <v>0</v>
      </c>
    </row>
    <row r="68" spans="1:51" x14ac:dyDescent="0.25">
      <c r="A68" s="48" t="s">
        <v>171</v>
      </c>
      <c r="B68" s="52">
        <f t="shared" si="76"/>
        <v>17.70511574252895</v>
      </c>
      <c r="C68">
        <f t="shared" si="77"/>
        <v>0</v>
      </c>
      <c r="D68">
        <f t="shared" si="77"/>
        <v>0</v>
      </c>
      <c r="E68">
        <f t="shared" si="77"/>
        <v>0</v>
      </c>
      <c r="F68">
        <f t="shared" si="77"/>
        <v>0</v>
      </c>
      <c r="G68">
        <f t="shared" si="77"/>
        <v>0</v>
      </c>
      <c r="H68">
        <f t="shared" si="77"/>
        <v>0</v>
      </c>
      <c r="I68">
        <f t="shared" si="77"/>
        <v>0</v>
      </c>
      <c r="J68">
        <f t="shared" si="77"/>
        <v>0</v>
      </c>
      <c r="K68">
        <f t="shared" ref="K68:Z68" si="82">(K$13+K$14)/(K$3+K$4)*K$9*K26</f>
        <v>0</v>
      </c>
      <c r="L68">
        <f t="shared" si="82"/>
        <v>0</v>
      </c>
      <c r="M68">
        <f t="shared" si="82"/>
        <v>0</v>
      </c>
      <c r="N68">
        <f t="shared" si="82"/>
        <v>0</v>
      </c>
      <c r="O68">
        <f t="shared" si="82"/>
        <v>0</v>
      </c>
      <c r="P68">
        <f t="shared" si="82"/>
        <v>0</v>
      </c>
      <c r="Q68">
        <f t="shared" si="82"/>
        <v>0</v>
      </c>
      <c r="R68">
        <f t="shared" si="82"/>
        <v>0</v>
      </c>
      <c r="S68">
        <f t="shared" si="82"/>
        <v>0</v>
      </c>
      <c r="T68">
        <f t="shared" si="82"/>
        <v>0.75740740740740731</v>
      </c>
      <c r="U68">
        <f t="shared" si="82"/>
        <v>1.1797530864197532</v>
      </c>
      <c r="V68">
        <f t="shared" si="82"/>
        <v>2.869135802469136</v>
      </c>
      <c r="W68">
        <f t="shared" si="82"/>
        <v>2.7888888888888888</v>
      </c>
      <c r="X68">
        <f t="shared" si="82"/>
        <v>3.57</v>
      </c>
      <c r="Y68">
        <f t="shared" si="82"/>
        <v>3.375</v>
      </c>
      <c r="Z68">
        <f t="shared" si="82"/>
        <v>3.4155555555555557</v>
      </c>
      <c r="AA68">
        <f t="shared" ref="AA68:AY68" si="83">(AA$13+AA$14)/(AA$3+AA$4)*AA$9*AA26</f>
        <v>3.98</v>
      </c>
      <c r="AB68">
        <f t="shared" si="83"/>
        <v>3.7199999999999998</v>
      </c>
      <c r="AC68">
        <f t="shared" si="83"/>
        <v>3.4978823631099014</v>
      </c>
      <c r="AD68">
        <f t="shared" si="83"/>
        <v>4.9331314660610648</v>
      </c>
      <c r="AE68">
        <f t="shared" si="83"/>
        <v>2.5294876520457059</v>
      </c>
      <c r="AF68">
        <f t="shared" si="83"/>
        <v>2.9054916985951467</v>
      </c>
      <c r="AG68">
        <f t="shared" si="83"/>
        <v>2.0251994551469159</v>
      </c>
      <c r="AH68">
        <f t="shared" si="83"/>
        <v>1.1917721518987343</v>
      </c>
      <c r="AI68">
        <f t="shared" si="83"/>
        <v>1.4821108570722361</v>
      </c>
      <c r="AJ68">
        <f t="shared" si="83"/>
        <v>0.63745019920318724</v>
      </c>
      <c r="AK68">
        <f t="shared" si="83"/>
        <v>0.69695199660152929</v>
      </c>
      <c r="AL68">
        <f t="shared" si="83"/>
        <v>1.5059198227515058</v>
      </c>
      <c r="AM68">
        <f t="shared" si="83"/>
        <v>1.2451734182360115</v>
      </c>
      <c r="AN68">
        <f t="shared" si="83"/>
        <v>0.7128174524235793</v>
      </c>
      <c r="AO68">
        <f t="shared" si="83"/>
        <v>0.27759740259740256</v>
      </c>
      <c r="AP68">
        <f t="shared" si="83"/>
        <v>0.27759740259740256</v>
      </c>
      <c r="AQ68">
        <f t="shared" si="83"/>
        <v>0</v>
      </c>
      <c r="AR68">
        <f t="shared" si="83"/>
        <v>0</v>
      </c>
      <c r="AS68">
        <f t="shared" si="83"/>
        <v>0</v>
      </c>
      <c r="AT68">
        <f t="shared" si="83"/>
        <v>0</v>
      </c>
      <c r="AU68">
        <f t="shared" si="83"/>
        <v>0</v>
      </c>
      <c r="AV68">
        <f t="shared" si="83"/>
        <v>0</v>
      </c>
      <c r="AW68">
        <f t="shared" si="83"/>
        <v>0</v>
      </c>
      <c r="AX68">
        <f t="shared" si="83"/>
        <v>0</v>
      </c>
      <c r="AY68">
        <f t="shared" si="83"/>
        <v>0</v>
      </c>
    </row>
    <row r="69" spans="1:51" x14ac:dyDescent="0.25">
      <c r="A69" s="48" t="s">
        <v>172</v>
      </c>
      <c r="B69" s="52">
        <f t="shared" si="76"/>
        <v>14.840334127849145</v>
      </c>
      <c r="C69">
        <f t="shared" si="77"/>
        <v>0</v>
      </c>
      <c r="D69">
        <f t="shared" si="77"/>
        <v>0</v>
      </c>
      <c r="E69">
        <f t="shared" si="77"/>
        <v>0</v>
      </c>
      <c r="F69">
        <f t="shared" si="77"/>
        <v>0</v>
      </c>
      <c r="G69">
        <f t="shared" si="77"/>
        <v>0</v>
      </c>
      <c r="H69">
        <f t="shared" si="77"/>
        <v>0</v>
      </c>
      <c r="I69">
        <f t="shared" si="77"/>
        <v>0</v>
      </c>
      <c r="J69">
        <f t="shared" si="77"/>
        <v>0</v>
      </c>
      <c r="K69">
        <f t="shared" ref="K69:Z69" si="84">(K$13+K$14)/(K$3+K$4)*K$9*K27</f>
        <v>0</v>
      </c>
      <c r="L69">
        <f t="shared" si="84"/>
        <v>0</v>
      </c>
      <c r="M69">
        <f t="shared" si="84"/>
        <v>0</v>
      </c>
      <c r="N69">
        <f t="shared" si="84"/>
        <v>0</v>
      </c>
      <c r="O69">
        <f t="shared" si="84"/>
        <v>0</v>
      </c>
      <c r="P69">
        <f t="shared" si="84"/>
        <v>0</v>
      </c>
      <c r="Q69">
        <f t="shared" si="84"/>
        <v>0</v>
      </c>
      <c r="R69">
        <f t="shared" si="84"/>
        <v>0</v>
      </c>
      <c r="S69">
        <f t="shared" si="84"/>
        <v>0</v>
      </c>
      <c r="T69">
        <f t="shared" si="84"/>
        <v>0</v>
      </c>
      <c r="U69">
        <f t="shared" si="84"/>
        <v>0</v>
      </c>
      <c r="V69">
        <f t="shared" si="84"/>
        <v>0</v>
      </c>
      <c r="W69">
        <f t="shared" si="84"/>
        <v>0</v>
      </c>
      <c r="X69">
        <f t="shared" si="84"/>
        <v>0.39666666666666661</v>
      </c>
      <c r="Y69">
        <f t="shared" si="84"/>
        <v>0.75</v>
      </c>
      <c r="Z69">
        <f t="shared" si="84"/>
        <v>1.2955555555555556</v>
      </c>
      <c r="AA69">
        <f t="shared" ref="AA69:AY69" si="85">(AA$13+AA$14)/(AA$3+AA$4)*AA$9*AA27</f>
        <v>0.66333333333333333</v>
      </c>
      <c r="AB69">
        <f t="shared" si="85"/>
        <v>0.82666666666666666</v>
      </c>
      <c r="AC69">
        <f t="shared" si="85"/>
        <v>2.198668913954795</v>
      </c>
      <c r="AD69">
        <f t="shared" si="85"/>
        <v>2.4182016990495416</v>
      </c>
      <c r="AE69">
        <f t="shared" si="85"/>
        <v>2.248433468485072</v>
      </c>
      <c r="AF69">
        <f t="shared" si="85"/>
        <v>1.9975255427841634</v>
      </c>
      <c r="AG69">
        <f t="shared" si="85"/>
        <v>3.3459817085035999</v>
      </c>
      <c r="AH69">
        <f t="shared" si="85"/>
        <v>3.745569620253165</v>
      </c>
      <c r="AI69">
        <f t="shared" si="85"/>
        <v>2.8818822220849034</v>
      </c>
      <c r="AJ69">
        <f t="shared" si="85"/>
        <v>4.2231075697211153</v>
      </c>
      <c r="AK69">
        <f t="shared" si="85"/>
        <v>3.5621990937411496</v>
      </c>
      <c r="AL69">
        <f t="shared" si="85"/>
        <v>3.0118396455030116</v>
      </c>
      <c r="AM69">
        <f t="shared" si="85"/>
        <v>1.904382874949194</v>
      </c>
      <c r="AN69">
        <f t="shared" si="85"/>
        <v>1.7107618858165905</v>
      </c>
      <c r="AO69">
        <f t="shared" si="85"/>
        <v>1.8737824675324672</v>
      </c>
      <c r="AP69">
        <f t="shared" si="85"/>
        <v>1.3879870129870129</v>
      </c>
      <c r="AQ69">
        <f t="shared" si="85"/>
        <v>0.90219155844155829</v>
      </c>
      <c r="AR69">
        <f t="shared" si="85"/>
        <v>0.20819805194805191</v>
      </c>
      <c r="AS69">
        <f t="shared" si="85"/>
        <v>0</v>
      </c>
      <c r="AT69">
        <f t="shared" si="85"/>
        <v>0</v>
      </c>
      <c r="AU69">
        <f t="shared" si="85"/>
        <v>0</v>
      </c>
      <c r="AV69">
        <f t="shared" si="85"/>
        <v>0</v>
      </c>
      <c r="AW69">
        <f t="shared" si="85"/>
        <v>0</v>
      </c>
      <c r="AX69">
        <f t="shared" si="85"/>
        <v>0</v>
      </c>
      <c r="AY69">
        <f t="shared" si="85"/>
        <v>0</v>
      </c>
    </row>
    <row r="70" spans="1:51" x14ac:dyDescent="0.25">
      <c r="A70" s="48" t="s">
        <v>173</v>
      </c>
      <c r="B70" s="52">
        <f t="shared" si="76"/>
        <v>13.472358843958965</v>
      </c>
      <c r="C70">
        <f t="shared" si="77"/>
        <v>0</v>
      </c>
      <c r="D70">
        <f t="shared" si="77"/>
        <v>0</v>
      </c>
      <c r="E70">
        <f t="shared" si="77"/>
        <v>0</v>
      </c>
      <c r="F70">
        <f t="shared" si="77"/>
        <v>0</v>
      </c>
      <c r="G70">
        <f t="shared" si="77"/>
        <v>0</v>
      </c>
      <c r="H70">
        <f t="shared" si="77"/>
        <v>0</v>
      </c>
      <c r="I70">
        <f t="shared" si="77"/>
        <v>0</v>
      </c>
      <c r="J70">
        <f t="shared" si="77"/>
        <v>0</v>
      </c>
      <c r="K70">
        <f t="shared" ref="K70:Z70" si="86">(K$13+K$14)/(K$3+K$4)*K$9*K28</f>
        <v>0</v>
      </c>
      <c r="L70">
        <f t="shared" si="86"/>
        <v>0</v>
      </c>
      <c r="M70">
        <f t="shared" si="86"/>
        <v>0</v>
      </c>
      <c r="N70">
        <f t="shared" si="86"/>
        <v>0</v>
      </c>
      <c r="O70">
        <f t="shared" si="86"/>
        <v>0</v>
      </c>
      <c r="P70">
        <f t="shared" si="86"/>
        <v>0</v>
      </c>
      <c r="Q70">
        <f t="shared" si="86"/>
        <v>0</v>
      </c>
      <c r="R70">
        <f t="shared" si="86"/>
        <v>0</v>
      </c>
      <c r="S70">
        <f t="shared" si="86"/>
        <v>0</v>
      </c>
      <c r="T70">
        <f t="shared" si="86"/>
        <v>0</v>
      </c>
      <c r="U70">
        <f t="shared" si="86"/>
        <v>0</v>
      </c>
      <c r="V70">
        <f t="shared" si="86"/>
        <v>0</v>
      </c>
      <c r="W70">
        <f t="shared" si="86"/>
        <v>0</v>
      </c>
      <c r="X70">
        <f t="shared" si="86"/>
        <v>0</v>
      </c>
      <c r="Y70">
        <f t="shared" si="86"/>
        <v>0</v>
      </c>
      <c r="Z70">
        <f t="shared" si="86"/>
        <v>0</v>
      </c>
      <c r="AA70">
        <f t="shared" ref="AA70:AY70" si="87">(AA$13+AA$14)/(AA$3+AA$4)*AA$9*AA28</f>
        <v>0</v>
      </c>
      <c r="AB70">
        <f t="shared" si="87"/>
        <v>0.20666666666666667</v>
      </c>
      <c r="AC70">
        <f t="shared" si="87"/>
        <v>0.19987899217770866</v>
      </c>
      <c r="AD70">
        <f t="shared" si="87"/>
        <v>0.7738245436958533</v>
      </c>
      <c r="AE70">
        <f t="shared" si="87"/>
        <v>2.3421181963386166</v>
      </c>
      <c r="AF70">
        <f t="shared" si="87"/>
        <v>4.1766443167305232</v>
      </c>
      <c r="AG70">
        <f t="shared" si="87"/>
        <v>2.2893559058182529</v>
      </c>
      <c r="AH70">
        <f t="shared" si="87"/>
        <v>2.3835443037974686</v>
      </c>
      <c r="AI70">
        <f t="shared" si="87"/>
        <v>2.7995427300253346</v>
      </c>
      <c r="AJ70">
        <f t="shared" si="87"/>
        <v>3.5059760956175299</v>
      </c>
      <c r="AK70">
        <f t="shared" si="87"/>
        <v>2.2457342112715941</v>
      </c>
      <c r="AL70">
        <f t="shared" si="87"/>
        <v>3.1624316277781621</v>
      </c>
      <c r="AM70">
        <f t="shared" si="87"/>
        <v>1.904382874949194</v>
      </c>
      <c r="AN70">
        <f t="shared" si="87"/>
        <v>2.7799880644519592</v>
      </c>
      <c r="AO70">
        <f t="shared" si="87"/>
        <v>1.3185876623376622</v>
      </c>
      <c r="AP70">
        <f t="shared" si="87"/>
        <v>1.3879870129870129</v>
      </c>
      <c r="AQ70">
        <f t="shared" si="87"/>
        <v>1.3879870129870129</v>
      </c>
      <c r="AR70">
        <f t="shared" si="87"/>
        <v>1.4573863636363635</v>
      </c>
      <c r="AS70">
        <f t="shared" si="87"/>
        <v>1.5961850649350648</v>
      </c>
      <c r="AT70">
        <f t="shared" si="87"/>
        <v>1.0409902597402596</v>
      </c>
      <c r="AU70">
        <f t="shared" si="87"/>
        <v>0.20819805194805191</v>
      </c>
      <c r="AV70">
        <f t="shared" si="87"/>
        <v>0.20819805194805191</v>
      </c>
      <c r="AW70">
        <f t="shared" si="87"/>
        <v>0.34699675324675322</v>
      </c>
      <c r="AX70">
        <f t="shared" si="87"/>
        <v>0</v>
      </c>
      <c r="AY70">
        <f t="shared" si="87"/>
        <v>0</v>
      </c>
    </row>
    <row r="71" spans="1:51" x14ac:dyDescent="0.25">
      <c r="A71" s="48" t="s">
        <v>174</v>
      </c>
      <c r="B71" s="52">
        <f t="shared" si="76"/>
        <v>13.007026554133269</v>
      </c>
      <c r="C71">
        <f t="shared" si="77"/>
        <v>0</v>
      </c>
      <c r="D71">
        <f t="shared" si="77"/>
        <v>0</v>
      </c>
      <c r="E71">
        <f t="shared" si="77"/>
        <v>0</v>
      </c>
      <c r="F71">
        <f t="shared" si="77"/>
        <v>0</v>
      </c>
      <c r="G71">
        <f t="shared" si="77"/>
        <v>0</v>
      </c>
      <c r="H71">
        <f t="shared" si="77"/>
        <v>0</v>
      </c>
      <c r="I71">
        <f t="shared" si="77"/>
        <v>0</v>
      </c>
      <c r="J71">
        <f t="shared" si="77"/>
        <v>0</v>
      </c>
      <c r="K71">
        <f t="shared" ref="K71:Z71" si="88">(K$13+K$14)/(K$3+K$4)*K$9*K29</f>
        <v>0</v>
      </c>
      <c r="L71">
        <f t="shared" si="88"/>
        <v>0</v>
      </c>
      <c r="M71">
        <f t="shared" si="88"/>
        <v>0</v>
      </c>
      <c r="N71">
        <f t="shared" si="88"/>
        <v>0</v>
      </c>
      <c r="O71">
        <f t="shared" si="88"/>
        <v>0</v>
      </c>
      <c r="P71">
        <f t="shared" si="88"/>
        <v>0</v>
      </c>
      <c r="Q71">
        <f t="shared" si="88"/>
        <v>0</v>
      </c>
      <c r="R71">
        <f t="shared" si="88"/>
        <v>0</v>
      </c>
      <c r="S71">
        <f t="shared" si="88"/>
        <v>0</v>
      </c>
      <c r="T71">
        <f t="shared" si="88"/>
        <v>0</v>
      </c>
      <c r="U71">
        <f t="shared" si="88"/>
        <v>0</v>
      </c>
      <c r="V71">
        <f t="shared" si="88"/>
        <v>0</v>
      </c>
      <c r="W71">
        <f t="shared" si="88"/>
        <v>0</v>
      </c>
      <c r="X71">
        <f t="shared" si="88"/>
        <v>0</v>
      </c>
      <c r="Y71">
        <f t="shared" si="88"/>
        <v>0</v>
      </c>
      <c r="Z71">
        <f t="shared" si="88"/>
        <v>0</v>
      </c>
      <c r="AA71">
        <f t="shared" ref="AA71:AY71" si="89">(AA$13+AA$14)/(AA$3+AA$4)*AA$9*AA29</f>
        <v>0</v>
      </c>
      <c r="AB71">
        <f t="shared" si="89"/>
        <v>0</v>
      </c>
      <c r="AC71">
        <f t="shared" si="89"/>
        <v>0.29981848826656299</v>
      </c>
      <c r="AD71">
        <f t="shared" si="89"/>
        <v>0.7738245436958533</v>
      </c>
      <c r="AE71">
        <f t="shared" si="89"/>
        <v>0.65579309497481264</v>
      </c>
      <c r="AF71">
        <f t="shared" si="89"/>
        <v>1.3619492337164749</v>
      </c>
      <c r="AG71">
        <f t="shared" si="89"/>
        <v>1.8490951546993579</v>
      </c>
      <c r="AH71">
        <f t="shared" si="89"/>
        <v>1.1066455696202533</v>
      </c>
      <c r="AI71">
        <f t="shared" si="89"/>
        <v>2.2231662856083543</v>
      </c>
      <c r="AJ71">
        <f t="shared" si="89"/>
        <v>2.9482071713147411</v>
      </c>
      <c r="AK71">
        <f t="shared" si="89"/>
        <v>3.4847599830076463</v>
      </c>
      <c r="AL71">
        <f t="shared" si="89"/>
        <v>2.7106556809527103</v>
      </c>
      <c r="AM71">
        <f t="shared" si="89"/>
        <v>2.4903468364720229</v>
      </c>
      <c r="AN71">
        <f t="shared" si="89"/>
        <v>2.5661428287248857</v>
      </c>
      <c r="AO71">
        <f t="shared" si="89"/>
        <v>3.122970779220779</v>
      </c>
      <c r="AP71">
        <f t="shared" si="89"/>
        <v>2.2207792207792205</v>
      </c>
      <c r="AQ71">
        <f t="shared" si="89"/>
        <v>2.4983766233766231</v>
      </c>
      <c r="AR71">
        <f t="shared" si="89"/>
        <v>2.0819805194805192</v>
      </c>
      <c r="AS71">
        <f t="shared" si="89"/>
        <v>1.8043831168831166</v>
      </c>
      <c r="AT71">
        <f t="shared" si="89"/>
        <v>0.83279220779220764</v>
      </c>
      <c r="AU71">
        <f t="shared" si="89"/>
        <v>0.48579545454545447</v>
      </c>
      <c r="AV71">
        <f t="shared" si="89"/>
        <v>0.20819805194805191</v>
      </c>
      <c r="AW71">
        <f t="shared" si="89"/>
        <v>0.69399350649350644</v>
      </c>
      <c r="AX71">
        <f t="shared" si="89"/>
        <v>0</v>
      </c>
      <c r="AY71">
        <f t="shared" si="89"/>
        <v>0</v>
      </c>
    </row>
    <row r="72" spans="1:51" x14ac:dyDescent="0.25">
      <c r="A72" s="48" t="s">
        <v>175</v>
      </c>
      <c r="B72" s="52">
        <f t="shared" si="76"/>
        <v>13.118446810017344</v>
      </c>
      <c r="C72">
        <f t="shared" si="77"/>
        <v>0</v>
      </c>
      <c r="D72">
        <f t="shared" si="77"/>
        <v>0</v>
      </c>
      <c r="E72">
        <f t="shared" si="77"/>
        <v>0</v>
      </c>
      <c r="F72">
        <f t="shared" si="77"/>
        <v>0</v>
      </c>
      <c r="G72">
        <f t="shared" si="77"/>
        <v>0</v>
      </c>
      <c r="H72">
        <f t="shared" si="77"/>
        <v>0</v>
      </c>
      <c r="I72">
        <f t="shared" si="77"/>
        <v>0</v>
      </c>
      <c r="J72">
        <f t="shared" si="77"/>
        <v>0</v>
      </c>
      <c r="K72">
        <f t="shared" ref="K72:Z72" si="90">(K$13+K$14)/(K$3+K$4)*K$9*K30</f>
        <v>0</v>
      </c>
      <c r="L72">
        <f t="shared" si="90"/>
        <v>0</v>
      </c>
      <c r="M72">
        <f t="shared" si="90"/>
        <v>0</v>
      </c>
      <c r="N72">
        <f t="shared" si="90"/>
        <v>0</v>
      </c>
      <c r="O72">
        <f t="shared" si="90"/>
        <v>0</v>
      </c>
      <c r="P72">
        <f t="shared" si="90"/>
        <v>0</v>
      </c>
      <c r="Q72">
        <f t="shared" si="90"/>
        <v>0</v>
      </c>
      <c r="R72">
        <f t="shared" si="90"/>
        <v>0</v>
      </c>
      <c r="S72">
        <f t="shared" si="90"/>
        <v>0</v>
      </c>
      <c r="T72">
        <f t="shared" si="90"/>
        <v>0</v>
      </c>
      <c r="U72">
        <f t="shared" si="90"/>
        <v>0</v>
      </c>
      <c r="V72">
        <f t="shared" si="90"/>
        <v>0</v>
      </c>
      <c r="W72">
        <f t="shared" si="90"/>
        <v>0</v>
      </c>
      <c r="X72">
        <f t="shared" si="90"/>
        <v>0</v>
      </c>
      <c r="Y72">
        <f t="shared" si="90"/>
        <v>0</v>
      </c>
      <c r="Z72">
        <f t="shared" si="90"/>
        <v>0</v>
      </c>
      <c r="AA72">
        <f t="shared" ref="AA72:AY72" si="91">(AA$13+AA$14)/(AA$3+AA$4)*AA$9*AA30</f>
        <v>0</v>
      </c>
      <c r="AB72">
        <f t="shared" si="91"/>
        <v>0</v>
      </c>
      <c r="AC72">
        <f t="shared" si="91"/>
        <v>0</v>
      </c>
      <c r="AD72">
        <f t="shared" si="91"/>
        <v>0</v>
      </c>
      <c r="AE72">
        <f t="shared" si="91"/>
        <v>0.18736945570708932</v>
      </c>
      <c r="AF72">
        <f t="shared" si="91"/>
        <v>0.63557630906768836</v>
      </c>
      <c r="AG72">
        <f t="shared" si="91"/>
        <v>1.0566258026853474</v>
      </c>
      <c r="AH72">
        <f t="shared" si="91"/>
        <v>2.8943037974683548</v>
      </c>
      <c r="AI72">
        <f t="shared" si="91"/>
        <v>2.3878452697274914</v>
      </c>
      <c r="AJ72">
        <f t="shared" si="91"/>
        <v>2.9482071713147411</v>
      </c>
      <c r="AK72">
        <f t="shared" si="91"/>
        <v>3.407320872274143</v>
      </c>
      <c r="AL72">
        <f t="shared" si="91"/>
        <v>4.4424634771169424</v>
      </c>
      <c r="AM72">
        <f t="shared" si="91"/>
        <v>4.3947297114212169</v>
      </c>
      <c r="AN72">
        <f t="shared" si="91"/>
        <v>3.0651150454213911</v>
      </c>
      <c r="AO72">
        <f t="shared" si="91"/>
        <v>2.8453733766233764</v>
      </c>
      <c r="AP72">
        <f t="shared" si="91"/>
        <v>2.2207792207792205</v>
      </c>
      <c r="AQ72">
        <f t="shared" si="91"/>
        <v>1.5267857142857142</v>
      </c>
      <c r="AR72">
        <f t="shared" si="91"/>
        <v>1.4573863636363635</v>
      </c>
      <c r="AS72">
        <f t="shared" si="91"/>
        <v>1.3185876623376622</v>
      </c>
      <c r="AT72">
        <f t="shared" si="91"/>
        <v>0.7633928571428571</v>
      </c>
      <c r="AU72">
        <f t="shared" si="91"/>
        <v>0.55519480519480513</v>
      </c>
      <c r="AV72">
        <f t="shared" si="91"/>
        <v>0.27759740259740256</v>
      </c>
      <c r="AW72">
        <f t="shared" si="91"/>
        <v>0.34699675324675322</v>
      </c>
      <c r="AX72">
        <f t="shared" si="91"/>
        <v>0</v>
      </c>
      <c r="AY72">
        <f t="shared" si="91"/>
        <v>0</v>
      </c>
    </row>
    <row r="73" spans="1:51" x14ac:dyDescent="0.25">
      <c r="A73" s="48" t="s">
        <v>176</v>
      </c>
      <c r="B73" s="52">
        <f t="shared" si="76"/>
        <v>14.693449390142584</v>
      </c>
      <c r="C73">
        <f t="shared" si="77"/>
        <v>0</v>
      </c>
      <c r="D73">
        <f t="shared" si="77"/>
        <v>0</v>
      </c>
      <c r="E73">
        <f t="shared" si="77"/>
        <v>0</v>
      </c>
      <c r="F73">
        <f t="shared" si="77"/>
        <v>0</v>
      </c>
      <c r="G73">
        <f t="shared" si="77"/>
        <v>0</v>
      </c>
      <c r="H73">
        <f t="shared" si="77"/>
        <v>0</v>
      </c>
      <c r="I73">
        <f t="shared" si="77"/>
        <v>0</v>
      </c>
      <c r="J73">
        <f t="shared" si="77"/>
        <v>0</v>
      </c>
      <c r="K73">
        <f t="shared" ref="K73:Z73" si="92">(K$13+K$14)/(K$3+K$4)*K$9*K31</f>
        <v>0</v>
      </c>
      <c r="L73">
        <f t="shared" si="92"/>
        <v>0</v>
      </c>
      <c r="M73">
        <f t="shared" si="92"/>
        <v>0</v>
      </c>
      <c r="N73">
        <f t="shared" si="92"/>
        <v>0</v>
      </c>
      <c r="O73">
        <f t="shared" si="92"/>
        <v>0</v>
      </c>
      <c r="P73">
        <f t="shared" si="92"/>
        <v>0</v>
      </c>
      <c r="Q73">
        <f t="shared" si="92"/>
        <v>0</v>
      </c>
      <c r="R73">
        <f t="shared" si="92"/>
        <v>0</v>
      </c>
      <c r="S73">
        <f t="shared" si="92"/>
        <v>0</v>
      </c>
      <c r="T73">
        <f t="shared" si="92"/>
        <v>0</v>
      </c>
      <c r="U73">
        <f t="shared" si="92"/>
        <v>0</v>
      </c>
      <c r="V73">
        <f t="shared" si="92"/>
        <v>0</v>
      </c>
      <c r="W73">
        <f t="shared" si="92"/>
        <v>0.27888888888888885</v>
      </c>
      <c r="X73">
        <f t="shared" si="92"/>
        <v>0.52888888888888885</v>
      </c>
      <c r="Y73">
        <f t="shared" si="92"/>
        <v>0.5</v>
      </c>
      <c r="Z73">
        <f t="shared" si="92"/>
        <v>1.06</v>
      </c>
      <c r="AA73">
        <f t="shared" ref="AA73:AY73" si="93">(AA$13+AA$14)/(AA$3+AA$4)*AA$9*AA31</f>
        <v>1.1055555555555556</v>
      </c>
      <c r="AB73">
        <f t="shared" si="93"/>
        <v>1.4466666666666668</v>
      </c>
      <c r="AC73">
        <f t="shared" si="93"/>
        <v>2.198668913954795</v>
      </c>
      <c r="AD73">
        <f t="shared" si="93"/>
        <v>2.6116578349735047</v>
      </c>
      <c r="AE73">
        <f t="shared" si="93"/>
        <v>3.1852807470205184</v>
      </c>
      <c r="AF73">
        <f t="shared" si="93"/>
        <v>3.7226612388250317</v>
      </c>
      <c r="AG73">
        <f t="shared" si="93"/>
        <v>3.2579295582798213</v>
      </c>
      <c r="AH73">
        <f t="shared" si="93"/>
        <v>3.0645569620253168</v>
      </c>
      <c r="AI73">
        <f t="shared" si="93"/>
        <v>2.7172032379657662</v>
      </c>
      <c r="AJ73">
        <f t="shared" si="93"/>
        <v>3.3466135458167332</v>
      </c>
      <c r="AK73">
        <f t="shared" si="93"/>
        <v>3.8719555366751623</v>
      </c>
      <c r="AL73">
        <f t="shared" si="93"/>
        <v>2.0329917607145327</v>
      </c>
      <c r="AM73">
        <f t="shared" si="93"/>
        <v>1.3184189134263651</v>
      </c>
      <c r="AN73">
        <f t="shared" si="93"/>
        <v>1.3543531596048006</v>
      </c>
      <c r="AO73">
        <f t="shared" si="93"/>
        <v>1.2491883116883116</v>
      </c>
      <c r="AP73">
        <f t="shared" si="93"/>
        <v>0.62459415584415579</v>
      </c>
      <c r="AQ73">
        <f t="shared" si="93"/>
        <v>0.90219155844155829</v>
      </c>
      <c r="AR73">
        <f t="shared" si="93"/>
        <v>0.41639610389610382</v>
      </c>
      <c r="AS73">
        <f t="shared" si="93"/>
        <v>0.20819805194805191</v>
      </c>
      <c r="AT73">
        <f t="shared" si="93"/>
        <v>0.13879870129870128</v>
      </c>
      <c r="AU73">
        <f t="shared" si="93"/>
        <v>0</v>
      </c>
      <c r="AV73">
        <f t="shared" si="93"/>
        <v>0</v>
      </c>
      <c r="AW73">
        <f t="shared" si="93"/>
        <v>0</v>
      </c>
      <c r="AX73">
        <f t="shared" si="93"/>
        <v>0</v>
      </c>
      <c r="AY73">
        <f t="shared" si="93"/>
        <v>0</v>
      </c>
    </row>
    <row r="74" spans="1:51" x14ac:dyDescent="0.25">
      <c r="A74" s="48" t="s">
        <v>177</v>
      </c>
      <c r="B74" s="52">
        <f t="shared" si="76"/>
        <v>17.995707011093252</v>
      </c>
      <c r="C74">
        <f t="shared" si="77"/>
        <v>0</v>
      </c>
      <c r="D74">
        <f t="shared" si="77"/>
        <v>0</v>
      </c>
      <c r="E74">
        <f t="shared" si="77"/>
        <v>0</v>
      </c>
      <c r="F74">
        <f t="shared" si="77"/>
        <v>0</v>
      </c>
      <c r="G74">
        <f t="shared" si="77"/>
        <v>0</v>
      </c>
      <c r="H74">
        <f t="shared" si="77"/>
        <v>0</v>
      </c>
      <c r="I74">
        <f t="shared" si="77"/>
        <v>0</v>
      </c>
      <c r="J74">
        <f t="shared" si="77"/>
        <v>0</v>
      </c>
      <c r="K74">
        <f t="shared" ref="K74:Z74" si="94">(K$13+K$14)/(K$3+K$4)*K$9*K32</f>
        <v>0</v>
      </c>
      <c r="L74">
        <f t="shared" si="94"/>
        <v>0</v>
      </c>
      <c r="M74">
        <f t="shared" si="94"/>
        <v>0</v>
      </c>
      <c r="N74">
        <f t="shared" si="94"/>
        <v>0</v>
      </c>
      <c r="O74">
        <f t="shared" si="94"/>
        <v>0</v>
      </c>
      <c r="P74">
        <f t="shared" si="94"/>
        <v>0</v>
      </c>
      <c r="Q74">
        <f t="shared" si="94"/>
        <v>0</v>
      </c>
      <c r="R74">
        <f t="shared" si="94"/>
        <v>0</v>
      </c>
      <c r="S74">
        <f t="shared" si="94"/>
        <v>0.31098765432098768</v>
      </c>
      <c r="T74">
        <f t="shared" si="94"/>
        <v>1.2118518518518517</v>
      </c>
      <c r="U74">
        <f t="shared" si="94"/>
        <v>4.5715432098765438</v>
      </c>
      <c r="V74">
        <f t="shared" si="94"/>
        <v>1.5780246913580247</v>
      </c>
      <c r="W74">
        <f t="shared" si="94"/>
        <v>3.6255555555555552</v>
      </c>
      <c r="X74">
        <f t="shared" si="94"/>
        <v>2.6444444444444444</v>
      </c>
      <c r="Y74">
        <f t="shared" si="94"/>
        <v>3</v>
      </c>
      <c r="Z74">
        <f t="shared" si="94"/>
        <v>2.4733333333333336</v>
      </c>
      <c r="AA74">
        <f t="shared" ref="AA74:AY74" si="95">(AA$13+AA$14)/(AA$3+AA$4)*AA$9*AA32</f>
        <v>2.3216666666666668</v>
      </c>
      <c r="AB74">
        <f t="shared" si="95"/>
        <v>3.9266666666666667</v>
      </c>
      <c r="AC74">
        <f t="shared" si="95"/>
        <v>2.2986084100436495</v>
      </c>
      <c r="AD74">
        <f t="shared" si="95"/>
        <v>2.2247455631255781</v>
      </c>
      <c r="AE74">
        <f t="shared" si="95"/>
        <v>2.1547487406315273</v>
      </c>
      <c r="AF74">
        <f t="shared" si="95"/>
        <v>1.906728927203065</v>
      </c>
      <c r="AG74">
        <f t="shared" si="95"/>
        <v>2.1132516053706949</v>
      </c>
      <c r="AH74">
        <f t="shared" si="95"/>
        <v>2.0430379746835445</v>
      </c>
      <c r="AI74">
        <f t="shared" si="95"/>
        <v>3.0465612062040406</v>
      </c>
      <c r="AJ74">
        <f t="shared" si="95"/>
        <v>2.2310756972111552</v>
      </c>
      <c r="AK74">
        <f t="shared" si="95"/>
        <v>1.9359777683375812</v>
      </c>
      <c r="AL74">
        <f t="shared" si="95"/>
        <v>1.6565118050266565</v>
      </c>
      <c r="AM74">
        <f t="shared" si="95"/>
        <v>0.65920945671318254</v>
      </c>
      <c r="AN74">
        <f t="shared" si="95"/>
        <v>0.92666268815065311</v>
      </c>
      <c r="AO74">
        <f t="shared" si="95"/>
        <v>0.7633928571428571</v>
      </c>
      <c r="AP74">
        <f t="shared" si="95"/>
        <v>0.41639610389610382</v>
      </c>
      <c r="AQ74">
        <f t="shared" si="95"/>
        <v>0.34699675324675322</v>
      </c>
      <c r="AR74">
        <f t="shared" si="95"/>
        <v>0</v>
      </c>
      <c r="AS74">
        <f t="shared" si="95"/>
        <v>0</v>
      </c>
      <c r="AT74">
        <f t="shared" si="95"/>
        <v>0</v>
      </c>
      <c r="AU74">
        <f t="shared" si="95"/>
        <v>0</v>
      </c>
      <c r="AV74">
        <f t="shared" si="95"/>
        <v>0</v>
      </c>
      <c r="AW74">
        <f t="shared" si="95"/>
        <v>0</v>
      </c>
      <c r="AX74">
        <f t="shared" si="95"/>
        <v>0</v>
      </c>
      <c r="AY74">
        <f t="shared" si="95"/>
        <v>0</v>
      </c>
    </row>
    <row r="75" spans="1:51" x14ac:dyDescent="0.25">
      <c r="A75" s="48" t="s">
        <v>178</v>
      </c>
      <c r="B75" s="52">
        <f t="shared" si="76"/>
        <v>21.402837049029646</v>
      </c>
      <c r="C75">
        <f t="shared" si="77"/>
        <v>0</v>
      </c>
      <c r="D75">
        <f t="shared" si="77"/>
        <v>0</v>
      </c>
      <c r="E75">
        <f t="shared" si="77"/>
        <v>0</v>
      </c>
      <c r="F75">
        <f t="shared" si="77"/>
        <v>0</v>
      </c>
      <c r="G75">
        <f t="shared" si="77"/>
        <v>0</v>
      </c>
      <c r="H75">
        <f t="shared" si="77"/>
        <v>0</v>
      </c>
      <c r="I75">
        <f t="shared" si="77"/>
        <v>0</v>
      </c>
      <c r="J75">
        <f t="shared" si="77"/>
        <v>0</v>
      </c>
      <c r="K75">
        <f t="shared" ref="K75:Z75" si="96">(K$13+K$14)/(K$3+K$4)*K$9*K33</f>
        <v>0</v>
      </c>
      <c r="L75">
        <f t="shared" si="96"/>
        <v>0</v>
      </c>
      <c r="M75">
        <f t="shared" si="96"/>
        <v>0</v>
      </c>
      <c r="N75">
        <f t="shared" si="96"/>
        <v>0</v>
      </c>
      <c r="O75">
        <f t="shared" si="96"/>
        <v>0</v>
      </c>
      <c r="P75">
        <f t="shared" si="96"/>
        <v>0.33506172839506176</v>
      </c>
      <c r="Q75">
        <f t="shared" si="96"/>
        <v>3.1068518518518515</v>
      </c>
      <c r="R75">
        <f t="shared" si="96"/>
        <v>1.7545679012345681</v>
      </c>
      <c r="S75">
        <f t="shared" si="96"/>
        <v>2.3324074074074077</v>
      </c>
      <c r="T75">
        <f t="shared" si="96"/>
        <v>2.5751851851851848</v>
      </c>
      <c r="U75">
        <f t="shared" si="96"/>
        <v>3.834197530864198</v>
      </c>
      <c r="V75">
        <f t="shared" si="96"/>
        <v>3.4429629629629632</v>
      </c>
      <c r="W75">
        <f t="shared" si="96"/>
        <v>6.2749999999999995</v>
      </c>
      <c r="X75">
        <f t="shared" si="96"/>
        <v>6.6111111111111107</v>
      </c>
      <c r="Y75">
        <f t="shared" si="96"/>
        <v>7</v>
      </c>
      <c r="Z75">
        <f t="shared" si="96"/>
        <v>5.8888888888888893</v>
      </c>
      <c r="AA75">
        <f t="shared" ref="AA75:AY75" si="97">(AA$13+AA$14)/(AA$3+AA$4)*AA$9*AA33</f>
        <v>4.8644444444444446</v>
      </c>
      <c r="AB75">
        <f t="shared" si="97"/>
        <v>4.4433333333333334</v>
      </c>
      <c r="AC75">
        <f t="shared" si="97"/>
        <v>3.1980638748433385</v>
      </c>
      <c r="AD75">
        <f t="shared" si="97"/>
        <v>2.1280174951635966</v>
      </c>
      <c r="AE75">
        <f t="shared" si="97"/>
        <v>0.84316255068190193</v>
      </c>
      <c r="AF75">
        <f t="shared" si="97"/>
        <v>0.36318646232439333</v>
      </c>
      <c r="AG75">
        <f t="shared" si="97"/>
        <v>0.3522086008951158</v>
      </c>
      <c r="AH75">
        <f t="shared" si="97"/>
        <v>0.17025316455696204</v>
      </c>
      <c r="AI75">
        <f t="shared" si="97"/>
        <v>0.32935796823827468</v>
      </c>
      <c r="AJ75">
        <f t="shared" si="97"/>
        <v>7.9681274900398405E-2</v>
      </c>
      <c r="AK75">
        <f t="shared" si="97"/>
        <v>0</v>
      </c>
      <c r="AL75">
        <f t="shared" si="97"/>
        <v>0</v>
      </c>
      <c r="AM75">
        <f t="shared" si="97"/>
        <v>0</v>
      </c>
      <c r="AN75">
        <f t="shared" si="97"/>
        <v>0</v>
      </c>
      <c r="AO75">
        <f t="shared" si="97"/>
        <v>0</v>
      </c>
      <c r="AP75">
        <f t="shared" si="97"/>
        <v>0</v>
      </c>
      <c r="AQ75">
        <f t="shared" si="97"/>
        <v>0</v>
      </c>
      <c r="AR75">
        <f t="shared" si="97"/>
        <v>0</v>
      </c>
      <c r="AS75">
        <f t="shared" si="97"/>
        <v>0</v>
      </c>
      <c r="AT75">
        <f t="shared" si="97"/>
        <v>0</v>
      </c>
      <c r="AU75">
        <f t="shared" si="97"/>
        <v>0</v>
      </c>
      <c r="AV75">
        <f t="shared" si="97"/>
        <v>0</v>
      </c>
      <c r="AW75">
        <f t="shared" si="97"/>
        <v>0</v>
      </c>
      <c r="AX75">
        <f t="shared" si="97"/>
        <v>0</v>
      </c>
      <c r="AY75">
        <f t="shared" si="97"/>
        <v>0</v>
      </c>
    </row>
    <row r="76" spans="1:51" ht="15.75" thickBot="1" x14ac:dyDescent="0.3">
      <c r="A76" s="51" t="s">
        <v>179</v>
      </c>
      <c r="B76" s="52">
        <f t="shared" si="76"/>
        <v>27.672151561654307</v>
      </c>
      <c r="C76">
        <f t="shared" si="77"/>
        <v>0</v>
      </c>
      <c r="D76">
        <f t="shared" si="77"/>
        <v>0.21699999999999997</v>
      </c>
      <c r="E76">
        <f t="shared" si="77"/>
        <v>0</v>
      </c>
      <c r="F76">
        <f t="shared" si="77"/>
        <v>0.19499999999999998</v>
      </c>
      <c r="G76">
        <f t="shared" si="77"/>
        <v>0.38513888888888886</v>
      </c>
      <c r="H76">
        <f t="shared" si="77"/>
        <v>0.76055555555555554</v>
      </c>
      <c r="I76">
        <f t="shared" si="77"/>
        <v>0.75083333333333335</v>
      </c>
      <c r="J76">
        <f t="shared" si="77"/>
        <v>0.74111111111111105</v>
      </c>
      <c r="K76">
        <f t="shared" ref="K76:Z76" si="98">(K$13+K$14)/(K$3+K$4)*K$9*K34</f>
        <v>2.377013888888889</v>
      </c>
      <c r="L76">
        <f t="shared" si="98"/>
        <v>4.8712499999999999</v>
      </c>
      <c r="M76">
        <f t="shared" si="98"/>
        <v>3.2037500000000003</v>
      </c>
      <c r="N76">
        <f t="shared" si="98"/>
        <v>3.3355555555555561</v>
      </c>
      <c r="O76">
        <f t="shared" si="98"/>
        <v>2.9162345679012343</v>
      </c>
      <c r="P76">
        <f t="shared" si="98"/>
        <v>9.7167901234567911</v>
      </c>
      <c r="Q76">
        <f t="shared" si="98"/>
        <v>7.1948148148148139</v>
      </c>
      <c r="R76">
        <f t="shared" si="98"/>
        <v>8.1348148148148152</v>
      </c>
      <c r="S76">
        <f t="shared" si="98"/>
        <v>6.8417283950617289</v>
      </c>
      <c r="T76">
        <f t="shared" si="98"/>
        <v>3.0296296296296292</v>
      </c>
      <c r="U76">
        <f t="shared" si="98"/>
        <v>1.917098765432099</v>
      </c>
      <c r="V76">
        <f t="shared" si="98"/>
        <v>2.4387654320987657</v>
      </c>
      <c r="W76">
        <f t="shared" si="98"/>
        <v>8.3666666666666654</v>
      </c>
      <c r="X76">
        <f t="shared" si="98"/>
        <v>7.0077777777777772</v>
      </c>
      <c r="Y76">
        <f t="shared" si="98"/>
        <v>1.5</v>
      </c>
      <c r="Z76">
        <f t="shared" si="98"/>
        <v>0.82444444444444454</v>
      </c>
      <c r="AA76">
        <f t="shared" ref="AA76:AY76" si="99">(AA$13+AA$14)/(AA$3+AA$4)*AA$9*AA34</f>
        <v>0.55277777777777781</v>
      </c>
      <c r="AB76">
        <f t="shared" si="99"/>
        <v>0.10333333333333333</v>
      </c>
      <c r="AC76">
        <f t="shared" si="99"/>
        <v>9.9939496088854329E-2</v>
      </c>
      <c r="AD76">
        <f t="shared" si="99"/>
        <v>0</v>
      </c>
      <c r="AE76">
        <f t="shared" si="99"/>
        <v>0</v>
      </c>
      <c r="AF76">
        <f t="shared" si="99"/>
        <v>0</v>
      </c>
      <c r="AG76">
        <f t="shared" si="99"/>
        <v>0</v>
      </c>
      <c r="AH76">
        <f t="shared" si="99"/>
        <v>0</v>
      </c>
      <c r="AI76">
        <f t="shared" si="99"/>
        <v>0</v>
      </c>
      <c r="AJ76">
        <f t="shared" si="99"/>
        <v>0</v>
      </c>
      <c r="AK76">
        <f t="shared" si="99"/>
        <v>0</v>
      </c>
      <c r="AL76">
        <f t="shared" si="99"/>
        <v>0</v>
      </c>
      <c r="AM76">
        <f t="shared" si="99"/>
        <v>0</v>
      </c>
      <c r="AN76">
        <f t="shared" si="99"/>
        <v>0</v>
      </c>
      <c r="AO76">
        <f t="shared" si="99"/>
        <v>0</v>
      </c>
      <c r="AP76">
        <f t="shared" si="99"/>
        <v>0</v>
      </c>
      <c r="AQ76">
        <f t="shared" si="99"/>
        <v>0</v>
      </c>
      <c r="AR76">
        <f t="shared" si="99"/>
        <v>0</v>
      </c>
      <c r="AS76">
        <f t="shared" si="99"/>
        <v>0</v>
      </c>
      <c r="AT76">
        <f t="shared" si="99"/>
        <v>0</v>
      </c>
      <c r="AU76">
        <f t="shared" si="99"/>
        <v>0</v>
      </c>
      <c r="AV76">
        <f t="shared" si="99"/>
        <v>0</v>
      </c>
      <c r="AW76">
        <f t="shared" si="99"/>
        <v>0</v>
      </c>
      <c r="AX76">
        <f t="shared" si="99"/>
        <v>0</v>
      </c>
      <c r="AY76">
        <f t="shared" si="99"/>
        <v>0</v>
      </c>
    </row>
    <row r="79" spans="1:51" x14ac:dyDescent="0.25">
      <c r="A79" t="s">
        <v>395</v>
      </c>
      <c r="B79">
        <f>SUM(C79:AY79)</f>
        <v>7222.4046002487948</v>
      </c>
      <c r="C79">
        <f>C22*C10</f>
        <v>0</v>
      </c>
      <c r="D79">
        <f t="shared" ref="D79:AY79" si="100">D22*D10</f>
        <v>8.0314629437335032</v>
      </c>
      <c r="E79">
        <f t="shared" si="100"/>
        <v>3.9041833754260087</v>
      </c>
      <c r="F79">
        <f t="shared" si="100"/>
        <v>7.5852705579705306</v>
      </c>
      <c r="G79">
        <f t="shared" si="100"/>
        <v>25.767610277811656</v>
      </c>
      <c r="H79">
        <f t="shared" si="100"/>
        <v>28.556312688830232</v>
      </c>
      <c r="I79">
        <f t="shared" si="100"/>
        <v>27.663927917304289</v>
      </c>
      <c r="J79">
        <f t="shared" si="100"/>
        <v>33.46442893222293</v>
      </c>
      <c r="K79">
        <f t="shared" si="100"/>
        <v>119.69110748091734</v>
      </c>
      <c r="L79">
        <f t="shared" si="100"/>
        <v>159.29068171738115</v>
      </c>
      <c r="M79">
        <f t="shared" si="100"/>
        <v>153.60172879890325</v>
      </c>
      <c r="N79">
        <f t="shared" si="100"/>
        <v>171.11477994009991</v>
      </c>
      <c r="O79">
        <f t="shared" si="100"/>
        <v>170.11084707213323</v>
      </c>
      <c r="P79">
        <f t="shared" si="100"/>
        <v>297.16412891813962</v>
      </c>
      <c r="Q79">
        <f t="shared" si="100"/>
        <v>369.44729541174115</v>
      </c>
      <c r="R79">
        <f t="shared" si="100"/>
        <v>547.25496113828569</v>
      </c>
      <c r="S79">
        <f t="shared" si="100"/>
        <v>491.92710530367714</v>
      </c>
      <c r="T79">
        <f t="shared" si="100"/>
        <v>361.41583246800764</v>
      </c>
      <c r="U79">
        <f t="shared" si="100"/>
        <v>538.33111342302618</v>
      </c>
      <c r="V79">
        <f t="shared" si="100"/>
        <v>319.25065201340675</v>
      </c>
      <c r="W79">
        <f t="shared" si="100"/>
        <v>474.07940987315823</v>
      </c>
      <c r="X79">
        <f t="shared" si="100"/>
        <v>431.91422941855728</v>
      </c>
      <c r="Y79">
        <f t="shared" si="100"/>
        <v>319.58529630272898</v>
      </c>
      <c r="Z79">
        <f t="shared" si="100"/>
        <v>285.78622308118389</v>
      </c>
      <c r="AA79">
        <f t="shared" si="100"/>
        <v>233.4701658504753</v>
      </c>
      <c r="AB79">
        <f t="shared" si="100"/>
        <v>235.58957968284946</v>
      </c>
      <c r="AC79">
        <f t="shared" si="100"/>
        <v>203.68682410079697</v>
      </c>
      <c r="AD79">
        <f t="shared" si="100"/>
        <v>196.32464973570785</v>
      </c>
      <c r="AE79">
        <f t="shared" si="100"/>
        <v>164.64499034653684</v>
      </c>
      <c r="AF79">
        <f t="shared" si="100"/>
        <v>172.23026090450742</v>
      </c>
      <c r="AG79">
        <f t="shared" si="100"/>
        <v>146.01645824093274</v>
      </c>
      <c r="AH79">
        <f t="shared" si="100"/>
        <v>133.85771572889178</v>
      </c>
      <c r="AI79">
        <f t="shared" si="100"/>
        <v>121.02968463820626</v>
      </c>
      <c r="AJ79">
        <f t="shared" si="100"/>
        <v>111.54809644074315</v>
      </c>
      <c r="AK79">
        <f t="shared" si="100"/>
        <v>82.991783751912962</v>
      </c>
      <c r="AL79">
        <f t="shared" si="100"/>
        <v>54.881663448845629</v>
      </c>
      <c r="AM79">
        <f t="shared" si="100"/>
        <v>21.194138323741242</v>
      </c>
      <c r="AN79">
        <f t="shared" si="100"/>
        <v>0</v>
      </c>
      <c r="AO79">
        <f t="shared" si="100"/>
        <v>0</v>
      </c>
      <c r="AP79">
        <f t="shared" si="100"/>
        <v>0</v>
      </c>
      <c r="AQ79">
        <f t="shared" si="100"/>
        <v>0</v>
      </c>
      <c r="AR79">
        <f t="shared" si="100"/>
        <v>0</v>
      </c>
      <c r="AS79">
        <f t="shared" si="100"/>
        <v>0</v>
      </c>
      <c r="AT79">
        <f t="shared" si="100"/>
        <v>0</v>
      </c>
      <c r="AU79">
        <f t="shared" si="100"/>
        <v>0</v>
      </c>
      <c r="AV79">
        <f t="shared" si="100"/>
        <v>0</v>
      </c>
      <c r="AW79">
        <f t="shared" si="100"/>
        <v>0</v>
      </c>
      <c r="AX79">
        <f t="shared" si="100"/>
        <v>0</v>
      </c>
      <c r="AY79">
        <f t="shared" si="100"/>
        <v>0</v>
      </c>
    </row>
    <row r="82" spans="1:2" x14ac:dyDescent="0.25">
      <c r="A82" t="s">
        <v>208</v>
      </c>
      <c r="B82">
        <f>B79/B49</f>
        <v>3.649475508160922</v>
      </c>
    </row>
  </sheetData>
  <mergeCells count="4">
    <mergeCell ref="A23:A34"/>
    <mergeCell ref="A64:B64"/>
    <mergeCell ref="A50:B50"/>
    <mergeCell ref="A36:B36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4"/>
  <dimension ref="A1:P52"/>
  <sheetViews>
    <sheetView topLeftCell="A7" workbookViewId="0">
      <selection activeCell="J15" sqref="J15"/>
    </sheetView>
  </sheetViews>
  <sheetFormatPr defaultRowHeight="15" x14ac:dyDescent="0.25"/>
  <cols>
    <col min="1" max="1" width="21.7109375" bestFit="1" customWidth="1"/>
    <col min="2" max="2" width="12.5703125" customWidth="1"/>
    <col min="3" max="3" width="14.42578125" bestFit="1" customWidth="1"/>
    <col min="4" max="4" width="13.7109375" bestFit="1" customWidth="1"/>
    <col min="5" max="5" width="26.5703125" bestFit="1" customWidth="1"/>
    <col min="6" max="7" width="12.5703125" customWidth="1"/>
    <col min="8" max="8" width="12.7109375" bestFit="1" customWidth="1"/>
    <col min="9" max="9" width="11" bestFit="1" customWidth="1"/>
    <col min="10" max="10" width="55.85546875" bestFit="1" customWidth="1"/>
    <col min="13" max="13" width="36.28515625" bestFit="1" customWidth="1"/>
    <col min="14" max="14" width="8.5703125" customWidth="1"/>
    <col min="16" max="16" width="26.85546875" customWidth="1"/>
    <col min="17" max="17" width="10.7109375" bestFit="1" customWidth="1"/>
  </cols>
  <sheetData>
    <row r="1" spans="1:16" x14ac:dyDescent="0.25">
      <c r="A1" s="11" t="s">
        <v>24</v>
      </c>
      <c r="B1" s="8" t="s">
        <v>75</v>
      </c>
    </row>
    <row r="2" spans="1:16" x14ac:dyDescent="0.25">
      <c r="A2" s="12" t="s">
        <v>25</v>
      </c>
      <c r="B2" s="9" t="s">
        <v>31</v>
      </c>
      <c r="J2" t="s">
        <v>335</v>
      </c>
      <c r="K2" t="s">
        <v>215</v>
      </c>
      <c r="M2" t="s">
        <v>634</v>
      </c>
      <c r="N2" t="s">
        <v>636</v>
      </c>
      <c r="P2" t="s">
        <v>635</v>
      </c>
    </row>
    <row r="3" spans="1:16" x14ac:dyDescent="0.25">
      <c r="A3" s="12" t="s">
        <v>73</v>
      </c>
      <c r="B3" s="14" t="s">
        <v>74</v>
      </c>
      <c r="J3" s="53" t="s">
        <v>74</v>
      </c>
      <c r="K3">
        <v>0</v>
      </c>
      <c r="M3" s="201" t="s">
        <v>957</v>
      </c>
      <c r="N3">
        <v>0</v>
      </c>
      <c r="P3" s="112">
        <v>0</v>
      </c>
    </row>
    <row r="4" spans="1:16" x14ac:dyDescent="0.25">
      <c r="A4" s="13" t="s">
        <v>74</v>
      </c>
      <c r="J4" s="38" t="s">
        <v>906</v>
      </c>
      <c r="K4">
        <v>600</v>
      </c>
      <c r="M4" t="s">
        <v>638</v>
      </c>
      <c r="N4">
        <v>19400</v>
      </c>
      <c r="P4" s="112">
        <v>0.12</v>
      </c>
    </row>
    <row r="5" spans="1:16" x14ac:dyDescent="0.25">
      <c r="A5" s="8" t="s">
        <v>10</v>
      </c>
      <c r="F5" t="s">
        <v>14</v>
      </c>
      <c r="J5" t="s">
        <v>904</v>
      </c>
      <c r="K5">
        <v>950</v>
      </c>
      <c r="M5" t="s">
        <v>639</v>
      </c>
      <c r="N5">
        <v>28100</v>
      </c>
      <c r="P5" s="112">
        <v>0.32</v>
      </c>
    </row>
    <row r="6" spans="1:16" x14ac:dyDescent="0.25">
      <c r="A6" s="9" t="s">
        <v>7</v>
      </c>
      <c r="F6" t="s">
        <v>63</v>
      </c>
      <c r="J6" s="38" t="s">
        <v>905</v>
      </c>
      <c r="K6">
        <v>350</v>
      </c>
      <c r="M6" t="s">
        <v>640</v>
      </c>
      <c r="N6">
        <v>55600</v>
      </c>
    </row>
    <row r="7" spans="1:16" x14ac:dyDescent="0.25">
      <c r="A7" s="9" t="s">
        <v>8</v>
      </c>
      <c r="F7" t="s">
        <v>64</v>
      </c>
      <c r="J7" t="s">
        <v>576</v>
      </c>
      <c r="K7">
        <v>690</v>
      </c>
      <c r="M7" t="s">
        <v>637</v>
      </c>
      <c r="N7">
        <v>7000</v>
      </c>
    </row>
    <row r="8" spans="1:16" x14ac:dyDescent="0.25">
      <c r="A8" s="9" t="s">
        <v>9</v>
      </c>
      <c r="F8" t="s">
        <v>65</v>
      </c>
      <c r="J8" s="53" t="s">
        <v>74</v>
      </c>
      <c r="M8" t="s">
        <v>910</v>
      </c>
      <c r="N8">
        <v>19400</v>
      </c>
    </row>
    <row r="9" spans="1:16" x14ac:dyDescent="0.25">
      <c r="A9" s="9" t="s">
        <v>11</v>
      </c>
      <c r="F9" t="s">
        <v>66</v>
      </c>
      <c r="J9" t="s">
        <v>336</v>
      </c>
      <c r="K9">
        <v>480</v>
      </c>
    </row>
    <row r="10" spans="1:16" x14ac:dyDescent="0.25">
      <c r="A10" s="9" t="s">
        <v>12</v>
      </c>
      <c r="F10" t="s">
        <v>67</v>
      </c>
      <c r="J10" t="s">
        <v>340</v>
      </c>
      <c r="K10">
        <v>460</v>
      </c>
    </row>
    <row r="11" spans="1:16" x14ac:dyDescent="0.25">
      <c r="A11" s="10" t="s">
        <v>13</v>
      </c>
      <c r="F11" t="s">
        <v>68</v>
      </c>
      <c r="J11" s="16" t="s">
        <v>341</v>
      </c>
      <c r="K11">
        <v>450</v>
      </c>
    </row>
    <row r="12" spans="1:16" x14ac:dyDescent="0.25">
      <c r="J12" s="3" t="s">
        <v>338</v>
      </c>
      <c r="K12">
        <v>310</v>
      </c>
    </row>
    <row r="13" spans="1:16" x14ac:dyDescent="0.25">
      <c r="J13" s="3" t="s">
        <v>337</v>
      </c>
      <c r="K13">
        <v>920</v>
      </c>
    </row>
    <row r="14" spans="1:16" x14ac:dyDescent="0.25">
      <c r="J14" s="3" t="s">
        <v>975</v>
      </c>
      <c r="K14">
        <v>500</v>
      </c>
    </row>
    <row r="15" spans="1:16" x14ac:dyDescent="0.25">
      <c r="J15" s="3" t="s">
        <v>583</v>
      </c>
      <c r="K15">
        <v>1400</v>
      </c>
    </row>
    <row r="16" spans="1:16" x14ac:dyDescent="0.25">
      <c r="J16" s="3" t="s">
        <v>582</v>
      </c>
      <c r="K16">
        <v>380</v>
      </c>
    </row>
    <row r="17" spans="1:11" x14ac:dyDescent="0.25">
      <c r="A17" t="s">
        <v>4</v>
      </c>
      <c r="B17" t="s">
        <v>104</v>
      </c>
      <c r="C17" t="s">
        <v>103</v>
      </c>
      <c r="J17" s="3" t="s">
        <v>581</v>
      </c>
      <c r="K17">
        <v>600</v>
      </c>
    </row>
    <row r="18" spans="1:11" x14ac:dyDescent="0.25">
      <c r="A18" t="s">
        <v>5</v>
      </c>
      <c r="B18">
        <v>24</v>
      </c>
      <c r="C18" s="17">
        <v>0.75</v>
      </c>
      <c r="J18" s="3" t="s">
        <v>577</v>
      </c>
      <c r="K18" s="47">
        <v>520</v>
      </c>
    </row>
    <row r="19" spans="1:11" x14ac:dyDescent="0.25">
      <c r="A19" t="s">
        <v>6</v>
      </c>
      <c r="B19">
        <v>35</v>
      </c>
      <c r="C19" s="17">
        <v>1</v>
      </c>
      <c r="J19" s="3" t="s">
        <v>5</v>
      </c>
      <c r="K19">
        <v>150</v>
      </c>
    </row>
    <row r="20" spans="1:11" x14ac:dyDescent="0.25">
      <c r="J20" s="3" t="s">
        <v>6</v>
      </c>
      <c r="K20">
        <v>200</v>
      </c>
    </row>
    <row r="21" spans="1:11" x14ac:dyDescent="0.25">
      <c r="J21" s="3" t="s">
        <v>579</v>
      </c>
      <c r="K21">
        <v>630</v>
      </c>
    </row>
    <row r="22" spans="1:11" x14ac:dyDescent="0.25">
      <c r="A22" t="s">
        <v>3</v>
      </c>
      <c r="B22" t="s">
        <v>102</v>
      </c>
      <c r="C22" t="s">
        <v>103</v>
      </c>
      <c r="J22" s="3" t="s">
        <v>578</v>
      </c>
      <c r="K22">
        <v>300</v>
      </c>
    </row>
    <row r="23" spans="1:11" x14ac:dyDescent="0.25">
      <c r="A23" s="2" t="s">
        <v>74</v>
      </c>
      <c r="C23">
        <v>0</v>
      </c>
      <c r="J23" s="3" t="s">
        <v>580</v>
      </c>
      <c r="K23">
        <v>750</v>
      </c>
    </row>
    <row r="24" spans="1:11" x14ac:dyDescent="0.25">
      <c r="A24" t="s">
        <v>575</v>
      </c>
      <c r="J24" s="3" t="s">
        <v>584</v>
      </c>
      <c r="K24">
        <v>1100</v>
      </c>
    </row>
    <row r="25" spans="1:11" x14ac:dyDescent="0.25">
      <c r="A25" t="s">
        <v>576</v>
      </c>
      <c r="J25" s="3" t="s">
        <v>585</v>
      </c>
      <c r="K25">
        <v>550</v>
      </c>
    </row>
    <row r="26" spans="1:11" x14ac:dyDescent="0.25">
      <c r="A26" t="s">
        <v>93</v>
      </c>
      <c r="C26">
        <v>1</v>
      </c>
      <c r="J26" s="3" t="s">
        <v>586</v>
      </c>
      <c r="K26">
        <v>160</v>
      </c>
    </row>
    <row r="27" spans="1:11" x14ac:dyDescent="0.25">
      <c r="A27" t="s">
        <v>29</v>
      </c>
      <c r="C27">
        <v>1</v>
      </c>
      <c r="J27" s="3" t="s">
        <v>903</v>
      </c>
      <c r="K27">
        <v>8000</v>
      </c>
    </row>
    <row r="28" spans="1:11" x14ac:dyDescent="0.25">
      <c r="J28" s="3" t="s">
        <v>902</v>
      </c>
      <c r="K28">
        <v>6000</v>
      </c>
    </row>
    <row r="29" spans="1:11" x14ac:dyDescent="0.25">
      <c r="B29" s="44"/>
      <c r="C29" s="45"/>
      <c r="J29" s="3" t="s">
        <v>587</v>
      </c>
      <c r="K29">
        <v>4800</v>
      </c>
    </row>
    <row r="30" spans="1:11" x14ac:dyDescent="0.25">
      <c r="A30" s="43" t="s">
        <v>498</v>
      </c>
      <c r="B30" t="s">
        <v>601</v>
      </c>
      <c r="C30" t="s">
        <v>600</v>
      </c>
      <c r="J30" s="3" t="s">
        <v>898</v>
      </c>
      <c r="K30">
        <v>1000</v>
      </c>
    </row>
    <row r="31" spans="1:11" x14ac:dyDescent="0.25">
      <c r="A31" t="s">
        <v>573</v>
      </c>
      <c r="B31" s="111" t="s">
        <v>602</v>
      </c>
      <c r="C31" s="113">
        <v>530830107</v>
      </c>
      <c r="J31" s="39" t="s">
        <v>899</v>
      </c>
      <c r="K31" s="39">
        <v>600</v>
      </c>
    </row>
    <row r="32" spans="1:11" x14ac:dyDescent="0.25">
      <c r="A32" t="s">
        <v>574</v>
      </c>
      <c r="B32" s="111" t="s">
        <v>603</v>
      </c>
      <c r="C32" s="113">
        <v>530830907</v>
      </c>
      <c r="J32" s="3"/>
    </row>
    <row r="33" spans="1:10" x14ac:dyDescent="0.25">
      <c r="J33" s="3"/>
    </row>
    <row r="34" spans="1:10" x14ac:dyDescent="0.25">
      <c r="J34" s="3"/>
    </row>
    <row r="35" spans="1:10" x14ac:dyDescent="0.25">
      <c r="J35" s="3"/>
    </row>
    <row r="36" spans="1:10" x14ac:dyDescent="0.25">
      <c r="J36" s="3"/>
    </row>
    <row r="37" spans="1:10" x14ac:dyDescent="0.25">
      <c r="J37" s="3"/>
    </row>
    <row r="40" spans="1:10" x14ac:dyDescent="0.25">
      <c r="A40" s="3"/>
      <c r="C40" s="4"/>
    </row>
    <row r="41" spans="1:10" x14ac:dyDescent="0.25">
      <c r="A41" s="3"/>
      <c r="C41" s="4"/>
    </row>
    <row r="42" spans="1:10" x14ac:dyDescent="0.25">
      <c r="A42" s="3"/>
      <c r="C42" s="4"/>
    </row>
    <row r="43" spans="1:10" x14ac:dyDescent="0.25">
      <c r="A43" s="3"/>
      <c r="C43" s="4"/>
    </row>
    <row r="44" spans="1:10" x14ac:dyDescent="0.25">
      <c r="A44" s="3"/>
      <c r="C44" s="4"/>
    </row>
    <row r="45" spans="1:10" x14ac:dyDescent="0.25">
      <c r="C45" s="4"/>
    </row>
    <row r="46" spans="1:10" x14ac:dyDescent="0.25">
      <c r="C46" s="4"/>
    </row>
    <row r="51" spans="1:3" x14ac:dyDescent="0.25">
      <c r="A51" s="3"/>
      <c r="C51" s="4"/>
    </row>
    <row r="52" spans="1:3" x14ac:dyDescent="0.25">
      <c r="A52" s="46"/>
      <c r="B52" s="5"/>
      <c r="C52" s="6"/>
    </row>
  </sheetData>
  <hyperlinks>
    <hyperlink ref="B31" r:id="rId1" xr:uid="{754E12CF-C237-4785-8331-8BEEA0A3FBC7}"/>
    <hyperlink ref="B32" r:id="rId2" xr:uid="{AA7C419F-FEBE-4CEF-8A0D-0BEB5EB21856}"/>
  </hyperlinks>
  <pageMargins left="0.7" right="0.7" top="0.75" bottom="0.75" header="0.3" footer="0.3"/>
  <tableParts count="6"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5"/>
  <dimension ref="A1:A9"/>
  <sheetViews>
    <sheetView workbookViewId="0">
      <selection activeCell="A3" sqref="A3"/>
    </sheetView>
  </sheetViews>
  <sheetFormatPr defaultRowHeight="15" x14ac:dyDescent="0.25"/>
  <sheetData>
    <row r="1" spans="1:1" x14ac:dyDescent="0.25">
      <c r="A1" s="121" t="str">
        <f>SchematyPC!$A$2</f>
        <v>C.O. jeden obieg</v>
      </c>
    </row>
    <row r="2" spans="1:1" x14ac:dyDescent="0.25">
      <c r="A2" s="121">
        <f>SchematyPC!$A17</f>
        <v>0</v>
      </c>
    </row>
    <row r="3" spans="1:1" x14ac:dyDescent="0.25">
      <c r="A3" s="121">
        <f>SchematyPC!$A33</f>
        <v>0</v>
      </c>
    </row>
    <row r="4" spans="1:1" x14ac:dyDescent="0.25">
      <c r="A4" s="121" t="str">
        <f>SchematyPC!$A$50</f>
        <v>C.O. jeden obieg + C.W.U.</v>
      </c>
    </row>
    <row r="5" spans="1:1" x14ac:dyDescent="0.25">
      <c r="A5" s="121" t="str">
        <f>SchematyPC!$A$66</f>
        <v>C.O. dwa obiegi + C.W.U.</v>
      </c>
    </row>
    <row r="6" spans="1:1" x14ac:dyDescent="0.25">
      <c r="A6" s="121" t="str">
        <f>SchematyPC!$A$82</f>
        <v>biwalentny 2 układy + CWU</v>
      </c>
    </row>
    <row r="7" spans="1:1" x14ac:dyDescent="0.25">
      <c r="A7" s="121" t="str">
        <f>SchematyPC!$A$98</f>
        <v>biwalentny 1 układy + CWU</v>
      </c>
    </row>
    <row r="8" spans="1:1" x14ac:dyDescent="0.25">
      <c r="A8" s="121" t="str">
        <f>SchematyPC!$A$114</f>
        <v>biwalentny kombinowany + CWU</v>
      </c>
    </row>
    <row r="9" spans="1:1" x14ac:dyDescent="0.25">
      <c r="A9" s="121" t="str">
        <f>SchematyPC!$A$130</f>
        <v>Inny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6"/>
  <dimension ref="A1:Y224"/>
  <sheetViews>
    <sheetView topLeftCell="A23" workbookViewId="0">
      <selection activeCell="A18" sqref="A18:A33"/>
    </sheetView>
  </sheetViews>
  <sheetFormatPr defaultColWidth="3.5703125" defaultRowHeight="15" x14ac:dyDescent="0.25"/>
  <sheetData>
    <row r="1" spans="1:25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 s="240" t="s">
        <v>267</v>
      </c>
      <c r="B2" s="477">
        <v>1</v>
      </c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</row>
    <row r="3" spans="1:25" x14ac:dyDescent="0.25">
      <c r="A3" s="240"/>
      <c r="B3" s="477"/>
      <c r="C3" s="477"/>
      <c r="D3" s="477"/>
      <c r="E3" s="477"/>
      <c r="F3" s="477"/>
      <c r="G3" s="477"/>
      <c r="H3" s="477"/>
      <c r="I3" s="477"/>
      <c r="J3" s="477"/>
      <c r="K3" s="477"/>
      <c r="L3" s="477"/>
      <c r="M3" s="477"/>
      <c r="N3" s="477"/>
      <c r="O3" s="477"/>
      <c r="P3" s="477"/>
      <c r="Q3" s="477"/>
      <c r="R3" s="477"/>
      <c r="S3" s="477"/>
      <c r="T3" s="477"/>
      <c r="U3" s="477"/>
      <c r="V3" s="477"/>
      <c r="W3" s="477"/>
      <c r="X3" s="477"/>
      <c r="Y3" s="477"/>
    </row>
    <row r="4" spans="1:25" x14ac:dyDescent="0.25">
      <c r="A4" s="240"/>
      <c r="B4" s="477"/>
      <c r="C4" s="477"/>
      <c r="D4" s="477"/>
      <c r="E4" s="477"/>
      <c r="F4" s="477"/>
      <c r="G4" s="477"/>
      <c r="H4" s="477"/>
      <c r="I4" s="477"/>
      <c r="J4" s="477"/>
      <c r="K4" s="477"/>
      <c r="L4" s="477"/>
      <c r="M4" s="477"/>
      <c r="N4" s="477"/>
      <c r="O4" s="477"/>
      <c r="P4" s="477"/>
      <c r="Q4" s="477"/>
      <c r="R4" s="477"/>
      <c r="S4" s="477"/>
      <c r="T4" s="477"/>
      <c r="U4" s="477"/>
      <c r="V4" s="477"/>
      <c r="W4" s="477"/>
      <c r="X4" s="477"/>
      <c r="Y4" s="477"/>
    </row>
    <row r="5" spans="1:25" x14ac:dyDescent="0.25">
      <c r="A5" s="240"/>
      <c r="B5" s="477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77"/>
      <c r="R5" s="477"/>
      <c r="S5" s="477"/>
      <c r="T5" s="477"/>
      <c r="U5" s="477"/>
      <c r="V5" s="477"/>
      <c r="W5" s="477"/>
      <c r="X5" s="477"/>
      <c r="Y5" s="477"/>
    </row>
    <row r="6" spans="1:25" x14ac:dyDescent="0.25">
      <c r="A6" s="240"/>
      <c r="B6" s="477"/>
      <c r="C6" s="477"/>
      <c r="D6" s="477"/>
      <c r="E6" s="477"/>
      <c r="F6" s="477"/>
      <c r="G6" s="477"/>
      <c r="H6" s="477"/>
      <c r="I6" s="477"/>
      <c r="J6" s="477"/>
      <c r="K6" s="477"/>
      <c r="L6" s="477"/>
      <c r="M6" s="477"/>
      <c r="N6" s="477"/>
      <c r="O6" s="477"/>
      <c r="P6" s="477"/>
      <c r="Q6" s="477"/>
      <c r="R6" s="477"/>
      <c r="S6" s="477"/>
      <c r="T6" s="477"/>
      <c r="U6" s="477"/>
      <c r="V6" s="477"/>
      <c r="W6" s="477"/>
      <c r="X6" s="477"/>
      <c r="Y6" s="477"/>
    </row>
    <row r="7" spans="1:25" x14ac:dyDescent="0.25">
      <c r="A7" s="240"/>
      <c r="B7" s="477"/>
      <c r="C7" s="477"/>
      <c r="D7" s="477"/>
      <c r="E7" s="477"/>
      <c r="F7" s="477"/>
      <c r="G7" s="477"/>
      <c r="H7" s="477"/>
      <c r="I7" s="477"/>
      <c r="J7" s="477"/>
      <c r="K7" s="477"/>
      <c r="L7" s="477"/>
      <c r="M7" s="477"/>
      <c r="N7" s="477"/>
      <c r="O7" s="477"/>
      <c r="P7" s="477"/>
      <c r="Q7" s="477"/>
      <c r="R7" s="477"/>
      <c r="S7" s="477"/>
      <c r="T7" s="477"/>
      <c r="U7" s="477"/>
      <c r="V7" s="477"/>
      <c r="W7" s="477"/>
      <c r="X7" s="477"/>
      <c r="Y7" s="477"/>
    </row>
    <row r="8" spans="1:25" x14ac:dyDescent="0.25">
      <c r="A8" s="240"/>
      <c r="B8" s="477"/>
      <c r="C8" s="477"/>
      <c r="D8" s="477"/>
      <c r="E8" s="477"/>
      <c r="F8" s="477"/>
      <c r="G8" s="477"/>
      <c r="H8" s="477"/>
      <c r="I8" s="477"/>
      <c r="J8" s="477"/>
      <c r="K8" s="477"/>
      <c r="L8" s="477"/>
      <c r="M8" s="477"/>
      <c r="N8" s="477"/>
      <c r="O8" s="477"/>
      <c r="P8" s="477"/>
      <c r="Q8" s="477"/>
      <c r="R8" s="477"/>
      <c r="S8" s="477"/>
      <c r="T8" s="477"/>
      <c r="U8" s="477"/>
      <c r="V8" s="477"/>
      <c r="W8" s="477"/>
      <c r="X8" s="477"/>
      <c r="Y8" s="477"/>
    </row>
    <row r="9" spans="1:25" x14ac:dyDescent="0.25">
      <c r="A9" s="240"/>
      <c r="B9" s="477"/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477"/>
      <c r="S9" s="477"/>
      <c r="T9" s="477"/>
      <c r="U9" s="477"/>
      <c r="V9" s="477"/>
      <c r="W9" s="477"/>
      <c r="X9" s="477"/>
      <c r="Y9" s="477"/>
    </row>
    <row r="10" spans="1:25" x14ac:dyDescent="0.25">
      <c r="A10" s="240"/>
      <c r="B10" s="477"/>
      <c r="C10" s="477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77"/>
      <c r="R10" s="477"/>
      <c r="S10" s="477"/>
      <c r="T10" s="477"/>
      <c r="U10" s="477"/>
      <c r="V10" s="477"/>
      <c r="W10" s="477"/>
      <c r="X10" s="477"/>
      <c r="Y10" s="477"/>
    </row>
    <row r="11" spans="1:25" x14ac:dyDescent="0.25">
      <c r="A11" s="240"/>
      <c r="B11" s="477"/>
      <c r="C11" s="477"/>
      <c r="D11" s="477"/>
      <c r="E11" s="477"/>
      <c r="F11" s="477"/>
      <c r="G11" s="477"/>
      <c r="H11" s="477"/>
      <c r="I11" s="477"/>
      <c r="J11" s="477"/>
      <c r="K11" s="477"/>
      <c r="L11" s="477"/>
      <c r="M11" s="477"/>
      <c r="N11" s="477"/>
      <c r="O11" s="477"/>
      <c r="P11" s="477"/>
      <c r="Q11" s="477"/>
      <c r="R11" s="477"/>
      <c r="S11" s="477"/>
      <c r="T11" s="477"/>
      <c r="U11" s="477"/>
      <c r="V11" s="477"/>
      <c r="W11" s="477"/>
      <c r="X11" s="477"/>
      <c r="Y11" s="477"/>
    </row>
    <row r="12" spans="1:25" x14ac:dyDescent="0.25">
      <c r="A12" s="240"/>
      <c r="B12" s="477"/>
      <c r="C12" s="477"/>
      <c r="D12" s="477"/>
      <c r="E12" s="477"/>
      <c r="F12" s="477"/>
      <c r="G12" s="477"/>
      <c r="H12" s="477"/>
      <c r="I12" s="477"/>
      <c r="J12" s="477"/>
      <c r="K12" s="477"/>
      <c r="L12" s="477"/>
      <c r="M12" s="477"/>
      <c r="N12" s="477"/>
      <c r="O12" s="477"/>
      <c r="P12" s="477"/>
      <c r="Q12" s="477"/>
      <c r="R12" s="477"/>
      <c r="S12" s="477"/>
      <c r="T12" s="477"/>
      <c r="U12" s="477"/>
      <c r="V12" s="477"/>
      <c r="W12" s="477"/>
      <c r="X12" s="477"/>
      <c r="Y12" s="477"/>
    </row>
    <row r="13" spans="1:25" x14ac:dyDescent="0.25">
      <c r="A13" s="240"/>
      <c r="B13" s="477"/>
      <c r="C13" s="477"/>
      <c r="D13" s="477"/>
      <c r="E13" s="477"/>
      <c r="F13" s="477"/>
      <c r="G13" s="477"/>
      <c r="H13" s="477"/>
      <c r="I13" s="477"/>
      <c r="J13" s="477"/>
      <c r="K13" s="477"/>
      <c r="L13" s="477"/>
      <c r="M13" s="477"/>
      <c r="N13" s="477"/>
      <c r="O13" s="477"/>
      <c r="P13" s="477"/>
      <c r="Q13" s="477"/>
      <c r="R13" s="477"/>
      <c r="S13" s="477"/>
      <c r="T13" s="477"/>
      <c r="U13" s="477"/>
      <c r="V13" s="477"/>
      <c r="W13" s="477"/>
      <c r="X13" s="477"/>
      <c r="Y13" s="477"/>
    </row>
    <row r="14" spans="1:25" x14ac:dyDescent="0.25">
      <c r="A14" s="240"/>
      <c r="B14" s="477"/>
      <c r="C14" s="477"/>
      <c r="D14" s="477"/>
      <c r="E14" s="477"/>
      <c r="F14" s="477"/>
      <c r="G14" s="477"/>
      <c r="H14" s="477"/>
      <c r="I14" s="477"/>
      <c r="J14" s="477"/>
      <c r="K14" s="477"/>
      <c r="L14" s="477"/>
      <c r="M14" s="477"/>
      <c r="N14" s="477"/>
      <c r="O14" s="477"/>
      <c r="P14" s="477"/>
      <c r="Q14" s="477"/>
      <c r="R14" s="477"/>
      <c r="S14" s="477"/>
      <c r="T14" s="477"/>
      <c r="U14" s="477"/>
      <c r="V14" s="477"/>
      <c r="W14" s="477"/>
      <c r="X14" s="477"/>
      <c r="Y14" s="477"/>
    </row>
    <row r="15" spans="1:25" x14ac:dyDescent="0.25">
      <c r="A15" s="240"/>
      <c r="B15" s="477"/>
      <c r="C15" s="477"/>
      <c r="D15" s="477"/>
      <c r="E15" s="477"/>
      <c r="F15" s="477"/>
      <c r="G15" s="477"/>
      <c r="H15" s="477"/>
      <c r="I15" s="477"/>
      <c r="J15" s="477"/>
      <c r="K15" s="477"/>
      <c r="L15" s="477"/>
      <c r="M15" s="477"/>
      <c r="N15" s="477"/>
      <c r="O15" s="477"/>
      <c r="P15" s="477"/>
      <c r="Q15" s="477"/>
      <c r="R15" s="477"/>
      <c r="S15" s="477"/>
      <c r="T15" s="477"/>
      <c r="U15" s="477"/>
      <c r="V15" s="477"/>
      <c r="W15" s="477"/>
      <c r="X15" s="477"/>
      <c r="Y15" s="477"/>
    </row>
    <row r="16" spans="1:25" x14ac:dyDescent="0.25">
      <c r="A16" s="240"/>
      <c r="B16" s="477"/>
      <c r="C16" s="477"/>
      <c r="D16" s="477"/>
      <c r="E16" s="477"/>
      <c r="F16" s="477"/>
      <c r="G16" s="477"/>
      <c r="H16" s="477"/>
      <c r="I16" s="477"/>
      <c r="J16" s="477"/>
      <c r="K16" s="477"/>
      <c r="L16" s="477"/>
      <c r="M16" s="477"/>
      <c r="N16" s="477"/>
      <c r="O16" s="477"/>
      <c r="P16" s="477"/>
      <c r="Q16" s="477"/>
      <c r="R16" s="477"/>
      <c r="S16" s="477"/>
      <c r="T16" s="477"/>
      <c r="U16" s="477"/>
      <c r="V16" s="477"/>
      <c r="W16" s="477"/>
      <c r="X16" s="477"/>
      <c r="Y16" s="477"/>
    </row>
    <row r="17" spans="1:25" x14ac:dyDescent="0.25">
      <c r="A17" s="240"/>
      <c r="B17" s="477"/>
      <c r="C17" s="477"/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477"/>
      <c r="S17" s="477"/>
      <c r="T17" s="477"/>
      <c r="U17" s="477"/>
      <c r="V17" s="477"/>
      <c r="W17" s="477"/>
      <c r="X17" s="477"/>
      <c r="Y17" s="477"/>
    </row>
    <row r="18" spans="1:25" x14ac:dyDescent="0.25">
      <c r="A18" s="240" t="s">
        <v>268</v>
      </c>
      <c r="B18" s="477">
        <v>2</v>
      </c>
      <c r="C18" s="477"/>
      <c r="D18" s="477"/>
      <c r="E18" s="477"/>
      <c r="F18" s="477"/>
      <c r="G18" s="477"/>
      <c r="H18" s="477"/>
      <c r="I18" s="477"/>
      <c r="J18" s="477"/>
      <c r="K18" s="477"/>
      <c r="L18" s="477"/>
      <c r="M18" s="477"/>
      <c r="N18" s="477"/>
      <c r="O18" s="477"/>
      <c r="P18" s="477"/>
      <c r="Q18" s="477"/>
      <c r="R18" s="477"/>
      <c r="S18" s="477"/>
      <c r="T18" s="477"/>
      <c r="U18" s="477"/>
      <c r="V18" s="477"/>
      <c r="W18" s="477"/>
      <c r="X18" s="477"/>
      <c r="Y18" s="477"/>
    </row>
    <row r="19" spans="1:25" x14ac:dyDescent="0.25">
      <c r="A19" s="240"/>
      <c r="B19" s="477"/>
      <c r="C19" s="477"/>
      <c r="D19" s="477"/>
      <c r="E19" s="477"/>
      <c r="F19" s="477"/>
      <c r="G19" s="477"/>
      <c r="H19" s="477"/>
      <c r="I19" s="477"/>
      <c r="J19" s="477"/>
      <c r="K19" s="477"/>
      <c r="L19" s="477"/>
      <c r="M19" s="477"/>
      <c r="N19" s="477"/>
      <c r="O19" s="477"/>
      <c r="P19" s="477"/>
      <c r="Q19" s="477"/>
      <c r="R19" s="477"/>
      <c r="S19" s="477"/>
      <c r="T19" s="477"/>
      <c r="U19" s="477"/>
      <c r="V19" s="477"/>
      <c r="W19" s="477"/>
      <c r="X19" s="477"/>
      <c r="Y19" s="477"/>
    </row>
    <row r="20" spans="1:25" x14ac:dyDescent="0.25">
      <c r="A20" s="240"/>
      <c r="B20" s="477"/>
      <c r="C20" s="477"/>
      <c r="D20" s="477"/>
      <c r="E20" s="477"/>
      <c r="F20" s="477"/>
      <c r="G20" s="477"/>
      <c r="H20" s="477"/>
      <c r="I20" s="477"/>
      <c r="J20" s="477"/>
      <c r="K20" s="477"/>
      <c r="L20" s="477"/>
      <c r="M20" s="477"/>
      <c r="N20" s="477"/>
      <c r="O20" s="477"/>
      <c r="P20" s="477"/>
      <c r="Q20" s="477"/>
      <c r="R20" s="477"/>
      <c r="S20" s="477"/>
      <c r="T20" s="477"/>
      <c r="U20" s="477"/>
      <c r="V20" s="477"/>
      <c r="W20" s="477"/>
      <c r="X20" s="477"/>
      <c r="Y20" s="477"/>
    </row>
    <row r="21" spans="1:25" x14ac:dyDescent="0.25">
      <c r="A21" s="240"/>
      <c r="B21" s="477"/>
      <c r="C21" s="477"/>
      <c r="D21" s="477"/>
      <c r="E21" s="477"/>
      <c r="F21" s="477"/>
      <c r="G21" s="477"/>
      <c r="H21" s="477"/>
      <c r="I21" s="477"/>
      <c r="J21" s="477"/>
      <c r="K21" s="477"/>
      <c r="L21" s="477"/>
      <c r="M21" s="477"/>
      <c r="N21" s="477"/>
      <c r="O21" s="477"/>
      <c r="P21" s="477"/>
      <c r="Q21" s="477"/>
      <c r="R21" s="477"/>
      <c r="S21" s="477"/>
      <c r="T21" s="477"/>
      <c r="U21" s="477"/>
      <c r="V21" s="477"/>
      <c r="W21" s="477"/>
      <c r="X21" s="477"/>
      <c r="Y21" s="477"/>
    </row>
    <row r="22" spans="1:25" x14ac:dyDescent="0.25">
      <c r="A22" s="240"/>
      <c r="B22" s="477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77"/>
      <c r="R22" s="477"/>
      <c r="S22" s="477"/>
      <c r="T22" s="477"/>
      <c r="U22" s="477"/>
      <c r="V22" s="477"/>
      <c r="W22" s="477"/>
      <c r="X22" s="477"/>
      <c r="Y22" s="477"/>
    </row>
    <row r="23" spans="1:25" x14ac:dyDescent="0.25">
      <c r="A23" s="240"/>
      <c r="B23" s="477"/>
      <c r="C23" s="477"/>
      <c r="D23" s="477"/>
      <c r="E23" s="477"/>
      <c r="F23" s="477"/>
      <c r="G23" s="477"/>
      <c r="H23" s="477"/>
      <c r="I23" s="477"/>
      <c r="J23" s="477"/>
      <c r="K23" s="477"/>
      <c r="L23" s="477"/>
      <c r="M23" s="477"/>
      <c r="N23" s="477"/>
      <c r="O23" s="477"/>
      <c r="P23" s="477"/>
      <c r="Q23" s="477"/>
      <c r="R23" s="477"/>
      <c r="S23" s="477"/>
      <c r="T23" s="477"/>
      <c r="U23" s="477"/>
      <c r="V23" s="477"/>
      <c r="W23" s="477"/>
      <c r="X23" s="477"/>
      <c r="Y23" s="477"/>
    </row>
    <row r="24" spans="1:25" x14ac:dyDescent="0.25">
      <c r="A24" s="240"/>
      <c r="B24" s="477"/>
      <c r="C24" s="477"/>
      <c r="D24" s="477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</row>
    <row r="25" spans="1:25" x14ac:dyDescent="0.25">
      <c r="A25" s="240"/>
      <c r="B25" s="477"/>
      <c r="C25" s="477"/>
      <c r="D25" s="477"/>
      <c r="E25" s="477"/>
      <c r="F25" s="477"/>
      <c r="G25" s="477"/>
      <c r="H25" s="477"/>
      <c r="I25" s="477"/>
      <c r="J25" s="477"/>
      <c r="K25" s="477"/>
      <c r="L25" s="477"/>
      <c r="M25" s="477"/>
      <c r="N25" s="477"/>
      <c r="O25" s="477"/>
      <c r="P25" s="477"/>
      <c r="Q25" s="477"/>
      <c r="R25" s="477"/>
      <c r="S25" s="477"/>
      <c r="T25" s="477"/>
      <c r="U25" s="477"/>
      <c r="V25" s="477"/>
      <c r="W25" s="477"/>
      <c r="X25" s="477"/>
      <c r="Y25" s="477"/>
    </row>
    <row r="26" spans="1:25" x14ac:dyDescent="0.25">
      <c r="A26" s="240"/>
      <c r="B26" s="477"/>
      <c r="C26" s="477"/>
      <c r="D26" s="477"/>
      <c r="E26" s="477"/>
      <c r="F26" s="477"/>
      <c r="G26" s="477"/>
      <c r="H26" s="477"/>
      <c r="I26" s="477"/>
      <c r="J26" s="477"/>
      <c r="K26" s="477"/>
      <c r="L26" s="477"/>
      <c r="M26" s="477"/>
      <c r="N26" s="477"/>
      <c r="O26" s="477"/>
      <c r="P26" s="477"/>
      <c r="Q26" s="477"/>
      <c r="R26" s="477"/>
      <c r="S26" s="477"/>
      <c r="T26" s="477"/>
      <c r="U26" s="477"/>
      <c r="V26" s="477"/>
      <c r="W26" s="477"/>
      <c r="X26" s="477"/>
      <c r="Y26" s="477"/>
    </row>
    <row r="27" spans="1:25" x14ac:dyDescent="0.25">
      <c r="A27" s="240"/>
      <c r="B27" s="477"/>
      <c r="C27" s="477"/>
      <c r="D27" s="477"/>
      <c r="E27" s="477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7"/>
      <c r="R27" s="477"/>
      <c r="S27" s="477"/>
      <c r="T27" s="477"/>
      <c r="U27" s="477"/>
      <c r="V27" s="477"/>
      <c r="W27" s="477"/>
      <c r="X27" s="477"/>
      <c r="Y27" s="477"/>
    </row>
    <row r="28" spans="1:25" x14ac:dyDescent="0.25">
      <c r="A28" s="240"/>
      <c r="B28" s="477"/>
      <c r="C28" s="477"/>
      <c r="D28" s="477"/>
      <c r="E28" s="477"/>
      <c r="F28" s="477"/>
      <c r="G28" s="477"/>
      <c r="H28" s="477"/>
      <c r="I28" s="477"/>
      <c r="J28" s="477"/>
      <c r="K28" s="477"/>
      <c r="L28" s="477"/>
      <c r="M28" s="477"/>
      <c r="N28" s="477"/>
      <c r="O28" s="477"/>
      <c r="P28" s="477"/>
      <c r="Q28" s="477"/>
      <c r="R28" s="477"/>
      <c r="S28" s="477"/>
      <c r="T28" s="477"/>
      <c r="U28" s="477"/>
      <c r="V28" s="477"/>
      <c r="W28" s="477"/>
      <c r="X28" s="477"/>
      <c r="Y28" s="477"/>
    </row>
    <row r="29" spans="1:25" x14ac:dyDescent="0.25">
      <c r="A29" s="240"/>
      <c r="B29" s="477"/>
      <c r="C29" s="477"/>
      <c r="D29" s="477"/>
      <c r="E29" s="477"/>
      <c r="F29" s="477"/>
      <c r="G29" s="477"/>
      <c r="H29" s="477"/>
      <c r="I29" s="477"/>
      <c r="J29" s="477"/>
      <c r="K29" s="477"/>
      <c r="L29" s="477"/>
      <c r="M29" s="477"/>
      <c r="N29" s="477"/>
      <c r="O29" s="477"/>
      <c r="P29" s="477"/>
      <c r="Q29" s="477"/>
      <c r="R29" s="477"/>
      <c r="S29" s="477"/>
      <c r="T29" s="477"/>
      <c r="U29" s="477"/>
      <c r="V29" s="477"/>
      <c r="W29" s="477"/>
      <c r="X29" s="477"/>
      <c r="Y29" s="477"/>
    </row>
    <row r="30" spans="1:25" x14ac:dyDescent="0.25">
      <c r="A30" s="240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7"/>
      <c r="N30" s="477"/>
      <c r="O30" s="477"/>
      <c r="P30" s="477"/>
      <c r="Q30" s="477"/>
      <c r="R30" s="477"/>
      <c r="S30" s="477"/>
      <c r="T30" s="477"/>
      <c r="U30" s="477"/>
      <c r="V30" s="477"/>
      <c r="W30" s="477"/>
      <c r="X30" s="477"/>
      <c r="Y30" s="477"/>
    </row>
    <row r="31" spans="1:25" x14ac:dyDescent="0.25">
      <c r="A31" s="240"/>
      <c r="B31" s="477"/>
      <c r="C31" s="477"/>
      <c r="D31" s="477"/>
      <c r="E31" s="477"/>
      <c r="F31" s="477"/>
      <c r="G31" s="477"/>
      <c r="H31" s="477"/>
      <c r="I31" s="477"/>
      <c r="J31" s="477"/>
      <c r="K31" s="477"/>
      <c r="L31" s="477"/>
      <c r="M31" s="477"/>
      <c r="N31" s="477"/>
      <c r="O31" s="477"/>
      <c r="P31" s="477"/>
      <c r="Q31" s="477"/>
      <c r="R31" s="477"/>
      <c r="S31" s="477"/>
      <c r="T31" s="477"/>
      <c r="U31" s="477"/>
      <c r="V31" s="477"/>
      <c r="W31" s="477"/>
      <c r="X31" s="477"/>
      <c r="Y31" s="477"/>
    </row>
    <row r="32" spans="1:25" x14ac:dyDescent="0.25">
      <c r="A32" s="240"/>
      <c r="B32" s="477"/>
      <c r="C32" s="477"/>
      <c r="D32" s="477"/>
      <c r="E32" s="477"/>
      <c r="F32" s="477"/>
      <c r="G32" s="477"/>
      <c r="H32" s="477"/>
      <c r="I32" s="477"/>
      <c r="J32" s="477"/>
      <c r="K32" s="477"/>
      <c r="L32" s="477"/>
      <c r="M32" s="477"/>
      <c r="N32" s="477"/>
      <c r="O32" s="477"/>
      <c r="P32" s="477"/>
      <c r="Q32" s="477"/>
      <c r="R32" s="477"/>
      <c r="S32" s="477"/>
      <c r="T32" s="477"/>
      <c r="U32" s="477"/>
      <c r="V32" s="477"/>
      <c r="W32" s="477"/>
      <c r="X32" s="477"/>
      <c r="Y32" s="477"/>
    </row>
    <row r="33" spans="1:25" x14ac:dyDescent="0.25">
      <c r="A33" s="240"/>
      <c r="B33" s="477"/>
      <c r="C33" s="477"/>
      <c r="D33" s="477"/>
      <c r="E33" s="477"/>
      <c r="F33" s="477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</row>
    <row r="34" spans="1:25" x14ac:dyDescent="0.25">
      <c r="A34" s="240" t="s">
        <v>269</v>
      </c>
      <c r="B34" s="477">
        <v>3</v>
      </c>
      <c r="C34" s="477"/>
      <c r="D34" s="477"/>
      <c r="E34" s="477"/>
      <c r="F34" s="477"/>
      <c r="G34" s="477"/>
      <c r="H34" s="477"/>
      <c r="I34" s="477"/>
      <c r="J34" s="477"/>
      <c r="K34" s="477"/>
      <c r="L34" s="477"/>
      <c r="M34" s="477"/>
      <c r="N34" s="477"/>
      <c r="O34" s="477"/>
      <c r="P34" s="477"/>
      <c r="Q34" s="477"/>
      <c r="R34" s="477"/>
      <c r="S34" s="477"/>
      <c r="T34" s="477"/>
      <c r="U34" s="477"/>
      <c r="V34" s="477"/>
      <c r="W34" s="477"/>
      <c r="X34" s="477"/>
      <c r="Y34" s="477"/>
    </row>
    <row r="35" spans="1:25" x14ac:dyDescent="0.25">
      <c r="A35" s="240"/>
      <c r="B35" s="477"/>
      <c r="C35" s="477"/>
      <c r="D35" s="477"/>
      <c r="E35" s="477"/>
      <c r="F35" s="477"/>
      <c r="G35" s="477"/>
      <c r="H35" s="477"/>
      <c r="I35" s="477"/>
      <c r="J35" s="477"/>
      <c r="K35" s="477"/>
      <c r="L35" s="477"/>
      <c r="M35" s="477"/>
      <c r="N35" s="477"/>
      <c r="O35" s="477"/>
      <c r="P35" s="477"/>
      <c r="Q35" s="477"/>
      <c r="R35" s="477"/>
      <c r="S35" s="477"/>
      <c r="T35" s="477"/>
      <c r="U35" s="477"/>
      <c r="V35" s="477"/>
      <c r="W35" s="477"/>
      <c r="X35" s="477"/>
      <c r="Y35" s="477"/>
    </row>
    <row r="36" spans="1:25" x14ac:dyDescent="0.25">
      <c r="A36" s="240"/>
      <c r="B36" s="477"/>
      <c r="C36" s="477"/>
      <c r="D36" s="477"/>
      <c r="E36" s="477"/>
      <c r="F36" s="477"/>
      <c r="G36" s="477"/>
      <c r="H36" s="477"/>
      <c r="I36" s="477"/>
      <c r="J36" s="477"/>
      <c r="K36" s="477"/>
      <c r="L36" s="477"/>
      <c r="M36" s="477"/>
      <c r="N36" s="477"/>
      <c r="O36" s="477"/>
      <c r="P36" s="477"/>
      <c r="Q36" s="477"/>
      <c r="R36" s="477"/>
      <c r="S36" s="477"/>
      <c r="T36" s="477"/>
      <c r="U36" s="477"/>
      <c r="V36" s="477"/>
      <c r="W36" s="477"/>
      <c r="X36" s="477"/>
      <c r="Y36" s="477"/>
    </row>
    <row r="37" spans="1:25" x14ac:dyDescent="0.25">
      <c r="A37" s="240"/>
      <c r="B37" s="477"/>
      <c r="C37" s="477"/>
      <c r="D37" s="477"/>
      <c r="E37" s="477"/>
      <c r="F37" s="477"/>
      <c r="G37" s="477"/>
      <c r="H37" s="477"/>
      <c r="I37" s="477"/>
      <c r="J37" s="477"/>
      <c r="K37" s="477"/>
      <c r="L37" s="477"/>
      <c r="M37" s="477"/>
      <c r="N37" s="477"/>
      <c r="O37" s="477"/>
      <c r="P37" s="477"/>
      <c r="Q37" s="477"/>
      <c r="R37" s="477"/>
      <c r="S37" s="477"/>
      <c r="T37" s="477"/>
      <c r="U37" s="477"/>
      <c r="V37" s="477"/>
      <c r="W37" s="477"/>
      <c r="X37" s="477"/>
      <c r="Y37" s="477"/>
    </row>
    <row r="38" spans="1:25" x14ac:dyDescent="0.25">
      <c r="A38" s="240"/>
      <c r="B38" s="477"/>
      <c r="C38" s="477"/>
      <c r="D38" s="477"/>
      <c r="E38" s="477"/>
      <c r="F38" s="477"/>
      <c r="G38" s="477"/>
      <c r="H38" s="477"/>
      <c r="I38" s="477"/>
      <c r="J38" s="477"/>
      <c r="K38" s="477"/>
      <c r="L38" s="477"/>
      <c r="M38" s="477"/>
      <c r="N38" s="477"/>
      <c r="O38" s="477"/>
      <c r="P38" s="477"/>
      <c r="Q38" s="477"/>
      <c r="R38" s="477"/>
      <c r="S38" s="477"/>
      <c r="T38" s="477"/>
      <c r="U38" s="477"/>
      <c r="V38" s="477"/>
      <c r="W38" s="477"/>
      <c r="X38" s="477"/>
      <c r="Y38" s="477"/>
    </row>
    <row r="39" spans="1:25" x14ac:dyDescent="0.25">
      <c r="A39" s="240"/>
      <c r="B39" s="477"/>
      <c r="C39" s="477"/>
      <c r="D39" s="477"/>
      <c r="E39" s="477"/>
      <c r="F39" s="477"/>
      <c r="G39" s="477"/>
      <c r="H39" s="477"/>
      <c r="I39" s="477"/>
      <c r="J39" s="477"/>
      <c r="K39" s="477"/>
      <c r="L39" s="477"/>
      <c r="M39" s="477"/>
      <c r="N39" s="477"/>
      <c r="O39" s="477"/>
      <c r="P39" s="477"/>
      <c r="Q39" s="477"/>
      <c r="R39" s="477"/>
      <c r="S39" s="477"/>
      <c r="T39" s="477"/>
      <c r="U39" s="477"/>
      <c r="V39" s="477"/>
      <c r="W39" s="477"/>
      <c r="X39" s="477"/>
      <c r="Y39" s="477"/>
    </row>
    <row r="40" spans="1:25" x14ac:dyDescent="0.25">
      <c r="A40" s="240"/>
      <c r="B40" s="477"/>
      <c r="C40" s="477"/>
      <c r="D40" s="477"/>
      <c r="E40" s="477"/>
      <c r="F40" s="477"/>
      <c r="G40" s="477"/>
      <c r="H40" s="477"/>
      <c r="I40" s="477"/>
      <c r="J40" s="477"/>
      <c r="K40" s="477"/>
      <c r="L40" s="477"/>
      <c r="M40" s="477"/>
      <c r="N40" s="477"/>
      <c r="O40" s="477"/>
      <c r="P40" s="477"/>
      <c r="Q40" s="477"/>
      <c r="R40" s="477"/>
      <c r="S40" s="477"/>
      <c r="T40" s="477"/>
      <c r="U40" s="477"/>
      <c r="V40" s="477"/>
      <c r="W40" s="477"/>
      <c r="X40" s="477"/>
      <c r="Y40" s="477"/>
    </row>
    <row r="41" spans="1:25" x14ac:dyDescent="0.25">
      <c r="A41" s="240"/>
      <c r="B41" s="477"/>
      <c r="C41" s="477"/>
      <c r="D41" s="477"/>
      <c r="E41" s="477"/>
      <c r="F41" s="477"/>
      <c r="G41" s="477"/>
      <c r="H41" s="477"/>
      <c r="I41" s="477"/>
      <c r="J41" s="477"/>
      <c r="K41" s="477"/>
      <c r="L41" s="477"/>
      <c r="M41" s="477"/>
      <c r="N41" s="477"/>
      <c r="O41" s="477"/>
      <c r="P41" s="477"/>
      <c r="Q41" s="477"/>
      <c r="R41" s="477"/>
      <c r="S41" s="477"/>
      <c r="T41" s="477"/>
      <c r="U41" s="477"/>
      <c r="V41" s="477"/>
      <c r="W41" s="477"/>
      <c r="X41" s="477"/>
      <c r="Y41" s="477"/>
    </row>
    <row r="42" spans="1:25" x14ac:dyDescent="0.25">
      <c r="A42" s="240"/>
      <c r="B42" s="477"/>
      <c r="C42" s="477"/>
      <c r="D42" s="477"/>
      <c r="E42" s="477"/>
      <c r="F42" s="477"/>
      <c r="G42" s="477"/>
      <c r="H42" s="477"/>
      <c r="I42" s="477"/>
      <c r="J42" s="477"/>
      <c r="K42" s="477"/>
      <c r="L42" s="477"/>
      <c r="M42" s="477"/>
      <c r="N42" s="477"/>
      <c r="O42" s="477"/>
      <c r="P42" s="477"/>
      <c r="Q42" s="477"/>
      <c r="R42" s="477"/>
      <c r="S42" s="477"/>
      <c r="T42" s="477"/>
      <c r="U42" s="477"/>
      <c r="V42" s="477"/>
      <c r="W42" s="477"/>
      <c r="X42" s="477"/>
      <c r="Y42" s="477"/>
    </row>
    <row r="43" spans="1:25" x14ac:dyDescent="0.25">
      <c r="A43" s="240"/>
      <c r="B43" s="477"/>
      <c r="C43" s="477"/>
      <c r="D43" s="477"/>
      <c r="E43" s="477"/>
      <c r="F43" s="477"/>
      <c r="G43" s="477"/>
      <c r="H43" s="477"/>
      <c r="I43" s="477"/>
      <c r="J43" s="477"/>
      <c r="K43" s="477"/>
      <c r="L43" s="477"/>
      <c r="M43" s="477"/>
      <c r="N43" s="477"/>
      <c r="O43" s="477"/>
      <c r="P43" s="477"/>
      <c r="Q43" s="477"/>
      <c r="R43" s="477"/>
      <c r="S43" s="477"/>
      <c r="T43" s="477"/>
      <c r="U43" s="477"/>
      <c r="V43" s="477"/>
      <c r="W43" s="477"/>
      <c r="X43" s="477"/>
      <c r="Y43" s="477"/>
    </row>
    <row r="44" spans="1:25" x14ac:dyDescent="0.25">
      <c r="A44" s="240"/>
      <c r="B44" s="477"/>
      <c r="C44" s="477"/>
      <c r="D44" s="477"/>
      <c r="E44" s="477"/>
      <c r="F44" s="477"/>
      <c r="G44" s="477"/>
      <c r="H44" s="477"/>
      <c r="I44" s="477"/>
      <c r="J44" s="477"/>
      <c r="K44" s="477"/>
      <c r="L44" s="477"/>
      <c r="M44" s="477"/>
      <c r="N44" s="477"/>
      <c r="O44" s="477"/>
      <c r="P44" s="477"/>
      <c r="Q44" s="477"/>
      <c r="R44" s="477"/>
      <c r="S44" s="477"/>
      <c r="T44" s="477"/>
      <c r="U44" s="477"/>
      <c r="V44" s="477"/>
      <c r="W44" s="477"/>
      <c r="X44" s="477"/>
      <c r="Y44" s="477"/>
    </row>
    <row r="45" spans="1:25" x14ac:dyDescent="0.25">
      <c r="A45" s="240"/>
      <c r="B45" s="477"/>
      <c r="C45" s="477"/>
      <c r="D45" s="477"/>
      <c r="E45" s="477"/>
      <c r="F45" s="477"/>
      <c r="G45" s="477"/>
      <c r="H45" s="477"/>
      <c r="I45" s="477"/>
      <c r="J45" s="477"/>
      <c r="K45" s="477"/>
      <c r="L45" s="477"/>
      <c r="M45" s="477"/>
      <c r="N45" s="477"/>
      <c r="O45" s="477"/>
      <c r="P45" s="477"/>
      <c r="Q45" s="477"/>
      <c r="R45" s="477"/>
      <c r="S45" s="477"/>
      <c r="T45" s="477"/>
      <c r="U45" s="477"/>
      <c r="V45" s="477"/>
      <c r="W45" s="477"/>
      <c r="X45" s="477"/>
      <c r="Y45" s="477"/>
    </row>
    <row r="46" spans="1:25" x14ac:dyDescent="0.25">
      <c r="A46" s="240"/>
      <c r="B46" s="477"/>
      <c r="C46" s="477"/>
      <c r="D46" s="477"/>
      <c r="E46" s="477"/>
      <c r="F46" s="477"/>
      <c r="G46" s="477"/>
      <c r="H46" s="477"/>
      <c r="I46" s="477"/>
      <c r="J46" s="477"/>
      <c r="K46" s="477"/>
      <c r="L46" s="477"/>
      <c r="M46" s="477"/>
      <c r="N46" s="477"/>
      <c r="O46" s="477"/>
      <c r="P46" s="477"/>
      <c r="Q46" s="477"/>
      <c r="R46" s="477"/>
      <c r="S46" s="477"/>
      <c r="T46" s="477"/>
      <c r="U46" s="477"/>
      <c r="V46" s="477"/>
      <c r="W46" s="477"/>
      <c r="X46" s="477"/>
      <c r="Y46" s="477"/>
    </row>
    <row r="47" spans="1:25" x14ac:dyDescent="0.25">
      <c r="A47" s="240"/>
      <c r="B47" s="477"/>
      <c r="C47" s="477"/>
      <c r="D47" s="477"/>
      <c r="E47" s="477"/>
      <c r="F47" s="477"/>
      <c r="G47" s="477"/>
      <c r="H47" s="477"/>
      <c r="I47" s="477"/>
      <c r="J47" s="477"/>
      <c r="K47" s="477"/>
      <c r="L47" s="477"/>
      <c r="M47" s="477"/>
      <c r="N47" s="477"/>
      <c r="O47" s="477"/>
      <c r="P47" s="477"/>
      <c r="Q47" s="477"/>
      <c r="R47" s="477"/>
      <c r="S47" s="477"/>
      <c r="T47" s="477"/>
      <c r="U47" s="477"/>
      <c r="V47" s="477"/>
      <c r="W47" s="477"/>
      <c r="X47" s="477"/>
      <c r="Y47" s="477"/>
    </row>
    <row r="48" spans="1:25" x14ac:dyDescent="0.25">
      <c r="A48" s="240"/>
      <c r="B48" s="477"/>
      <c r="C48" s="477"/>
      <c r="D48" s="477"/>
      <c r="E48" s="477"/>
      <c r="F48" s="477"/>
      <c r="G48" s="477"/>
      <c r="H48" s="477"/>
      <c r="I48" s="477"/>
      <c r="J48" s="477"/>
      <c r="K48" s="477"/>
      <c r="L48" s="477"/>
      <c r="M48" s="477"/>
      <c r="N48" s="477"/>
      <c r="O48" s="477"/>
      <c r="P48" s="477"/>
      <c r="Q48" s="477"/>
      <c r="R48" s="477"/>
      <c r="S48" s="477"/>
      <c r="T48" s="477"/>
      <c r="U48" s="477"/>
      <c r="V48" s="477"/>
      <c r="W48" s="477"/>
      <c r="X48" s="477"/>
      <c r="Y48" s="477"/>
    </row>
    <row r="49" spans="1:25" x14ac:dyDescent="0.25">
      <c r="A49" s="240"/>
      <c r="B49" s="477"/>
      <c r="C49" s="477"/>
      <c r="D49" s="477"/>
      <c r="E49" s="477"/>
      <c r="F49" s="477"/>
      <c r="G49" s="477"/>
      <c r="H49" s="477"/>
      <c r="I49" s="477"/>
      <c r="J49" s="477"/>
      <c r="K49" s="477"/>
      <c r="L49" s="477"/>
      <c r="M49" s="477"/>
      <c r="N49" s="477"/>
      <c r="O49" s="477"/>
      <c r="P49" s="477"/>
      <c r="Q49" s="477"/>
      <c r="R49" s="477"/>
      <c r="S49" s="477"/>
      <c r="T49" s="477"/>
      <c r="U49" s="477"/>
      <c r="V49" s="477"/>
      <c r="W49" s="477"/>
      <c r="X49" s="477"/>
      <c r="Y49" s="477"/>
    </row>
    <row r="50" spans="1:25" x14ac:dyDescent="0.25">
      <c r="A50" s="240" t="s">
        <v>270</v>
      </c>
      <c r="B50" s="477">
        <v>4</v>
      </c>
      <c r="C50" s="477"/>
      <c r="D50" s="477"/>
      <c r="E50" s="477"/>
      <c r="F50" s="477"/>
      <c r="G50" s="477"/>
      <c r="H50" s="477"/>
      <c r="I50" s="477"/>
      <c r="J50" s="477"/>
      <c r="K50" s="477"/>
      <c r="L50" s="477"/>
      <c r="M50" s="477"/>
      <c r="N50" s="477"/>
      <c r="O50" s="477"/>
      <c r="P50" s="477"/>
      <c r="Q50" s="477"/>
      <c r="R50" s="477"/>
      <c r="S50" s="477"/>
      <c r="T50" s="477"/>
      <c r="U50" s="477"/>
      <c r="V50" s="477"/>
      <c r="W50" s="477"/>
      <c r="X50" s="477"/>
      <c r="Y50" s="477"/>
    </row>
    <row r="51" spans="1:25" x14ac:dyDescent="0.25">
      <c r="A51" s="240"/>
      <c r="B51" s="477"/>
      <c r="C51" s="477"/>
      <c r="D51" s="477"/>
      <c r="E51" s="477"/>
      <c r="F51" s="477"/>
      <c r="G51" s="477"/>
      <c r="H51" s="477"/>
      <c r="I51" s="477"/>
      <c r="J51" s="477"/>
      <c r="K51" s="477"/>
      <c r="L51" s="477"/>
      <c r="M51" s="477"/>
      <c r="N51" s="477"/>
      <c r="O51" s="477"/>
      <c r="P51" s="477"/>
      <c r="Q51" s="477"/>
      <c r="R51" s="477"/>
      <c r="S51" s="477"/>
      <c r="T51" s="477"/>
      <c r="U51" s="477"/>
      <c r="V51" s="477"/>
      <c r="W51" s="477"/>
      <c r="X51" s="477"/>
      <c r="Y51" s="477"/>
    </row>
    <row r="52" spans="1:25" x14ac:dyDescent="0.25">
      <c r="A52" s="240"/>
      <c r="B52" s="477"/>
      <c r="C52" s="477"/>
      <c r="D52" s="477"/>
      <c r="E52" s="477"/>
      <c r="F52" s="477"/>
      <c r="G52" s="477"/>
      <c r="H52" s="477"/>
      <c r="I52" s="477"/>
      <c r="J52" s="477"/>
      <c r="K52" s="477"/>
      <c r="L52" s="477"/>
      <c r="M52" s="477"/>
      <c r="N52" s="477"/>
      <c r="O52" s="477"/>
      <c r="P52" s="477"/>
      <c r="Q52" s="477"/>
      <c r="R52" s="477"/>
      <c r="S52" s="477"/>
      <c r="T52" s="477"/>
      <c r="U52" s="477"/>
      <c r="V52" s="477"/>
      <c r="W52" s="477"/>
      <c r="X52" s="477"/>
      <c r="Y52" s="477"/>
    </row>
    <row r="53" spans="1:25" x14ac:dyDescent="0.25">
      <c r="A53" s="240"/>
      <c r="B53" s="477"/>
      <c r="C53" s="477"/>
      <c r="D53" s="477"/>
      <c r="E53" s="477"/>
      <c r="F53" s="477"/>
      <c r="G53" s="477"/>
      <c r="H53" s="477"/>
      <c r="I53" s="477"/>
      <c r="J53" s="477"/>
      <c r="K53" s="477"/>
      <c r="L53" s="477"/>
      <c r="M53" s="477"/>
      <c r="N53" s="477"/>
      <c r="O53" s="477"/>
      <c r="P53" s="477"/>
      <c r="Q53" s="477"/>
      <c r="R53" s="477"/>
      <c r="S53" s="477"/>
      <c r="T53" s="477"/>
      <c r="U53" s="477"/>
      <c r="V53" s="477"/>
      <c r="W53" s="477"/>
      <c r="X53" s="477"/>
      <c r="Y53" s="477"/>
    </row>
    <row r="54" spans="1:25" x14ac:dyDescent="0.25">
      <c r="A54" s="240"/>
      <c r="B54" s="477"/>
      <c r="C54" s="477"/>
      <c r="D54" s="477"/>
      <c r="E54" s="477"/>
      <c r="F54" s="477"/>
      <c r="G54" s="477"/>
      <c r="H54" s="477"/>
      <c r="I54" s="477"/>
      <c r="J54" s="477"/>
      <c r="K54" s="477"/>
      <c r="L54" s="477"/>
      <c r="M54" s="477"/>
      <c r="N54" s="477"/>
      <c r="O54" s="477"/>
      <c r="P54" s="477"/>
      <c r="Q54" s="477"/>
      <c r="R54" s="477"/>
      <c r="S54" s="477"/>
      <c r="T54" s="477"/>
      <c r="U54" s="477"/>
      <c r="V54" s="477"/>
      <c r="W54" s="477"/>
      <c r="X54" s="477"/>
      <c r="Y54" s="477"/>
    </row>
    <row r="55" spans="1:25" x14ac:dyDescent="0.25">
      <c r="A55" s="240"/>
      <c r="B55" s="477"/>
      <c r="C55" s="477"/>
      <c r="D55" s="477"/>
      <c r="E55" s="477"/>
      <c r="F55" s="477"/>
      <c r="G55" s="477"/>
      <c r="H55" s="477"/>
      <c r="I55" s="477"/>
      <c r="J55" s="477"/>
      <c r="K55" s="477"/>
      <c r="L55" s="477"/>
      <c r="M55" s="477"/>
      <c r="N55" s="477"/>
      <c r="O55" s="477"/>
      <c r="P55" s="477"/>
      <c r="Q55" s="477"/>
      <c r="R55" s="477"/>
      <c r="S55" s="477"/>
      <c r="T55" s="477"/>
      <c r="U55" s="477"/>
      <c r="V55" s="477"/>
      <c r="W55" s="477"/>
      <c r="X55" s="477"/>
      <c r="Y55" s="477"/>
    </row>
    <row r="56" spans="1:25" x14ac:dyDescent="0.25">
      <c r="A56" s="240"/>
      <c r="B56" s="477"/>
      <c r="C56" s="477"/>
      <c r="D56" s="477"/>
      <c r="E56" s="477"/>
      <c r="F56" s="477"/>
      <c r="G56" s="477"/>
      <c r="H56" s="477"/>
      <c r="I56" s="477"/>
      <c r="J56" s="477"/>
      <c r="K56" s="477"/>
      <c r="L56" s="477"/>
      <c r="M56" s="477"/>
      <c r="N56" s="477"/>
      <c r="O56" s="477"/>
      <c r="P56" s="477"/>
      <c r="Q56" s="477"/>
      <c r="R56" s="477"/>
      <c r="S56" s="477"/>
      <c r="T56" s="477"/>
      <c r="U56" s="477"/>
      <c r="V56" s="477"/>
      <c r="W56" s="477"/>
      <c r="X56" s="477"/>
      <c r="Y56" s="477"/>
    </row>
    <row r="57" spans="1:25" x14ac:dyDescent="0.25">
      <c r="A57" s="240"/>
      <c r="B57" s="477"/>
      <c r="C57" s="477"/>
      <c r="D57" s="477"/>
      <c r="E57" s="477"/>
      <c r="F57" s="477"/>
      <c r="G57" s="477"/>
      <c r="H57" s="477"/>
      <c r="I57" s="477"/>
      <c r="J57" s="477"/>
      <c r="K57" s="477"/>
      <c r="L57" s="477"/>
      <c r="M57" s="477"/>
      <c r="N57" s="477"/>
      <c r="O57" s="477"/>
      <c r="P57" s="477"/>
      <c r="Q57" s="477"/>
      <c r="R57" s="477"/>
      <c r="S57" s="477"/>
      <c r="T57" s="477"/>
      <c r="U57" s="477"/>
      <c r="V57" s="477"/>
      <c r="W57" s="477"/>
      <c r="X57" s="477"/>
      <c r="Y57" s="477"/>
    </row>
    <row r="58" spans="1:25" x14ac:dyDescent="0.25">
      <c r="A58" s="240"/>
      <c r="B58" s="477"/>
      <c r="C58" s="477"/>
      <c r="D58" s="477"/>
      <c r="E58" s="477"/>
      <c r="F58" s="477"/>
      <c r="G58" s="477"/>
      <c r="H58" s="477"/>
      <c r="I58" s="477"/>
      <c r="J58" s="477"/>
      <c r="K58" s="477"/>
      <c r="L58" s="477"/>
      <c r="M58" s="477"/>
      <c r="N58" s="477"/>
      <c r="O58" s="477"/>
      <c r="P58" s="477"/>
      <c r="Q58" s="477"/>
      <c r="R58" s="477"/>
      <c r="S58" s="477"/>
      <c r="T58" s="477"/>
      <c r="U58" s="477"/>
      <c r="V58" s="477"/>
      <c r="W58" s="477"/>
      <c r="X58" s="477"/>
      <c r="Y58" s="477"/>
    </row>
    <row r="59" spans="1:25" x14ac:dyDescent="0.25">
      <c r="A59" s="240"/>
      <c r="B59" s="477"/>
      <c r="C59" s="477"/>
      <c r="D59" s="477"/>
      <c r="E59" s="477"/>
      <c r="F59" s="477"/>
      <c r="G59" s="477"/>
      <c r="H59" s="477"/>
      <c r="I59" s="477"/>
      <c r="J59" s="477"/>
      <c r="K59" s="477"/>
      <c r="L59" s="477"/>
      <c r="M59" s="477"/>
      <c r="N59" s="477"/>
      <c r="O59" s="477"/>
      <c r="P59" s="477"/>
      <c r="Q59" s="477"/>
      <c r="R59" s="477"/>
      <c r="S59" s="477"/>
      <c r="T59" s="477"/>
      <c r="U59" s="477"/>
      <c r="V59" s="477"/>
      <c r="W59" s="477"/>
      <c r="X59" s="477"/>
      <c r="Y59" s="477"/>
    </row>
    <row r="60" spans="1:25" x14ac:dyDescent="0.25">
      <c r="A60" s="240"/>
      <c r="B60" s="477"/>
      <c r="C60" s="477"/>
      <c r="D60" s="477"/>
      <c r="E60" s="477"/>
      <c r="F60" s="477"/>
      <c r="G60" s="477"/>
      <c r="H60" s="477"/>
      <c r="I60" s="477"/>
      <c r="J60" s="477"/>
      <c r="K60" s="477"/>
      <c r="L60" s="477"/>
      <c r="M60" s="477"/>
      <c r="N60" s="477"/>
      <c r="O60" s="477"/>
      <c r="P60" s="477"/>
      <c r="Q60" s="477"/>
      <c r="R60" s="477"/>
      <c r="S60" s="477"/>
      <c r="T60" s="477"/>
      <c r="U60" s="477"/>
      <c r="V60" s="477"/>
      <c r="W60" s="477"/>
      <c r="X60" s="477"/>
      <c r="Y60" s="477"/>
    </row>
    <row r="61" spans="1:25" x14ac:dyDescent="0.25">
      <c r="A61" s="240"/>
      <c r="B61" s="477"/>
      <c r="C61" s="477"/>
      <c r="D61" s="477"/>
      <c r="E61" s="477"/>
      <c r="F61" s="477"/>
      <c r="G61" s="477"/>
      <c r="H61" s="477"/>
      <c r="I61" s="477"/>
      <c r="J61" s="477"/>
      <c r="K61" s="477"/>
      <c r="L61" s="477"/>
      <c r="M61" s="477"/>
      <c r="N61" s="477"/>
      <c r="O61" s="477"/>
      <c r="P61" s="477"/>
      <c r="Q61" s="477"/>
      <c r="R61" s="477"/>
      <c r="S61" s="477"/>
      <c r="T61" s="477"/>
      <c r="U61" s="477"/>
      <c r="V61" s="477"/>
      <c r="W61" s="477"/>
      <c r="X61" s="477"/>
      <c r="Y61" s="477"/>
    </row>
    <row r="62" spans="1:25" x14ac:dyDescent="0.25">
      <c r="A62" s="240"/>
      <c r="B62" s="477"/>
      <c r="C62" s="477"/>
      <c r="D62" s="477"/>
      <c r="E62" s="477"/>
      <c r="F62" s="477"/>
      <c r="G62" s="477"/>
      <c r="H62" s="477"/>
      <c r="I62" s="477"/>
      <c r="J62" s="477"/>
      <c r="K62" s="477"/>
      <c r="L62" s="477"/>
      <c r="M62" s="477"/>
      <c r="N62" s="477"/>
      <c r="O62" s="477"/>
      <c r="P62" s="477"/>
      <c r="Q62" s="477"/>
      <c r="R62" s="477"/>
      <c r="S62" s="477"/>
      <c r="T62" s="477"/>
      <c r="U62" s="477"/>
      <c r="V62" s="477"/>
      <c r="W62" s="477"/>
      <c r="X62" s="477"/>
      <c r="Y62" s="477"/>
    </row>
    <row r="63" spans="1:25" x14ac:dyDescent="0.25">
      <c r="A63" s="240"/>
      <c r="B63" s="477"/>
      <c r="C63" s="477"/>
      <c r="D63" s="477"/>
      <c r="E63" s="477"/>
      <c r="F63" s="477"/>
      <c r="G63" s="477"/>
      <c r="H63" s="477"/>
      <c r="I63" s="477"/>
      <c r="J63" s="477"/>
      <c r="K63" s="477"/>
      <c r="L63" s="477"/>
      <c r="M63" s="477"/>
      <c r="N63" s="477"/>
      <c r="O63" s="477"/>
      <c r="P63" s="477"/>
      <c r="Q63" s="477"/>
      <c r="R63" s="477"/>
      <c r="S63" s="477"/>
      <c r="T63" s="477"/>
      <c r="U63" s="477"/>
      <c r="V63" s="477"/>
      <c r="W63" s="477"/>
      <c r="X63" s="477"/>
      <c r="Y63" s="477"/>
    </row>
    <row r="64" spans="1:25" x14ac:dyDescent="0.25">
      <c r="A64" s="240"/>
      <c r="B64" s="477"/>
      <c r="C64" s="477"/>
      <c r="D64" s="477"/>
      <c r="E64" s="477"/>
      <c r="F64" s="477"/>
      <c r="G64" s="477"/>
      <c r="H64" s="477"/>
      <c r="I64" s="477"/>
      <c r="J64" s="477"/>
      <c r="K64" s="477"/>
      <c r="L64" s="477"/>
      <c r="M64" s="477"/>
      <c r="N64" s="477"/>
      <c r="O64" s="477"/>
      <c r="P64" s="477"/>
      <c r="Q64" s="477"/>
      <c r="R64" s="477"/>
      <c r="S64" s="477"/>
      <c r="T64" s="477"/>
      <c r="U64" s="477"/>
      <c r="V64" s="477"/>
      <c r="W64" s="477"/>
      <c r="X64" s="477"/>
      <c r="Y64" s="477"/>
    </row>
    <row r="65" spans="1:25" x14ac:dyDescent="0.25">
      <c r="A65" s="240"/>
      <c r="B65" s="477"/>
      <c r="C65" s="477"/>
      <c r="D65" s="477"/>
      <c r="E65" s="477"/>
      <c r="F65" s="477"/>
      <c r="G65" s="477"/>
      <c r="H65" s="477"/>
      <c r="I65" s="477"/>
      <c r="J65" s="477"/>
      <c r="K65" s="477"/>
      <c r="L65" s="477"/>
      <c r="M65" s="477"/>
      <c r="N65" s="477"/>
      <c r="O65" s="477"/>
      <c r="P65" s="477"/>
      <c r="Q65" s="477"/>
      <c r="R65" s="477"/>
      <c r="S65" s="477"/>
      <c r="T65" s="477"/>
      <c r="U65" s="477"/>
      <c r="V65" s="477"/>
      <c r="W65" s="477"/>
      <c r="X65" s="477"/>
      <c r="Y65" s="477"/>
    </row>
    <row r="66" spans="1:25" x14ac:dyDescent="0.25">
      <c r="A66" s="240" t="s">
        <v>94</v>
      </c>
      <c r="B66" s="477">
        <v>5</v>
      </c>
      <c r="C66" s="477"/>
      <c r="D66" s="477"/>
      <c r="E66" s="477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477"/>
      <c r="S66" s="477"/>
      <c r="T66" s="477"/>
      <c r="U66" s="477"/>
      <c r="V66" s="477"/>
      <c r="W66" s="477"/>
      <c r="X66" s="477"/>
      <c r="Y66" s="477"/>
    </row>
    <row r="67" spans="1:25" x14ac:dyDescent="0.25">
      <c r="A67" s="240"/>
      <c r="B67" s="477"/>
      <c r="C67" s="477"/>
      <c r="D67" s="477"/>
      <c r="E67" s="477"/>
      <c r="F67" s="477"/>
      <c r="G67" s="477"/>
      <c r="H67" s="477"/>
      <c r="I67" s="477"/>
      <c r="J67" s="477"/>
      <c r="K67" s="477"/>
      <c r="L67" s="477"/>
      <c r="M67" s="477"/>
      <c r="N67" s="477"/>
      <c r="O67" s="477"/>
      <c r="P67" s="477"/>
      <c r="Q67" s="477"/>
      <c r="R67" s="477"/>
      <c r="S67" s="477"/>
      <c r="T67" s="477"/>
      <c r="U67" s="477"/>
      <c r="V67" s="477"/>
      <c r="W67" s="477"/>
      <c r="X67" s="477"/>
      <c r="Y67" s="477"/>
    </row>
    <row r="68" spans="1:25" x14ac:dyDescent="0.25">
      <c r="A68" s="240"/>
      <c r="B68" s="477"/>
      <c r="C68" s="477"/>
      <c r="D68" s="477"/>
      <c r="E68" s="477"/>
      <c r="F68" s="477"/>
      <c r="G68" s="477"/>
      <c r="H68" s="477"/>
      <c r="I68" s="477"/>
      <c r="J68" s="477"/>
      <c r="K68" s="477"/>
      <c r="L68" s="477"/>
      <c r="M68" s="477"/>
      <c r="N68" s="477"/>
      <c r="O68" s="477"/>
      <c r="P68" s="477"/>
      <c r="Q68" s="477"/>
      <c r="R68" s="477"/>
      <c r="S68" s="477"/>
      <c r="T68" s="477"/>
      <c r="U68" s="477"/>
      <c r="V68" s="477"/>
      <c r="W68" s="477"/>
      <c r="X68" s="477"/>
      <c r="Y68" s="477"/>
    </row>
    <row r="69" spans="1:25" x14ac:dyDescent="0.25">
      <c r="A69" s="240"/>
      <c r="B69" s="477"/>
      <c r="C69" s="477"/>
      <c r="D69" s="477"/>
      <c r="E69" s="477"/>
      <c r="F69" s="477"/>
      <c r="G69" s="477"/>
      <c r="H69" s="477"/>
      <c r="I69" s="477"/>
      <c r="J69" s="477"/>
      <c r="K69" s="477"/>
      <c r="L69" s="477"/>
      <c r="M69" s="477"/>
      <c r="N69" s="477"/>
      <c r="O69" s="477"/>
      <c r="P69" s="477"/>
      <c r="Q69" s="477"/>
      <c r="R69" s="477"/>
      <c r="S69" s="477"/>
      <c r="T69" s="477"/>
      <c r="U69" s="477"/>
      <c r="V69" s="477"/>
      <c r="W69" s="477"/>
      <c r="X69" s="477"/>
      <c r="Y69" s="477"/>
    </row>
    <row r="70" spans="1:25" x14ac:dyDescent="0.25">
      <c r="A70" s="240"/>
      <c r="B70" s="477"/>
      <c r="C70" s="477"/>
      <c r="D70" s="477"/>
      <c r="E70" s="47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477"/>
      <c r="S70" s="477"/>
      <c r="T70" s="477"/>
      <c r="U70" s="477"/>
      <c r="V70" s="477"/>
      <c r="W70" s="477"/>
      <c r="X70" s="477"/>
      <c r="Y70" s="477"/>
    </row>
    <row r="71" spans="1:25" x14ac:dyDescent="0.25">
      <c r="A71" s="240"/>
      <c r="B71" s="477"/>
      <c r="C71" s="477"/>
      <c r="D71" s="477"/>
      <c r="E71" s="477"/>
      <c r="F71" s="477"/>
      <c r="G71" s="477"/>
      <c r="H71" s="477"/>
      <c r="I71" s="477"/>
      <c r="J71" s="477"/>
      <c r="K71" s="477"/>
      <c r="L71" s="477"/>
      <c r="M71" s="477"/>
      <c r="N71" s="477"/>
      <c r="O71" s="477"/>
      <c r="P71" s="477"/>
      <c r="Q71" s="477"/>
      <c r="R71" s="477"/>
      <c r="S71" s="477"/>
      <c r="T71" s="477"/>
      <c r="U71" s="477"/>
      <c r="V71" s="477"/>
      <c r="W71" s="477"/>
      <c r="X71" s="477"/>
      <c r="Y71" s="477"/>
    </row>
    <row r="72" spans="1:25" x14ac:dyDescent="0.25">
      <c r="A72" s="240"/>
      <c r="B72" s="477"/>
      <c r="C72" s="477"/>
      <c r="D72" s="477"/>
      <c r="E72" s="477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7"/>
      <c r="R72" s="477"/>
      <c r="S72" s="477"/>
      <c r="T72" s="477"/>
      <c r="U72" s="477"/>
      <c r="V72" s="477"/>
      <c r="W72" s="477"/>
      <c r="X72" s="477"/>
      <c r="Y72" s="477"/>
    </row>
    <row r="73" spans="1:25" x14ac:dyDescent="0.25">
      <c r="A73" s="240"/>
      <c r="B73" s="477"/>
      <c r="C73" s="477"/>
      <c r="D73" s="477"/>
      <c r="E73" s="477"/>
      <c r="F73" s="477"/>
      <c r="G73" s="477"/>
      <c r="H73" s="477"/>
      <c r="I73" s="477"/>
      <c r="J73" s="477"/>
      <c r="K73" s="477"/>
      <c r="L73" s="477"/>
      <c r="M73" s="477"/>
      <c r="N73" s="477"/>
      <c r="O73" s="477"/>
      <c r="P73" s="477"/>
      <c r="Q73" s="477"/>
      <c r="R73" s="477"/>
      <c r="S73" s="477"/>
      <c r="T73" s="477"/>
      <c r="U73" s="477"/>
      <c r="V73" s="477"/>
      <c r="W73" s="477"/>
      <c r="X73" s="477"/>
      <c r="Y73" s="477"/>
    </row>
    <row r="74" spans="1:25" x14ac:dyDescent="0.25">
      <c r="A74" s="240"/>
      <c r="B74" s="477"/>
      <c r="C74" s="477"/>
      <c r="D74" s="477"/>
      <c r="E74" s="477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477"/>
      <c r="S74" s="477"/>
      <c r="T74" s="477"/>
      <c r="U74" s="477"/>
      <c r="V74" s="477"/>
      <c r="W74" s="477"/>
      <c r="X74" s="477"/>
      <c r="Y74" s="477"/>
    </row>
    <row r="75" spans="1:25" x14ac:dyDescent="0.25">
      <c r="A75" s="240"/>
      <c r="B75" s="477"/>
      <c r="C75" s="477"/>
      <c r="D75" s="477"/>
      <c r="E75" s="477"/>
      <c r="F75" s="477"/>
      <c r="G75" s="477"/>
      <c r="H75" s="477"/>
      <c r="I75" s="477"/>
      <c r="J75" s="477"/>
      <c r="K75" s="477"/>
      <c r="L75" s="477"/>
      <c r="M75" s="477"/>
      <c r="N75" s="477"/>
      <c r="O75" s="477"/>
      <c r="P75" s="477"/>
      <c r="Q75" s="477"/>
      <c r="R75" s="477"/>
      <c r="S75" s="477"/>
      <c r="T75" s="477"/>
      <c r="U75" s="477"/>
      <c r="V75" s="477"/>
      <c r="W75" s="477"/>
      <c r="X75" s="477"/>
      <c r="Y75" s="477"/>
    </row>
    <row r="76" spans="1:25" x14ac:dyDescent="0.25">
      <c r="A76" s="240"/>
      <c r="B76" s="477"/>
      <c r="C76" s="477"/>
      <c r="D76" s="477"/>
      <c r="E76" s="477"/>
      <c r="F76" s="477"/>
      <c r="G76" s="477"/>
      <c r="H76" s="477"/>
      <c r="I76" s="477"/>
      <c r="J76" s="477"/>
      <c r="K76" s="477"/>
      <c r="L76" s="477"/>
      <c r="M76" s="477"/>
      <c r="N76" s="477"/>
      <c r="O76" s="477"/>
      <c r="P76" s="477"/>
      <c r="Q76" s="477"/>
      <c r="R76" s="477"/>
      <c r="S76" s="477"/>
      <c r="T76" s="477"/>
      <c r="U76" s="477"/>
      <c r="V76" s="477"/>
      <c r="W76" s="477"/>
      <c r="X76" s="477"/>
      <c r="Y76" s="477"/>
    </row>
    <row r="77" spans="1:25" x14ac:dyDescent="0.25">
      <c r="A77" s="240"/>
      <c r="B77" s="477"/>
      <c r="C77" s="477"/>
      <c r="D77" s="477"/>
      <c r="E77" s="477"/>
      <c r="F77" s="477"/>
      <c r="G77" s="477"/>
      <c r="H77" s="477"/>
      <c r="I77" s="477"/>
      <c r="J77" s="477"/>
      <c r="K77" s="477"/>
      <c r="L77" s="477"/>
      <c r="M77" s="477"/>
      <c r="N77" s="477"/>
      <c r="O77" s="477"/>
      <c r="P77" s="477"/>
      <c r="Q77" s="477"/>
      <c r="R77" s="477"/>
      <c r="S77" s="477"/>
      <c r="T77" s="477"/>
      <c r="U77" s="477"/>
      <c r="V77" s="477"/>
      <c r="W77" s="477"/>
      <c r="X77" s="477"/>
      <c r="Y77" s="477"/>
    </row>
    <row r="78" spans="1:25" x14ac:dyDescent="0.25">
      <c r="A78" s="240"/>
      <c r="B78" s="477"/>
      <c r="C78" s="477"/>
      <c r="D78" s="477"/>
      <c r="E78" s="477"/>
      <c r="F78" s="477"/>
      <c r="G78" s="477"/>
      <c r="H78" s="477"/>
      <c r="I78" s="477"/>
      <c r="J78" s="477"/>
      <c r="K78" s="477"/>
      <c r="L78" s="477"/>
      <c r="M78" s="477"/>
      <c r="N78" s="477"/>
      <c r="O78" s="477"/>
      <c r="P78" s="477"/>
      <c r="Q78" s="477"/>
      <c r="R78" s="477"/>
      <c r="S78" s="477"/>
      <c r="T78" s="477"/>
      <c r="U78" s="477"/>
      <c r="V78" s="477"/>
      <c r="W78" s="477"/>
      <c r="X78" s="477"/>
      <c r="Y78" s="477"/>
    </row>
    <row r="79" spans="1:25" x14ac:dyDescent="0.25">
      <c r="A79" s="240"/>
      <c r="B79" s="477"/>
      <c r="C79" s="477"/>
      <c r="D79" s="477"/>
      <c r="E79" s="477"/>
      <c r="F79" s="477"/>
      <c r="G79" s="477"/>
      <c r="H79" s="477"/>
      <c r="I79" s="477"/>
      <c r="J79" s="477"/>
      <c r="K79" s="477"/>
      <c r="L79" s="477"/>
      <c r="M79" s="477"/>
      <c r="N79" s="477"/>
      <c r="O79" s="477"/>
      <c r="P79" s="477"/>
      <c r="Q79" s="477"/>
      <c r="R79" s="477"/>
      <c r="S79" s="477"/>
      <c r="T79" s="477"/>
      <c r="U79" s="477"/>
      <c r="V79" s="477"/>
      <c r="W79" s="477"/>
      <c r="X79" s="477"/>
      <c r="Y79" s="477"/>
    </row>
    <row r="80" spans="1:25" x14ac:dyDescent="0.25">
      <c r="A80" s="240"/>
      <c r="B80" s="477"/>
      <c r="C80" s="477"/>
      <c r="D80" s="477"/>
      <c r="E80" s="477"/>
      <c r="F80" s="477"/>
      <c r="G80" s="477"/>
      <c r="H80" s="477"/>
      <c r="I80" s="477"/>
      <c r="J80" s="477"/>
      <c r="K80" s="477"/>
      <c r="L80" s="477"/>
      <c r="M80" s="477"/>
      <c r="N80" s="477"/>
      <c r="O80" s="477"/>
      <c r="P80" s="477"/>
      <c r="Q80" s="477"/>
      <c r="R80" s="477"/>
      <c r="S80" s="477"/>
      <c r="T80" s="477"/>
      <c r="U80" s="477"/>
      <c r="V80" s="477"/>
      <c r="W80" s="477"/>
      <c r="X80" s="477"/>
      <c r="Y80" s="477"/>
    </row>
    <row r="81" spans="1:25" x14ac:dyDescent="0.25">
      <c r="A81" s="240"/>
      <c r="B81" s="477"/>
      <c r="C81" s="477"/>
      <c r="D81" s="477"/>
      <c r="E81" s="477"/>
      <c r="F81" s="477"/>
      <c r="G81" s="477"/>
      <c r="H81" s="477"/>
      <c r="I81" s="477"/>
      <c r="J81" s="477"/>
      <c r="K81" s="477"/>
      <c r="L81" s="477"/>
      <c r="M81" s="477"/>
      <c r="N81" s="477"/>
      <c r="O81" s="477"/>
      <c r="P81" s="477"/>
      <c r="Q81" s="477"/>
      <c r="R81" s="477"/>
      <c r="S81" s="477"/>
      <c r="T81" s="477"/>
      <c r="U81" s="477"/>
      <c r="V81" s="477"/>
      <c r="W81" s="477"/>
      <c r="X81" s="477"/>
      <c r="Y81" s="477"/>
    </row>
    <row r="82" spans="1:25" x14ac:dyDescent="0.25">
      <c r="A82" s="240" t="s">
        <v>271</v>
      </c>
      <c r="B82" s="477">
        <v>6</v>
      </c>
      <c r="C82" s="477"/>
      <c r="D82" s="477"/>
      <c r="E82" s="477"/>
      <c r="F82" s="477"/>
      <c r="G82" s="477"/>
      <c r="H82" s="477"/>
      <c r="I82" s="477"/>
      <c r="J82" s="477"/>
      <c r="K82" s="477"/>
      <c r="L82" s="477"/>
      <c r="M82" s="477"/>
      <c r="N82" s="477"/>
      <c r="O82" s="477"/>
      <c r="P82" s="477"/>
      <c r="Q82" s="477"/>
      <c r="R82" s="477"/>
      <c r="S82" s="477"/>
      <c r="T82" s="477"/>
      <c r="U82" s="477"/>
      <c r="V82" s="477"/>
      <c r="W82" s="477"/>
      <c r="X82" s="477"/>
      <c r="Y82" s="477"/>
    </row>
    <row r="83" spans="1:25" x14ac:dyDescent="0.25">
      <c r="A83" s="240"/>
      <c r="B83" s="477"/>
      <c r="C83" s="477"/>
      <c r="D83" s="477"/>
      <c r="E83" s="477"/>
      <c r="F83" s="477"/>
      <c r="G83" s="477"/>
      <c r="H83" s="477"/>
      <c r="I83" s="477"/>
      <c r="J83" s="477"/>
      <c r="K83" s="477"/>
      <c r="L83" s="477"/>
      <c r="M83" s="477"/>
      <c r="N83" s="477"/>
      <c r="O83" s="477"/>
      <c r="P83" s="477"/>
      <c r="Q83" s="477"/>
      <c r="R83" s="477"/>
      <c r="S83" s="477"/>
      <c r="T83" s="477"/>
      <c r="U83" s="477"/>
      <c r="V83" s="477"/>
      <c r="W83" s="477"/>
      <c r="X83" s="477"/>
      <c r="Y83" s="477"/>
    </row>
    <row r="84" spans="1:25" x14ac:dyDescent="0.25">
      <c r="A84" s="240"/>
      <c r="B84" s="477"/>
      <c r="C84" s="477"/>
      <c r="D84" s="477"/>
      <c r="E84" s="477"/>
      <c r="F84" s="477"/>
      <c r="G84" s="477"/>
      <c r="H84" s="477"/>
      <c r="I84" s="477"/>
      <c r="J84" s="477"/>
      <c r="K84" s="477"/>
      <c r="L84" s="477"/>
      <c r="M84" s="477"/>
      <c r="N84" s="477"/>
      <c r="O84" s="477"/>
      <c r="P84" s="477"/>
      <c r="Q84" s="477"/>
      <c r="R84" s="477"/>
      <c r="S84" s="477"/>
      <c r="T84" s="477"/>
      <c r="U84" s="477"/>
      <c r="V84" s="477"/>
      <c r="W84" s="477"/>
      <c r="X84" s="477"/>
      <c r="Y84" s="477"/>
    </row>
    <row r="85" spans="1:25" x14ac:dyDescent="0.25">
      <c r="A85" s="240"/>
      <c r="B85" s="477"/>
      <c r="C85" s="477"/>
      <c r="D85" s="477"/>
      <c r="E85" s="477"/>
      <c r="F85" s="477"/>
      <c r="G85" s="477"/>
      <c r="H85" s="477"/>
      <c r="I85" s="477"/>
      <c r="J85" s="477"/>
      <c r="K85" s="477"/>
      <c r="L85" s="477"/>
      <c r="M85" s="477"/>
      <c r="N85" s="477"/>
      <c r="O85" s="477"/>
      <c r="P85" s="477"/>
      <c r="Q85" s="477"/>
      <c r="R85" s="477"/>
      <c r="S85" s="477"/>
      <c r="T85" s="477"/>
      <c r="U85" s="477"/>
      <c r="V85" s="477"/>
      <c r="W85" s="477"/>
      <c r="X85" s="477"/>
      <c r="Y85" s="477"/>
    </row>
    <row r="86" spans="1:25" x14ac:dyDescent="0.25">
      <c r="A86" s="240"/>
      <c r="B86" s="477"/>
      <c r="C86" s="477"/>
      <c r="D86" s="477"/>
      <c r="E86" s="477"/>
      <c r="F86" s="477"/>
      <c r="G86" s="477"/>
      <c r="H86" s="477"/>
      <c r="I86" s="477"/>
      <c r="J86" s="477"/>
      <c r="K86" s="477"/>
      <c r="L86" s="477"/>
      <c r="M86" s="477"/>
      <c r="N86" s="477"/>
      <c r="O86" s="477"/>
      <c r="P86" s="477"/>
      <c r="Q86" s="477"/>
      <c r="R86" s="477"/>
      <c r="S86" s="477"/>
      <c r="T86" s="477"/>
      <c r="U86" s="477"/>
      <c r="V86" s="477"/>
      <c r="W86" s="477"/>
      <c r="X86" s="477"/>
      <c r="Y86" s="477"/>
    </row>
    <row r="87" spans="1:25" x14ac:dyDescent="0.25">
      <c r="A87" s="240"/>
      <c r="B87" s="477"/>
      <c r="C87" s="477"/>
      <c r="D87" s="477"/>
      <c r="E87" s="477"/>
      <c r="F87" s="477"/>
      <c r="G87" s="477"/>
      <c r="H87" s="477"/>
      <c r="I87" s="477"/>
      <c r="J87" s="477"/>
      <c r="K87" s="477"/>
      <c r="L87" s="477"/>
      <c r="M87" s="477"/>
      <c r="N87" s="477"/>
      <c r="O87" s="477"/>
      <c r="P87" s="477"/>
      <c r="Q87" s="477"/>
      <c r="R87" s="477"/>
      <c r="S87" s="477"/>
      <c r="T87" s="477"/>
      <c r="U87" s="477"/>
      <c r="V87" s="477"/>
      <c r="W87" s="477"/>
      <c r="X87" s="477"/>
      <c r="Y87" s="477"/>
    </row>
    <row r="88" spans="1:25" x14ac:dyDescent="0.25">
      <c r="A88" s="240"/>
      <c r="B88" s="477"/>
      <c r="C88" s="477"/>
      <c r="D88" s="477"/>
      <c r="E88" s="477"/>
      <c r="F88" s="477"/>
      <c r="G88" s="477"/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  <c r="S88" s="477"/>
      <c r="T88" s="477"/>
      <c r="U88" s="477"/>
      <c r="V88" s="477"/>
      <c r="W88" s="477"/>
      <c r="X88" s="477"/>
      <c r="Y88" s="477"/>
    </row>
    <row r="89" spans="1:25" x14ac:dyDescent="0.25">
      <c r="A89" s="240"/>
      <c r="B89" s="477"/>
      <c r="C89" s="477"/>
      <c r="D89" s="477"/>
      <c r="E89" s="477"/>
      <c r="F89" s="477"/>
      <c r="G89" s="477"/>
      <c r="H89" s="477"/>
      <c r="I89" s="477"/>
      <c r="J89" s="477"/>
      <c r="K89" s="477"/>
      <c r="L89" s="477"/>
      <c r="M89" s="477"/>
      <c r="N89" s="477"/>
      <c r="O89" s="477"/>
      <c r="P89" s="477"/>
      <c r="Q89" s="477"/>
      <c r="R89" s="477"/>
      <c r="S89" s="477"/>
      <c r="T89" s="477"/>
      <c r="U89" s="477"/>
      <c r="V89" s="477"/>
      <c r="W89" s="477"/>
      <c r="X89" s="477"/>
      <c r="Y89" s="477"/>
    </row>
    <row r="90" spans="1:25" x14ac:dyDescent="0.25">
      <c r="A90" s="240"/>
      <c r="B90" s="477"/>
      <c r="C90" s="477"/>
      <c r="D90" s="477"/>
      <c r="E90" s="477"/>
      <c r="F90" s="477"/>
      <c r="G90" s="477"/>
      <c r="H90" s="477"/>
      <c r="I90" s="477"/>
      <c r="J90" s="477"/>
      <c r="K90" s="477"/>
      <c r="L90" s="477"/>
      <c r="M90" s="477"/>
      <c r="N90" s="477"/>
      <c r="O90" s="477"/>
      <c r="P90" s="477"/>
      <c r="Q90" s="477"/>
      <c r="R90" s="477"/>
      <c r="S90" s="477"/>
      <c r="T90" s="477"/>
      <c r="U90" s="477"/>
      <c r="V90" s="477"/>
      <c r="W90" s="477"/>
      <c r="X90" s="477"/>
      <c r="Y90" s="477"/>
    </row>
    <row r="91" spans="1:25" x14ac:dyDescent="0.25">
      <c r="A91" s="240"/>
      <c r="B91" s="477"/>
      <c r="C91" s="477"/>
      <c r="D91" s="477"/>
      <c r="E91" s="477"/>
      <c r="F91" s="477"/>
      <c r="G91" s="477"/>
      <c r="H91" s="477"/>
      <c r="I91" s="477"/>
      <c r="J91" s="477"/>
      <c r="K91" s="477"/>
      <c r="L91" s="477"/>
      <c r="M91" s="477"/>
      <c r="N91" s="477"/>
      <c r="O91" s="477"/>
      <c r="P91" s="477"/>
      <c r="Q91" s="477"/>
      <c r="R91" s="477"/>
      <c r="S91" s="477"/>
      <c r="T91" s="477"/>
      <c r="U91" s="477"/>
      <c r="V91" s="477"/>
      <c r="W91" s="477"/>
      <c r="X91" s="477"/>
      <c r="Y91" s="477"/>
    </row>
    <row r="92" spans="1:25" x14ac:dyDescent="0.25">
      <c r="A92" s="240"/>
      <c r="B92" s="477"/>
      <c r="C92" s="477"/>
      <c r="D92" s="477"/>
      <c r="E92" s="477"/>
      <c r="F92" s="477"/>
      <c r="G92" s="477"/>
      <c r="H92" s="477"/>
      <c r="I92" s="477"/>
      <c r="J92" s="477"/>
      <c r="K92" s="477"/>
      <c r="L92" s="477"/>
      <c r="M92" s="477"/>
      <c r="N92" s="477"/>
      <c r="O92" s="477"/>
      <c r="P92" s="477"/>
      <c r="Q92" s="477"/>
      <c r="R92" s="477"/>
      <c r="S92" s="477"/>
      <c r="T92" s="477"/>
      <c r="U92" s="477"/>
      <c r="V92" s="477"/>
      <c r="W92" s="477"/>
      <c r="X92" s="477"/>
      <c r="Y92" s="477"/>
    </row>
    <row r="93" spans="1:25" x14ac:dyDescent="0.25">
      <c r="A93" s="240"/>
      <c r="B93" s="477"/>
      <c r="C93" s="477"/>
      <c r="D93" s="477"/>
      <c r="E93" s="477"/>
      <c r="F93" s="477"/>
      <c r="G93" s="477"/>
      <c r="H93" s="477"/>
      <c r="I93" s="477"/>
      <c r="J93" s="477"/>
      <c r="K93" s="477"/>
      <c r="L93" s="477"/>
      <c r="M93" s="477"/>
      <c r="N93" s="477"/>
      <c r="O93" s="477"/>
      <c r="P93" s="477"/>
      <c r="Q93" s="477"/>
      <c r="R93" s="477"/>
      <c r="S93" s="477"/>
      <c r="T93" s="477"/>
      <c r="U93" s="477"/>
      <c r="V93" s="477"/>
      <c r="W93" s="477"/>
      <c r="X93" s="477"/>
      <c r="Y93" s="477"/>
    </row>
    <row r="94" spans="1:25" x14ac:dyDescent="0.25">
      <c r="A94" s="240"/>
      <c r="B94" s="477"/>
      <c r="C94" s="477"/>
      <c r="D94" s="477"/>
      <c r="E94" s="477"/>
      <c r="F94" s="477"/>
      <c r="G94" s="477"/>
      <c r="H94" s="477"/>
      <c r="I94" s="477"/>
      <c r="J94" s="477"/>
      <c r="K94" s="477"/>
      <c r="L94" s="477"/>
      <c r="M94" s="477"/>
      <c r="N94" s="477"/>
      <c r="O94" s="477"/>
      <c r="P94" s="477"/>
      <c r="Q94" s="477"/>
      <c r="R94" s="477"/>
      <c r="S94" s="477"/>
      <c r="T94" s="477"/>
      <c r="U94" s="477"/>
      <c r="V94" s="477"/>
      <c r="W94" s="477"/>
      <c r="X94" s="477"/>
      <c r="Y94" s="477"/>
    </row>
    <row r="95" spans="1:25" x14ac:dyDescent="0.25">
      <c r="A95" s="240"/>
      <c r="B95" s="477"/>
      <c r="C95" s="477"/>
      <c r="D95" s="477"/>
      <c r="E95" s="477"/>
      <c r="F95" s="477"/>
      <c r="G95" s="477"/>
      <c r="H95" s="477"/>
      <c r="I95" s="477"/>
      <c r="J95" s="477"/>
      <c r="K95" s="477"/>
      <c r="L95" s="477"/>
      <c r="M95" s="477"/>
      <c r="N95" s="477"/>
      <c r="O95" s="477"/>
      <c r="P95" s="477"/>
      <c r="Q95" s="477"/>
      <c r="R95" s="477"/>
      <c r="S95" s="477"/>
      <c r="T95" s="477"/>
      <c r="U95" s="477"/>
      <c r="V95" s="477"/>
      <c r="W95" s="477"/>
      <c r="X95" s="477"/>
      <c r="Y95" s="477"/>
    </row>
    <row r="96" spans="1:25" x14ac:dyDescent="0.25">
      <c r="A96" s="240"/>
      <c r="B96" s="477"/>
      <c r="C96" s="477"/>
      <c r="D96" s="477"/>
      <c r="E96" s="477"/>
      <c r="F96" s="477"/>
      <c r="G96" s="477"/>
      <c r="H96" s="477"/>
      <c r="I96" s="477"/>
      <c r="J96" s="477"/>
      <c r="K96" s="477"/>
      <c r="L96" s="477"/>
      <c r="M96" s="477"/>
      <c r="N96" s="477"/>
      <c r="O96" s="477"/>
      <c r="P96" s="477"/>
      <c r="Q96" s="477"/>
      <c r="R96" s="477"/>
      <c r="S96" s="477"/>
      <c r="T96" s="477"/>
      <c r="U96" s="477"/>
      <c r="V96" s="477"/>
      <c r="W96" s="477"/>
      <c r="X96" s="477"/>
      <c r="Y96" s="477"/>
    </row>
    <row r="97" spans="1:25" x14ac:dyDescent="0.25">
      <c r="A97" s="240"/>
      <c r="B97" s="477"/>
      <c r="C97" s="477"/>
      <c r="D97" s="477"/>
      <c r="E97" s="477"/>
      <c r="F97" s="477"/>
      <c r="G97" s="477"/>
      <c r="H97" s="477"/>
      <c r="I97" s="477"/>
      <c r="J97" s="477"/>
      <c r="K97" s="477"/>
      <c r="L97" s="477"/>
      <c r="M97" s="477"/>
      <c r="N97" s="477"/>
      <c r="O97" s="477"/>
      <c r="P97" s="477"/>
      <c r="Q97" s="477"/>
      <c r="R97" s="477"/>
      <c r="S97" s="477"/>
      <c r="T97" s="477"/>
      <c r="U97" s="477"/>
      <c r="V97" s="477"/>
      <c r="W97" s="477"/>
      <c r="X97" s="477"/>
      <c r="Y97" s="477"/>
    </row>
    <row r="98" spans="1:25" x14ac:dyDescent="0.25">
      <c r="A98" s="240" t="s">
        <v>272</v>
      </c>
      <c r="B98" s="477">
        <v>7</v>
      </c>
      <c r="C98" s="477"/>
      <c r="D98" s="477"/>
      <c r="E98" s="477"/>
      <c r="F98" s="477"/>
      <c r="G98" s="477"/>
      <c r="H98" s="477"/>
      <c r="I98" s="477"/>
      <c r="J98" s="477"/>
      <c r="K98" s="477"/>
      <c r="L98" s="477"/>
      <c r="M98" s="477"/>
      <c r="N98" s="477"/>
      <c r="O98" s="477"/>
      <c r="P98" s="477"/>
      <c r="Q98" s="477"/>
      <c r="R98" s="477"/>
      <c r="S98" s="477"/>
      <c r="T98" s="477"/>
      <c r="U98" s="477"/>
      <c r="V98" s="477"/>
      <c r="W98" s="477"/>
      <c r="X98" s="477"/>
      <c r="Y98" s="477"/>
    </row>
    <row r="99" spans="1:25" x14ac:dyDescent="0.25">
      <c r="A99" s="240"/>
      <c r="B99" s="477"/>
      <c r="C99" s="477"/>
      <c r="D99" s="477"/>
      <c r="E99" s="477"/>
      <c r="F99" s="477"/>
      <c r="G99" s="477"/>
      <c r="H99" s="477"/>
      <c r="I99" s="477"/>
      <c r="J99" s="477"/>
      <c r="K99" s="477"/>
      <c r="L99" s="477"/>
      <c r="M99" s="477"/>
      <c r="N99" s="477"/>
      <c r="O99" s="477"/>
      <c r="P99" s="477"/>
      <c r="Q99" s="477"/>
      <c r="R99" s="477"/>
      <c r="S99" s="477"/>
      <c r="T99" s="477"/>
      <c r="U99" s="477"/>
      <c r="V99" s="477"/>
      <c r="W99" s="477"/>
      <c r="X99" s="477"/>
      <c r="Y99" s="477"/>
    </row>
    <row r="100" spans="1:25" x14ac:dyDescent="0.25">
      <c r="A100" s="240"/>
      <c r="B100" s="477"/>
      <c r="C100" s="477"/>
      <c r="D100" s="477"/>
      <c r="E100" s="477"/>
      <c r="F100" s="477"/>
      <c r="G100" s="477"/>
      <c r="H100" s="477"/>
      <c r="I100" s="477"/>
      <c r="J100" s="477"/>
      <c r="K100" s="477"/>
      <c r="L100" s="477"/>
      <c r="M100" s="477"/>
      <c r="N100" s="477"/>
      <c r="O100" s="477"/>
      <c r="P100" s="477"/>
      <c r="Q100" s="477"/>
      <c r="R100" s="477"/>
      <c r="S100" s="477"/>
      <c r="T100" s="477"/>
      <c r="U100" s="477"/>
      <c r="V100" s="477"/>
      <c r="W100" s="477"/>
      <c r="X100" s="477"/>
      <c r="Y100" s="477"/>
    </row>
    <row r="101" spans="1:25" x14ac:dyDescent="0.25">
      <c r="A101" s="240"/>
      <c r="B101" s="477"/>
      <c r="C101" s="477"/>
      <c r="D101" s="477"/>
      <c r="E101" s="477"/>
      <c r="F101" s="477"/>
      <c r="G101" s="477"/>
      <c r="H101" s="477"/>
      <c r="I101" s="477"/>
      <c r="J101" s="477"/>
      <c r="K101" s="477"/>
      <c r="L101" s="477"/>
      <c r="M101" s="477"/>
      <c r="N101" s="477"/>
      <c r="O101" s="477"/>
      <c r="P101" s="477"/>
      <c r="Q101" s="477"/>
      <c r="R101" s="477"/>
      <c r="S101" s="477"/>
      <c r="T101" s="477"/>
      <c r="U101" s="477"/>
      <c r="V101" s="477"/>
      <c r="W101" s="477"/>
      <c r="X101" s="477"/>
      <c r="Y101" s="477"/>
    </row>
    <row r="102" spans="1:25" x14ac:dyDescent="0.25">
      <c r="A102" s="240"/>
      <c r="B102" s="477"/>
      <c r="C102" s="477"/>
      <c r="D102" s="477"/>
      <c r="E102" s="477"/>
      <c r="F102" s="477"/>
      <c r="G102" s="477"/>
      <c r="H102" s="477"/>
      <c r="I102" s="477"/>
      <c r="J102" s="477"/>
      <c r="K102" s="477"/>
      <c r="L102" s="477"/>
      <c r="M102" s="477"/>
      <c r="N102" s="477"/>
      <c r="O102" s="477"/>
      <c r="P102" s="477"/>
      <c r="Q102" s="477"/>
      <c r="R102" s="477"/>
      <c r="S102" s="477"/>
      <c r="T102" s="477"/>
      <c r="U102" s="477"/>
      <c r="V102" s="477"/>
      <c r="W102" s="477"/>
      <c r="X102" s="477"/>
      <c r="Y102" s="477"/>
    </row>
    <row r="103" spans="1:25" x14ac:dyDescent="0.25">
      <c r="A103" s="240"/>
      <c r="B103" s="477"/>
      <c r="C103" s="477"/>
      <c r="D103" s="477"/>
      <c r="E103" s="477"/>
      <c r="F103" s="477"/>
      <c r="G103" s="477"/>
      <c r="H103" s="477"/>
      <c r="I103" s="477"/>
      <c r="J103" s="477"/>
      <c r="K103" s="477"/>
      <c r="L103" s="477"/>
      <c r="M103" s="477"/>
      <c r="N103" s="477"/>
      <c r="O103" s="477"/>
      <c r="P103" s="477"/>
      <c r="Q103" s="477"/>
      <c r="R103" s="477"/>
      <c r="S103" s="477"/>
      <c r="T103" s="477"/>
      <c r="U103" s="477"/>
      <c r="V103" s="477"/>
      <c r="W103" s="477"/>
      <c r="X103" s="477"/>
      <c r="Y103" s="477"/>
    </row>
    <row r="104" spans="1:25" x14ac:dyDescent="0.25">
      <c r="A104" s="240"/>
      <c r="B104" s="477"/>
      <c r="C104" s="477"/>
      <c r="D104" s="477"/>
      <c r="E104" s="477"/>
      <c r="F104" s="477"/>
      <c r="G104" s="477"/>
      <c r="H104" s="477"/>
      <c r="I104" s="477"/>
      <c r="J104" s="477"/>
      <c r="K104" s="477"/>
      <c r="L104" s="477"/>
      <c r="M104" s="477"/>
      <c r="N104" s="477"/>
      <c r="O104" s="477"/>
      <c r="P104" s="477"/>
      <c r="Q104" s="477"/>
      <c r="R104" s="477"/>
      <c r="S104" s="477"/>
      <c r="T104" s="477"/>
      <c r="U104" s="477"/>
      <c r="V104" s="477"/>
      <c r="W104" s="477"/>
      <c r="X104" s="477"/>
      <c r="Y104" s="477"/>
    </row>
    <row r="105" spans="1:25" x14ac:dyDescent="0.25">
      <c r="A105" s="240"/>
      <c r="B105" s="477"/>
      <c r="C105" s="477"/>
      <c r="D105" s="477"/>
      <c r="E105" s="477"/>
      <c r="F105" s="477"/>
      <c r="G105" s="477"/>
      <c r="H105" s="477"/>
      <c r="I105" s="477"/>
      <c r="J105" s="477"/>
      <c r="K105" s="477"/>
      <c r="L105" s="477"/>
      <c r="M105" s="477"/>
      <c r="N105" s="477"/>
      <c r="O105" s="477"/>
      <c r="P105" s="477"/>
      <c r="Q105" s="477"/>
      <c r="R105" s="477"/>
      <c r="S105" s="477"/>
      <c r="T105" s="477"/>
      <c r="U105" s="477"/>
      <c r="V105" s="477"/>
      <c r="W105" s="477"/>
      <c r="X105" s="477"/>
      <c r="Y105" s="477"/>
    </row>
    <row r="106" spans="1:25" x14ac:dyDescent="0.25">
      <c r="A106" s="240"/>
      <c r="B106" s="477"/>
      <c r="C106" s="477"/>
      <c r="D106" s="477"/>
      <c r="E106" s="477"/>
      <c r="F106" s="477"/>
      <c r="G106" s="477"/>
      <c r="H106" s="477"/>
      <c r="I106" s="477"/>
      <c r="J106" s="477"/>
      <c r="K106" s="477"/>
      <c r="L106" s="477"/>
      <c r="M106" s="477"/>
      <c r="N106" s="477"/>
      <c r="O106" s="477"/>
      <c r="P106" s="477"/>
      <c r="Q106" s="477"/>
      <c r="R106" s="477"/>
      <c r="S106" s="477"/>
      <c r="T106" s="477"/>
      <c r="U106" s="477"/>
      <c r="V106" s="477"/>
      <c r="W106" s="477"/>
      <c r="X106" s="477"/>
      <c r="Y106" s="477"/>
    </row>
    <row r="107" spans="1:25" x14ac:dyDescent="0.25">
      <c r="A107" s="240"/>
      <c r="B107" s="477"/>
      <c r="C107" s="477"/>
      <c r="D107" s="477"/>
      <c r="E107" s="477"/>
      <c r="F107" s="477"/>
      <c r="G107" s="477"/>
      <c r="H107" s="477"/>
      <c r="I107" s="477"/>
      <c r="J107" s="477"/>
      <c r="K107" s="477"/>
      <c r="L107" s="477"/>
      <c r="M107" s="477"/>
      <c r="N107" s="477"/>
      <c r="O107" s="477"/>
      <c r="P107" s="477"/>
      <c r="Q107" s="477"/>
      <c r="R107" s="477"/>
      <c r="S107" s="477"/>
      <c r="T107" s="477"/>
      <c r="U107" s="477"/>
      <c r="V107" s="477"/>
      <c r="W107" s="477"/>
      <c r="X107" s="477"/>
      <c r="Y107" s="477"/>
    </row>
    <row r="108" spans="1:25" x14ac:dyDescent="0.25">
      <c r="A108" s="240"/>
      <c r="B108" s="477"/>
      <c r="C108" s="477"/>
      <c r="D108" s="477"/>
      <c r="E108" s="477"/>
      <c r="F108" s="477"/>
      <c r="G108" s="477"/>
      <c r="H108" s="477"/>
      <c r="I108" s="477"/>
      <c r="J108" s="477"/>
      <c r="K108" s="477"/>
      <c r="L108" s="477"/>
      <c r="M108" s="477"/>
      <c r="N108" s="477"/>
      <c r="O108" s="477"/>
      <c r="P108" s="477"/>
      <c r="Q108" s="477"/>
      <c r="R108" s="477"/>
      <c r="S108" s="477"/>
      <c r="T108" s="477"/>
      <c r="U108" s="477"/>
      <c r="V108" s="477"/>
      <c r="W108" s="477"/>
      <c r="X108" s="477"/>
      <c r="Y108" s="477"/>
    </row>
    <row r="109" spans="1:25" x14ac:dyDescent="0.25">
      <c r="A109" s="240"/>
      <c r="B109" s="477"/>
      <c r="C109" s="477"/>
      <c r="D109" s="477"/>
      <c r="E109" s="477"/>
      <c r="F109" s="477"/>
      <c r="G109" s="477"/>
      <c r="H109" s="477"/>
      <c r="I109" s="477"/>
      <c r="J109" s="477"/>
      <c r="K109" s="477"/>
      <c r="L109" s="477"/>
      <c r="M109" s="477"/>
      <c r="N109" s="477"/>
      <c r="O109" s="477"/>
      <c r="P109" s="477"/>
      <c r="Q109" s="477"/>
      <c r="R109" s="477"/>
      <c r="S109" s="477"/>
      <c r="T109" s="477"/>
      <c r="U109" s="477"/>
      <c r="V109" s="477"/>
      <c r="W109" s="477"/>
      <c r="X109" s="477"/>
      <c r="Y109" s="477"/>
    </row>
    <row r="110" spans="1:25" x14ac:dyDescent="0.25">
      <c r="A110" s="240"/>
      <c r="B110" s="477"/>
      <c r="C110" s="477"/>
      <c r="D110" s="477"/>
      <c r="E110" s="477"/>
      <c r="F110" s="477"/>
      <c r="G110" s="477"/>
      <c r="H110" s="477"/>
      <c r="I110" s="477"/>
      <c r="J110" s="477"/>
      <c r="K110" s="477"/>
      <c r="L110" s="477"/>
      <c r="M110" s="477"/>
      <c r="N110" s="477"/>
      <c r="O110" s="477"/>
      <c r="P110" s="477"/>
      <c r="Q110" s="477"/>
      <c r="R110" s="477"/>
      <c r="S110" s="477"/>
      <c r="T110" s="477"/>
      <c r="U110" s="477"/>
      <c r="V110" s="477"/>
      <c r="W110" s="477"/>
      <c r="X110" s="477"/>
      <c r="Y110" s="477"/>
    </row>
    <row r="111" spans="1:25" x14ac:dyDescent="0.25">
      <c r="A111" s="240"/>
      <c r="B111" s="477"/>
      <c r="C111" s="477"/>
      <c r="D111" s="477"/>
      <c r="E111" s="477"/>
      <c r="F111" s="477"/>
      <c r="G111" s="477"/>
      <c r="H111" s="477"/>
      <c r="I111" s="477"/>
      <c r="J111" s="477"/>
      <c r="K111" s="477"/>
      <c r="L111" s="477"/>
      <c r="M111" s="477"/>
      <c r="N111" s="477"/>
      <c r="O111" s="477"/>
      <c r="P111" s="477"/>
      <c r="Q111" s="477"/>
      <c r="R111" s="477"/>
      <c r="S111" s="477"/>
      <c r="T111" s="477"/>
      <c r="U111" s="477"/>
      <c r="V111" s="477"/>
      <c r="W111" s="477"/>
      <c r="X111" s="477"/>
      <c r="Y111" s="477"/>
    </row>
    <row r="112" spans="1:25" x14ac:dyDescent="0.25">
      <c r="A112" s="240"/>
      <c r="B112" s="477"/>
      <c r="C112" s="477"/>
      <c r="D112" s="477"/>
      <c r="E112" s="477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</row>
    <row r="113" spans="1:25" x14ac:dyDescent="0.25">
      <c r="A113" s="240"/>
      <c r="B113" s="477"/>
      <c r="C113" s="477"/>
      <c r="D113" s="477"/>
      <c r="E113" s="477"/>
      <c r="F113" s="477"/>
      <c r="G113" s="477"/>
      <c r="H113" s="477"/>
      <c r="I113" s="477"/>
      <c r="J113" s="477"/>
      <c r="K113" s="477"/>
      <c r="L113" s="477"/>
      <c r="M113" s="477"/>
      <c r="N113" s="477"/>
      <c r="O113" s="477"/>
      <c r="P113" s="477"/>
      <c r="Q113" s="477"/>
      <c r="R113" s="477"/>
      <c r="S113" s="477"/>
      <c r="T113" s="477"/>
      <c r="U113" s="477"/>
      <c r="V113" s="477"/>
      <c r="W113" s="477"/>
      <c r="X113" s="477"/>
      <c r="Y113" s="477"/>
    </row>
    <row r="114" spans="1:25" x14ac:dyDescent="0.25">
      <c r="A114" s="240" t="s">
        <v>273</v>
      </c>
      <c r="B114" s="477">
        <v>8</v>
      </c>
      <c r="C114" s="477"/>
      <c r="D114" s="477"/>
      <c r="E114" s="477"/>
      <c r="F114" s="477"/>
      <c r="G114" s="477"/>
      <c r="H114" s="477"/>
      <c r="I114" s="477"/>
      <c r="J114" s="477"/>
      <c r="K114" s="477"/>
      <c r="L114" s="477"/>
      <c r="M114" s="477"/>
      <c r="N114" s="477"/>
      <c r="O114" s="477"/>
      <c r="P114" s="477"/>
      <c r="Q114" s="477"/>
      <c r="R114" s="477"/>
      <c r="S114" s="477"/>
      <c r="T114" s="477"/>
      <c r="U114" s="477"/>
      <c r="V114" s="477"/>
      <c r="W114" s="477"/>
      <c r="X114" s="477"/>
      <c r="Y114" s="477"/>
    </row>
    <row r="115" spans="1:25" x14ac:dyDescent="0.25">
      <c r="A115" s="240"/>
      <c r="B115" s="477"/>
      <c r="C115" s="477"/>
      <c r="D115" s="477"/>
      <c r="E115" s="477"/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477"/>
      <c r="R115" s="477"/>
      <c r="S115" s="477"/>
      <c r="T115" s="477"/>
      <c r="U115" s="477"/>
      <c r="V115" s="477"/>
      <c r="W115" s="477"/>
      <c r="X115" s="477"/>
      <c r="Y115" s="477"/>
    </row>
    <row r="116" spans="1:25" x14ac:dyDescent="0.25">
      <c r="A116" s="240"/>
      <c r="B116" s="477"/>
      <c r="C116" s="477"/>
      <c r="D116" s="477"/>
      <c r="E116" s="477"/>
      <c r="F116" s="477"/>
      <c r="G116" s="477"/>
      <c r="H116" s="477"/>
      <c r="I116" s="477"/>
      <c r="J116" s="477"/>
      <c r="K116" s="477"/>
      <c r="L116" s="477"/>
      <c r="M116" s="477"/>
      <c r="N116" s="477"/>
      <c r="O116" s="477"/>
      <c r="P116" s="477"/>
      <c r="Q116" s="477"/>
      <c r="R116" s="477"/>
      <c r="S116" s="477"/>
      <c r="T116" s="477"/>
      <c r="U116" s="477"/>
      <c r="V116" s="477"/>
      <c r="W116" s="477"/>
      <c r="X116" s="477"/>
      <c r="Y116" s="477"/>
    </row>
    <row r="117" spans="1:25" x14ac:dyDescent="0.25">
      <c r="A117" s="240"/>
      <c r="B117" s="477"/>
      <c r="C117" s="477"/>
      <c r="D117" s="477"/>
      <c r="E117" s="477"/>
      <c r="F117" s="477"/>
      <c r="G117" s="477"/>
      <c r="H117" s="477"/>
      <c r="I117" s="477"/>
      <c r="J117" s="477"/>
      <c r="K117" s="477"/>
      <c r="L117" s="477"/>
      <c r="M117" s="477"/>
      <c r="N117" s="477"/>
      <c r="O117" s="477"/>
      <c r="P117" s="477"/>
      <c r="Q117" s="477"/>
      <c r="R117" s="477"/>
      <c r="S117" s="477"/>
      <c r="T117" s="477"/>
      <c r="U117" s="477"/>
      <c r="V117" s="477"/>
      <c r="W117" s="477"/>
      <c r="X117" s="477"/>
      <c r="Y117" s="477"/>
    </row>
    <row r="118" spans="1:25" x14ac:dyDescent="0.25">
      <c r="A118" s="240"/>
      <c r="B118" s="477"/>
      <c r="C118" s="477"/>
      <c r="D118" s="477"/>
      <c r="E118" s="477"/>
      <c r="F118" s="477"/>
      <c r="G118" s="477"/>
      <c r="H118" s="477"/>
      <c r="I118" s="477"/>
      <c r="J118" s="477"/>
      <c r="K118" s="477"/>
      <c r="L118" s="477"/>
      <c r="M118" s="477"/>
      <c r="N118" s="477"/>
      <c r="O118" s="477"/>
      <c r="P118" s="477"/>
      <c r="Q118" s="477"/>
      <c r="R118" s="477"/>
      <c r="S118" s="477"/>
      <c r="T118" s="477"/>
      <c r="U118" s="477"/>
      <c r="V118" s="477"/>
      <c r="W118" s="477"/>
      <c r="X118" s="477"/>
      <c r="Y118" s="477"/>
    </row>
    <row r="119" spans="1:25" x14ac:dyDescent="0.25">
      <c r="A119" s="240"/>
      <c r="B119" s="477"/>
      <c r="C119" s="477"/>
      <c r="D119" s="477"/>
      <c r="E119" s="477"/>
      <c r="F119" s="477"/>
      <c r="G119" s="477"/>
      <c r="H119" s="477"/>
      <c r="I119" s="477"/>
      <c r="J119" s="477"/>
      <c r="K119" s="477"/>
      <c r="L119" s="477"/>
      <c r="M119" s="477"/>
      <c r="N119" s="477"/>
      <c r="O119" s="477"/>
      <c r="P119" s="477"/>
      <c r="Q119" s="477"/>
      <c r="R119" s="477"/>
      <c r="S119" s="477"/>
      <c r="T119" s="477"/>
      <c r="U119" s="477"/>
      <c r="V119" s="477"/>
      <c r="W119" s="477"/>
      <c r="X119" s="477"/>
      <c r="Y119" s="477"/>
    </row>
    <row r="120" spans="1:25" x14ac:dyDescent="0.25">
      <c r="A120" s="240"/>
      <c r="B120" s="477"/>
      <c r="C120" s="477"/>
      <c r="D120" s="477"/>
      <c r="E120" s="477"/>
      <c r="F120" s="477"/>
      <c r="G120" s="477"/>
      <c r="H120" s="477"/>
      <c r="I120" s="477"/>
      <c r="J120" s="477"/>
      <c r="K120" s="477"/>
      <c r="L120" s="477"/>
      <c r="M120" s="477"/>
      <c r="N120" s="477"/>
      <c r="O120" s="477"/>
      <c r="P120" s="477"/>
      <c r="Q120" s="477"/>
      <c r="R120" s="477"/>
      <c r="S120" s="477"/>
      <c r="T120" s="477"/>
      <c r="U120" s="477"/>
      <c r="V120" s="477"/>
      <c r="W120" s="477"/>
      <c r="X120" s="477"/>
      <c r="Y120" s="477"/>
    </row>
    <row r="121" spans="1:25" x14ac:dyDescent="0.25">
      <c r="A121" s="240"/>
      <c r="B121" s="477"/>
      <c r="C121" s="477"/>
      <c r="D121" s="477"/>
      <c r="E121" s="477"/>
      <c r="F121" s="477"/>
      <c r="G121" s="477"/>
      <c r="H121" s="477"/>
      <c r="I121" s="477"/>
      <c r="J121" s="477"/>
      <c r="K121" s="477"/>
      <c r="L121" s="477"/>
      <c r="M121" s="477"/>
      <c r="N121" s="477"/>
      <c r="O121" s="477"/>
      <c r="P121" s="477"/>
      <c r="Q121" s="477"/>
      <c r="R121" s="477"/>
      <c r="S121" s="477"/>
      <c r="T121" s="477"/>
      <c r="U121" s="477"/>
      <c r="V121" s="477"/>
      <c r="W121" s="477"/>
      <c r="X121" s="477"/>
      <c r="Y121" s="477"/>
    </row>
    <row r="122" spans="1:25" x14ac:dyDescent="0.25">
      <c r="A122" s="240"/>
      <c r="B122" s="477"/>
      <c r="C122" s="477"/>
      <c r="D122" s="477"/>
      <c r="E122" s="477"/>
      <c r="F122" s="477"/>
      <c r="G122" s="477"/>
      <c r="H122" s="477"/>
      <c r="I122" s="477"/>
      <c r="J122" s="477"/>
      <c r="K122" s="477"/>
      <c r="L122" s="477"/>
      <c r="M122" s="477"/>
      <c r="N122" s="477"/>
      <c r="O122" s="477"/>
      <c r="P122" s="477"/>
      <c r="Q122" s="477"/>
      <c r="R122" s="477"/>
      <c r="S122" s="477"/>
      <c r="T122" s="477"/>
      <c r="U122" s="477"/>
      <c r="V122" s="477"/>
      <c r="W122" s="477"/>
      <c r="X122" s="477"/>
      <c r="Y122" s="477"/>
    </row>
    <row r="123" spans="1:25" x14ac:dyDescent="0.25">
      <c r="A123" s="240"/>
      <c r="B123" s="477"/>
      <c r="C123" s="477"/>
      <c r="D123" s="477"/>
      <c r="E123" s="477"/>
      <c r="F123" s="477"/>
      <c r="G123" s="477"/>
      <c r="H123" s="477"/>
      <c r="I123" s="477"/>
      <c r="J123" s="477"/>
      <c r="K123" s="477"/>
      <c r="L123" s="477"/>
      <c r="M123" s="477"/>
      <c r="N123" s="477"/>
      <c r="O123" s="477"/>
      <c r="P123" s="477"/>
      <c r="Q123" s="477"/>
      <c r="R123" s="477"/>
      <c r="S123" s="477"/>
      <c r="T123" s="477"/>
      <c r="U123" s="477"/>
      <c r="V123" s="477"/>
      <c r="W123" s="477"/>
      <c r="X123" s="477"/>
      <c r="Y123" s="477"/>
    </row>
    <row r="124" spans="1:25" x14ac:dyDescent="0.25">
      <c r="A124" s="240"/>
      <c r="B124" s="477"/>
      <c r="C124" s="477"/>
      <c r="D124" s="477"/>
      <c r="E124" s="477"/>
      <c r="F124" s="477"/>
      <c r="G124" s="477"/>
      <c r="H124" s="477"/>
      <c r="I124" s="477"/>
      <c r="J124" s="477"/>
      <c r="K124" s="477"/>
      <c r="L124" s="477"/>
      <c r="M124" s="477"/>
      <c r="N124" s="477"/>
      <c r="O124" s="477"/>
      <c r="P124" s="477"/>
      <c r="Q124" s="477"/>
      <c r="R124" s="477"/>
      <c r="S124" s="477"/>
      <c r="T124" s="477"/>
      <c r="U124" s="477"/>
      <c r="V124" s="477"/>
      <c r="W124" s="477"/>
      <c r="X124" s="477"/>
      <c r="Y124" s="477"/>
    </row>
    <row r="125" spans="1:25" x14ac:dyDescent="0.25">
      <c r="A125" s="240"/>
      <c r="B125" s="477"/>
      <c r="C125" s="477"/>
      <c r="D125" s="477"/>
      <c r="E125" s="477"/>
      <c r="F125" s="477"/>
      <c r="G125" s="477"/>
      <c r="H125" s="477"/>
      <c r="I125" s="477"/>
      <c r="J125" s="477"/>
      <c r="K125" s="477"/>
      <c r="L125" s="477"/>
      <c r="M125" s="477"/>
      <c r="N125" s="477"/>
      <c r="O125" s="477"/>
      <c r="P125" s="477"/>
      <c r="Q125" s="477"/>
      <c r="R125" s="477"/>
      <c r="S125" s="477"/>
      <c r="T125" s="477"/>
      <c r="U125" s="477"/>
      <c r="V125" s="477"/>
      <c r="W125" s="477"/>
      <c r="X125" s="477"/>
      <c r="Y125" s="477"/>
    </row>
    <row r="126" spans="1:25" x14ac:dyDescent="0.25">
      <c r="A126" s="240"/>
      <c r="B126" s="477"/>
      <c r="C126" s="477"/>
      <c r="D126" s="477"/>
      <c r="E126" s="477"/>
      <c r="F126" s="477"/>
      <c r="G126" s="477"/>
      <c r="H126" s="477"/>
      <c r="I126" s="477"/>
      <c r="J126" s="477"/>
      <c r="K126" s="477"/>
      <c r="L126" s="477"/>
      <c r="M126" s="477"/>
      <c r="N126" s="477"/>
      <c r="O126" s="477"/>
      <c r="P126" s="477"/>
      <c r="Q126" s="477"/>
      <c r="R126" s="477"/>
      <c r="S126" s="477"/>
      <c r="T126" s="477"/>
      <c r="U126" s="477"/>
      <c r="V126" s="477"/>
      <c r="W126" s="477"/>
      <c r="X126" s="477"/>
      <c r="Y126" s="477"/>
    </row>
    <row r="127" spans="1:25" x14ac:dyDescent="0.25">
      <c r="A127" s="240"/>
      <c r="B127" s="477"/>
      <c r="C127" s="477"/>
      <c r="D127" s="477"/>
      <c r="E127" s="477"/>
      <c r="F127" s="477"/>
      <c r="G127" s="477"/>
      <c r="H127" s="477"/>
      <c r="I127" s="477"/>
      <c r="J127" s="477"/>
      <c r="K127" s="477"/>
      <c r="L127" s="477"/>
      <c r="M127" s="477"/>
      <c r="N127" s="477"/>
      <c r="O127" s="477"/>
      <c r="P127" s="477"/>
      <c r="Q127" s="477"/>
      <c r="R127" s="477"/>
      <c r="S127" s="477"/>
      <c r="T127" s="477"/>
      <c r="U127" s="477"/>
      <c r="V127" s="477"/>
      <c r="W127" s="477"/>
      <c r="X127" s="477"/>
      <c r="Y127" s="477"/>
    </row>
    <row r="128" spans="1:25" x14ac:dyDescent="0.25">
      <c r="A128" s="240"/>
      <c r="B128" s="477"/>
      <c r="C128" s="477"/>
      <c r="D128" s="477"/>
      <c r="E128" s="477"/>
      <c r="F128" s="477"/>
      <c r="G128" s="477"/>
      <c r="H128" s="477"/>
      <c r="I128" s="477"/>
      <c r="J128" s="477"/>
      <c r="K128" s="477"/>
      <c r="L128" s="477"/>
      <c r="M128" s="477"/>
      <c r="N128" s="477"/>
      <c r="O128" s="477"/>
      <c r="P128" s="477"/>
      <c r="Q128" s="477"/>
      <c r="R128" s="477"/>
      <c r="S128" s="477"/>
      <c r="T128" s="477"/>
      <c r="U128" s="477"/>
      <c r="V128" s="477"/>
      <c r="W128" s="477"/>
      <c r="X128" s="477"/>
      <c r="Y128" s="477"/>
    </row>
    <row r="129" spans="1:25" x14ac:dyDescent="0.25">
      <c r="A129" s="240"/>
      <c r="B129" s="477"/>
      <c r="C129" s="477"/>
      <c r="D129" s="477"/>
      <c r="E129" s="477"/>
      <c r="F129" s="477"/>
      <c r="G129" s="477"/>
      <c r="H129" s="477"/>
      <c r="I129" s="477"/>
      <c r="J129" s="477"/>
      <c r="K129" s="477"/>
      <c r="L129" s="477"/>
      <c r="M129" s="477"/>
      <c r="N129" s="477"/>
      <c r="O129" s="477"/>
      <c r="P129" s="477"/>
      <c r="Q129" s="477"/>
      <c r="R129" s="477"/>
      <c r="S129" s="477"/>
      <c r="T129" s="477"/>
      <c r="U129" s="477"/>
      <c r="V129" s="477"/>
      <c r="W129" s="477"/>
      <c r="X129" s="477"/>
      <c r="Y129" s="477"/>
    </row>
    <row r="130" spans="1:25" x14ac:dyDescent="0.25">
      <c r="A130" s="240" t="s">
        <v>274</v>
      </c>
      <c r="B130" s="477"/>
      <c r="C130" s="477"/>
      <c r="D130" s="477"/>
      <c r="E130" s="477"/>
      <c r="F130" s="477"/>
      <c r="G130" s="477"/>
      <c r="H130" s="477"/>
      <c r="I130" s="477"/>
      <c r="J130" s="477"/>
      <c r="K130" s="477"/>
      <c r="L130" s="477"/>
      <c r="M130" s="477"/>
      <c r="N130" s="477"/>
      <c r="O130" s="477"/>
      <c r="P130" s="477"/>
      <c r="Q130" s="477"/>
      <c r="R130" s="477"/>
      <c r="S130" s="477"/>
      <c r="T130" s="477"/>
      <c r="U130" s="477"/>
      <c r="V130" s="477"/>
      <c r="W130" s="477"/>
      <c r="X130" s="477"/>
      <c r="Y130" s="477"/>
    </row>
    <row r="131" spans="1:25" x14ac:dyDescent="0.25">
      <c r="A131" s="240"/>
      <c r="B131" s="477"/>
      <c r="C131" s="477"/>
      <c r="D131" s="477"/>
      <c r="E131" s="477"/>
      <c r="F131" s="477"/>
      <c r="G131" s="477"/>
      <c r="H131" s="477"/>
      <c r="I131" s="477"/>
      <c r="J131" s="477"/>
      <c r="K131" s="477"/>
      <c r="L131" s="477"/>
      <c r="M131" s="477"/>
      <c r="N131" s="477"/>
      <c r="O131" s="477"/>
      <c r="P131" s="477"/>
      <c r="Q131" s="477"/>
      <c r="R131" s="477"/>
      <c r="S131" s="477"/>
      <c r="T131" s="477"/>
      <c r="U131" s="477"/>
      <c r="V131" s="477"/>
      <c r="W131" s="477"/>
      <c r="X131" s="477"/>
      <c r="Y131" s="477"/>
    </row>
    <row r="132" spans="1:25" x14ac:dyDescent="0.25">
      <c r="A132" s="240"/>
      <c r="B132" s="477"/>
      <c r="C132" s="477"/>
      <c r="D132" s="477"/>
      <c r="E132" s="477"/>
      <c r="F132" s="477"/>
      <c r="G132" s="477"/>
      <c r="H132" s="477"/>
      <c r="I132" s="477"/>
      <c r="J132" s="477"/>
      <c r="K132" s="477"/>
      <c r="L132" s="477"/>
      <c r="M132" s="477"/>
      <c r="N132" s="477"/>
      <c r="O132" s="477"/>
      <c r="P132" s="477"/>
      <c r="Q132" s="477"/>
      <c r="R132" s="477"/>
      <c r="S132" s="477"/>
      <c r="T132" s="477"/>
      <c r="U132" s="477"/>
      <c r="V132" s="477"/>
      <c r="W132" s="477"/>
      <c r="X132" s="477"/>
      <c r="Y132" s="477"/>
    </row>
    <row r="133" spans="1:25" x14ac:dyDescent="0.25">
      <c r="A133" s="240"/>
      <c r="B133" s="477"/>
      <c r="C133" s="477"/>
      <c r="D133" s="477"/>
      <c r="E133" s="477"/>
      <c r="F133" s="477"/>
      <c r="G133" s="477"/>
      <c r="H133" s="477"/>
      <c r="I133" s="477"/>
      <c r="J133" s="477"/>
      <c r="K133" s="477"/>
      <c r="L133" s="477"/>
      <c r="M133" s="477"/>
      <c r="N133" s="477"/>
      <c r="O133" s="477"/>
      <c r="P133" s="477"/>
      <c r="Q133" s="477"/>
      <c r="R133" s="477"/>
      <c r="S133" s="477"/>
      <c r="T133" s="477"/>
      <c r="U133" s="477"/>
      <c r="V133" s="477"/>
      <c r="W133" s="477"/>
      <c r="X133" s="477"/>
      <c r="Y133" s="477"/>
    </row>
    <row r="134" spans="1:25" x14ac:dyDescent="0.25">
      <c r="A134" s="240"/>
      <c r="B134" s="477"/>
      <c r="C134" s="477"/>
      <c r="D134" s="477"/>
      <c r="E134" s="477"/>
      <c r="F134" s="477"/>
      <c r="G134" s="477"/>
      <c r="H134" s="477"/>
      <c r="I134" s="477"/>
      <c r="J134" s="477"/>
      <c r="K134" s="477"/>
      <c r="L134" s="477"/>
      <c r="M134" s="477"/>
      <c r="N134" s="477"/>
      <c r="O134" s="477"/>
      <c r="P134" s="477"/>
      <c r="Q134" s="477"/>
      <c r="R134" s="477"/>
      <c r="S134" s="477"/>
      <c r="T134" s="477"/>
      <c r="U134" s="477"/>
      <c r="V134" s="477"/>
      <c r="W134" s="477"/>
      <c r="X134" s="477"/>
      <c r="Y134" s="477"/>
    </row>
    <row r="135" spans="1:25" x14ac:dyDescent="0.25">
      <c r="A135" s="240"/>
      <c r="B135" s="477"/>
      <c r="C135" s="477"/>
      <c r="D135" s="477"/>
      <c r="E135" s="477"/>
      <c r="F135" s="477"/>
      <c r="G135" s="477"/>
      <c r="H135" s="477"/>
      <c r="I135" s="477"/>
      <c r="J135" s="477"/>
      <c r="K135" s="477"/>
      <c r="L135" s="477"/>
      <c r="M135" s="477"/>
      <c r="N135" s="477"/>
      <c r="O135" s="477"/>
      <c r="P135" s="477"/>
      <c r="Q135" s="477"/>
      <c r="R135" s="477"/>
      <c r="S135" s="477"/>
      <c r="T135" s="477"/>
      <c r="U135" s="477"/>
      <c r="V135" s="477"/>
      <c r="W135" s="477"/>
      <c r="X135" s="477"/>
      <c r="Y135" s="477"/>
    </row>
    <row r="136" spans="1:25" x14ac:dyDescent="0.25">
      <c r="A136" s="240"/>
      <c r="B136" s="477"/>
      <c r="C136" s="477"/>
      <c r="D136" s="477"/>
      <c r="E136" s="477"/>
      <c r="F136" s="477"/>
      <c r="G136" s="477"/>
      <c r="H136" s="477"/>
      <c r="I136" s="477"/>
      <c r="J136" s="477"/>
      <c r="K136" s="477"/>
      <c r="L136" s="477"/>
      <c r="M136" s="477"/>
      <c r="N136" s="477"/>
      <c r="O136" s="477"/>
      <c r="P136" s="477"/>
      <c r="Q136" s="477"/>
      <c r="R136" s="477"/>
      <c r="S136" s="477"/>
      <c r="T136" s="477"/>
      <c r="U136" s="477"/>
      <c r="V136" s="477"/>
      <c r="W136" s="477"/>
      <c r="X136" s="477"/>
      <c r="Y136" s="477"/>
    </row>
    <row r="137" spans="1:25" x14ac:dyDescent="0.25">
      <c r="A137" s="240"/>
      <c r="B137" s="477"/>
      <c r="C137" s="477"/>
      <c r="D137" s="477"/>
      <c r="E137" s="477"/>
      <c r="F137" s="477"/>
      <c r="G137" s="477"/>
      <c r="H137" s="477"/>
      <c r="I137" s="477"/>
      <c r="J137" s="477"/>
      <c r="K137" s="477"/>
      <c r="L137" s="477"/>
      <c r="M137" s="477"/>
      <c r="N137" s="477"/>
      <c r="O137" s="477"/>
      <c r="P137" s="477"/>
      <c r="Q137" s="477"/>
      <c r="R137" s="477"/>
      <c r="S137" s="477"/>
      <c r="T137" s="477"/>
      <c r="U137" s="477"/>
      <c r="V137" s="477"/>
      <c r="W137" s="477"/>
      <c r="X137" s="477"/>
      <c r="Y137" s="477"/>
    </row>
    <row r="138" spans="1:25" x14ac:dyDescent="0.25">
      <c r="A138" s="240"/>
      <c r="B138" s="477"/>
      <c r="C138" s="477"/>
      <c r="D138" s="477"/>
      <c r="E138" s="477"/>
      <c r="F138" s="477"/>
      <c r="G138" s="477"/>
      <c r="H138" s="477"/>
      <c r="I138" s="477"/>
      <c r="J138" s="477"/>
      <c r="K138" s="477"/>
      <c r="L138" s="477"/>
      <c r="M138" s="477"/>
      <c r="N138" s="477"/>
      <c r="O138" s="477"/>
      <c r="P138" s="477"/>
      <c r="Q138" s="477"/>
      <c r="R138" s="477"/>
      <c r="S138" s="477"/>
      <c r="T138" s="477"/>
      <c r="U138" s="477"/>
      <c r="V138" s="477"/>
      <c r="W138" s="477"/>
      <c r="X138" s="477"/>
      <c r="Y138" s="477"/>
    </row>
    <row r="139" spans="1:25" x14ac:dyDescent="0.25">
      <c r="A139" s="240"/>
      <c r="B139" s="477"/>
      <c r="C139" s="477"/>
      <c r="D139" s="477"/>
      <c r="E139" s="477"/>
      <c r="F139" s="477"/>
      <c r="G139" s="477"/>
      <c r="H139" s="477"/>
      <c r="I139" s="477"/>
      <c r="J139" s="477"/>
      <c r="K139" s="477"/>
      <c r="L139" s="477"/>
      <c r="M139" s="477"/>
      <c r="N139" s="477"/>
      <c r="O139" s="477"/>
      <c r="P139" s="477"/>
      <c r="Q139" s="477"/>
      <c r="R139" s="477"/>
      <c r="S139" s="477"/>
      <c r="T139" s="477"/>
      <c r="U139" s="477"/>
      <c r="V139" s="477"/>
      <c r="W139" s="477"/>
      <c r="X139" s="477"/>
      <c r="Y139" s="477"/>
    </row>
    <row r="140" spans="1:25" x14ac:dyDescent="0.25">
      <c r="A140" s="240"/>
      <c r="B140" s="477"/>
      <c r="C140" s="477"/>
      <c r="D140" s="477"/>
      <c r="E140" s="477"/>
      <c r="F140" s="477"/>
      <c r="G140" s="477"/>
      <c r="H140" s="477"/>
      <c r="I140" s="477"/>
      <c r="J140" s="477"/>
      <c r="K140" s="477"/>
      <c r="L140" s="477"/>
      <c r="M140" s="477"/>
      <c r="N140" s="477"/>
      <c r="O140" s="477"/>
      <c r="P140" s="477"/>
      <c r="Q140" s="477"/>
      <c r="R140" s="477"/>
      <c r="S140" s="477"/>
      <c r="T140" s="477"/>
      <c r="U140" s="477"/>
      <c r="V140" s="477"/>
      <c r="W140" s="477"/>
      <c r="X140" s="477"/>
      <c r="Y140" s="477"/>
    </row>
    <row r="141" spans="1:25" x14ac:dyDescent="0.25">
      <c r="A141" s="240"/>
      <c r="B141" s="477"/>
      <c r="C141" s="477"/>
      <c r="D141" s="477"/>
      <c r="E141" s="477"/>
      <c r="F141" s="477"/>
      <c r="G141" s="477"/>
      <c r="H141" s="477"/>
      <c r="I141" s="477"/>
      <c r="J141" s="477"/>
      <c r="K141" s="477"/>
      <c r="L141" s="477"/>
      <c r="M141" s="477"/>
      <c r="N141" s="477"/>
      <c r="O141" s="477"/>
      <c r="P141" s="477"/>
      <c r="Q141" s="477"/>
      <c r="R141" s="477"/>
      <c r="S141" s="477"/>
      <c r="T141" s="477"/>
      <c r="U141" s="477"/>
      <c r="V141" s="477"/>
      <c r="W141" s="477"/>
      <c r="X141" s="477"/>
      <c r="Y141" s="477"/>
    </row>
    <row r="142" spans="1:25" x14ac:dyDescent="0.25">
      <c r="A142" s="240"/>
      <c r="B142" s="477"/>
      <c r="C142" s="477"/>
      <c r="D142" s="477"/>
      <c r="E142" s="477"/>
      <c r="F142" s="477"/>
      <c r="G142" s="477"/>
      <c r="H142" s="477"/>
      <c r="I142" s="477"/>
      <c r="J142" s="477"/>
      <c r="K142" s="477"/>
      <c r="L142" s="477"/>
      <c r="M142" s="477"/>
      <c r="N142" s="477"/>
      <c r="O142" s="477"/>
      <c r="P142" s="477"/>
      <c r="Q142" s="477"/>
      <c r="R142" s="477"/>
      <c r="S142" s="477"/>
      <c r="T142" s="477"/>
      <c r="U142" s="477"/>
      <c r="V142" s="477"/>
      <c r="W142" s="477"/>
      <c r="X142" s="477"/>
      <c r="Y142" s="477"/>
    </row>
    <row r="143" spans="1:25" x14ac:dyDescent="0.25">
      <c r="A143" s="240"/>
      <c r="B143" s="477"/>
      <c r="C143" s="477"/>
      <c r="D143" s="477"/>
      <c r="E143" s="477"/>
      <c r="F143" s="477"/>
      <c r="G143" s="477"/>
      <c r="H143" s="477"/>
      <c r="I143" s="477"/>
      <c r="J143" s="477"/>
      <c r="K143" s="477"/>
      <c r="L143" s="477"/>
      <c r="M143" s="477"/>
      <c r="N143" s="477"/>
      <c r="O143" s="477"/>
      <c r="P143" s="477"/>
      <c r="Q143" s="477"/>
      <c r="R143" s="477"/>
      <c r="S143" s="477"/>
      <c r="T143" s="477"/>
      <c r="U143" s="477"/>
      <c r="V143" s="477"/>
      <c r="W143" s="477"/>
      <c r="X143" s="477"/>
      <c r="Y143" s="477"/>
    </row>
    <row r="144" spans="1:25" x14ac:dyDescent="0.25">
      <c r="A144" s="240"/>
      <c r="B144" s="477"/>
      <c r="C144" s="477"/>
      <c r="D144" s="477"/>
      <c r="E144" s="477"/>
      <c r="F144" s="477"/>
      <c r="G144" s="477"/>
      <c r="H144" s="477"/>
      <c r="I144" s="477"/>
      <c r="J144" s="477"/>
      <c r="K144" s="477"/>
      <c r="L144" s="477"/>
      <c r="M144" s="477"/>
      <c r="N144" s="477"/>
      <c r="O144" s="477"/>
      <c r="P144" s="477"/>
      <c r="Q144" s="477"/>
      <c r="R144" s="477"/>
      <c r="S144" s="477"/>
      <c r="T144" s="477"/>
      <c r="U144" s="477"/>
      <c r="V144" s="477"/>
      <c r="W144" s="477"/>
      <c r="X144" s="477"/>
      <c r="Y144" s="477"/>
    </row>
    <row r="145" spans="1:25" x14ac:dyDescent="0.25">
      <c r="A145" s="240"/>
      <c r="B145" s="477"/>
      <c r="C145" s="477"/>
      <c r="D145" s="477"/>
      <c r="E145" s="477"/>
      <c r="F145" s="477"/>
      <c r="G145" s="477"/>
      <c r="H145" s="477"/>
      <c r="I145" s="477"/>
      <c r="J145" s="477"/>
      <c r="K145" s="477"/>
      <c r="L145" s="477"/>
      <c r="M145" s="477"/>
      <c r="N145" s="477"/>
      <c r="O145" s="477"/>
      <c r="P145" s="477"/>
      <c r="Q145" s="477"/>
      <c r="R145" s="477"/>
      <c r="S145" s="477"/>
      <c r="T145" s="477"/>
      <c r="U145" s="477"/>
      <c r="V145" s="477"/>
      <c r="W145" s="477"/>
      <c r="X145" s="477"/>
      <c r="Y145" s="477"/>
    </row>
    <row r="146" spans="1:25" x14ac:dyDescent="0.25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</row>
    <row r="147" spans="1:25" x14ac:dyDescent="0.25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</row>
    <row r="148" spans="1:25" x14ac:dyDescent="0.25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</row>
    <row r="149" spans="1:25" x14ac:dyDescent="0.25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</row>
    <row r="150" spans="1:25" x14ac:dyDescent="0.25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</row>
    <row r="151" spans="1:25" x14ac:dyDescent="0.25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</row>
    <row r="152" spans="1:25" x14ac:dyDescent="0.25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</row>
    <row r="153" spans="1:25" x14ac:dyDescent="0.25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</row>
    <row r="154" spans="1:25" x14ac:dyDescent="0.25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</row>
    <row r="155" spans="1:25" x14ac:dyDescent="0.25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</row>
    <row r="156" spans="1:25" x14ac:dyDescent="0.25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</row>
    <row r="157" spans="1:25" x14ac:dyDescent="0.25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</row>
    <row r="158" spans="1:25" x14ac:dyDescent="0.25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</row>
    <row r="159" spans="1:25" x14ac:dyDescent="0.25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</row>
    <row r="160" spans="1:25" x14ac:dyDescent="0.25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</row>
    <row r="161" spans="2:25" x14ac:dyDescent="0.25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</row>
    <row r="162" spans="2:25" x14ac:dyDescent="0.25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</row>
    <row r="163" spans="2:25" x14ac:dyDescent="0.25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</row>
    <row r="164" spans="2:25" x14ac:dyDescent="0.25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</row>
    <row r="165" spans="2:25" x14ac:dyDescent="0.25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</row>
    <row r="166" spans="2:25" x14ac:dyDescent="0.25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</row>
    <row r="167" spans="2:25" x14ac:dyDescent="0.25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</row>
    <row r="168" spans="2:25" x14ac:dyDescent="0.25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</row>
    <row r="169" spans="2:25" x14ac:dyDescent="0.25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</row>
    <row r="170" spans="2:25" x14ac:dyDescent="0.25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</row>
    <row r="171" spans="2:25" x14ac:dyDescent="0.25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</row>
    <row r="172" spans="2:25" x14ac:dyDescent="0.25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</row>
    <row r="173" spans="2:25" x14ac:dyDescent="0.25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</row>
    <row r="174" spans="2:25" x14ac:dyDescent="0.25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</row>
    <row r="175" spans="2:25" x14ac:dyDescent="0.25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</row>
    <row r="176" spans="2:25" x14ac:dyDescent="0.25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</row>
    <row r="177" spans="2:25" x14ac:dyDescent="0.25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</row>
    <row r="178" spans="2:25" x14ac:dyDescent="0.25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</row>
    <row r="179" spans="2:25" x14ac:dyDescent="0.25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</row>
    <row r="180" spans="2:25" x14ac:dyDescent="0.25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</row>
    <row r="181" spans="2:25" x14ac:dyDescent="0.25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</row>
    <row r="182" spans="2:25" x14ac:dyDescent="0.25"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</row>
    <row r="183" spans="2:25" x14ac:dyDescent="0.25"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</row>
    <row r="184" spans="2:25" x14ac:dyDescent="0.25"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</row>
    <row r="185" spans="2:25" x14ac:dyDescent="0.25"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</row>
    <row r="186" spans="2:25" x14ac:dyDescent="0.25"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</row>
    <row r="187" spans="2:25" x14ac:dyDescent="0.25"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</row>
    <row r="188" spans="2:25" x14ac:dyDescent="0.25"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</row>
    <row r="189" spans="2:25" x14ac:dyDescent="0.25"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</row>
    <row r="190" spans="2:25" x14ac:dyDescent="0.25"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</row>
    <row r="191" spans="2:25" x14ac:dyDescent="0.25"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</row>
    <row r="192" spans="2:25" x14ac:dyDescent="0.25"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</row>
    <row r="193" spans="2:25" x14ac:dyDescent="0.25"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</row>
    <row r="194" spans="2:25" x14ac:dyDescent="0.25"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</row>
    <row r="195" spans="2:25" x14ac:dyDescent="0.25"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</row>
    <row r="196" spans="2:25" x14ac:dyDescent="0.25"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</row>
    <row r="197" spans="2:25" x14ac:dyDescent="0.25"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</row>
    <row r="198" spans="2:25" x14ac:dyDescent="0.25"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</row>
    <row r="199" spans="2:25" x14ac:dyDescent="0.25"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</row>
    <row r="200" spans="2:25" x14ac:dyDescent="0.25"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</row>
    <row r="201" spans="2:25" x14ac:dyDescent="0.25"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</row>
    <row r="202" spans="2:25" x14ac:dyDescent="0.25"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</row>
    <row r="203" spans="2:25" x14ac:dyDescent="0.25"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</row>
    <row r="204" spans="2:25" x14ac:dyDescent="0.25"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</row>
    <row r="205" spans="2:25" x14ac:dyDescent="0.25"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</row>
    <row r="206" spans="2:25" x14ac:dyDescent="0.25"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</row>
    <row r="207" spans="2:25" x14ac:dyDescent="0.25"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</row>
    <row r="208" spans="2:25" x14ac:dyDescent="0.25"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</row>
    <row r="209" spans="2:25" x14ac:dyDescent="0.25"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</row>
    <row r="210" spans="2:25" x14ac:dyDescent="0.25"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</row>
    <row r="211" spans="2:25" x14ac:dyDescent="0.25"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</row>
    <row r="212" spans="2:25" x14ac:dyDescent="0.25"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</row>
    <row r="213" spans="2:25" x14ac:dyDescent="0.25"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</row>
    <row r="214" spans="2:25" x14ac:dyDescent="0.25"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</row>
    <row r="215" spans="2:25" x14ac:dyDescent="0.25"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</row>
    <row r="216" spans="2:25" x14ac:dyDescent="0.25"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</row>
    <row r="217" spans="2:25" x14ac:dyDescent="0.25"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</row>
    <row r="218" spans="2:25" x14ac:dyDescent="0.25"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</row>
    <row r="219" spans="2:25" x14ac:dyDescent="0.25"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</row>
    <row r="220" spans="2:25" x14ac:dyDescent="0.25"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</row>
    <row r="221" spans="2:25" x14ac:dyDescent="0.25"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</row>
    <row r="222" spans="2:25" x14ac:dyDescent="0.25"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</row>
    <row r="223" spans="2:25" x14ac:dyDescent="0.25"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</row>
    <row r="224" spans="2:25" x14ac:dyDescent="0.25"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</row>
  </sheetData>
  <mergeCells count="18">
    <mergeCell ref="A98:A113"/>
    <mergeCell ref="B98:Y113"/>
    <mergeCell ref="A114:A129"/>
    <mergeCell ref="B114:Y129"/>
    <mergeCell ref="A130:A145"/>
    <mergeCell ref="B130:Y145"/>
    <mergeCell ref="A50:A65"/>
    <mergeCell ref="B50:Y65"/>
    <mergeCell ref="A66:A81"/>
    <mergeCell ref="B66:Y81"/>
    <mergeCell ref="A82:A97"/>
    <mergeCell ref="B82:Y97"/>
    <mergeCell ref="A2:A17"/>
    <mergeCell ref="B2:Y17"/>
    <mergeCell ref="A18:A33"/>
    <mergeCell ref="B18:Y33"/>
    <mergeCell ref="A34:A49"/>
    <mergeCell ref="B34:Y49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7"/>
  <dimension ref="A1:S82"/>
  <sheetViews>
    <sheetView workbookViewId="0">
      <selection activeCell="A49" sqref="A49:XFD49"/>
    </sheetView>
  </sheetViews>
  <sheetFormatPr defaultRowHeight="15" x14ac:dyDescent="0.25"/>
  <cols>
    <col min="1" max="1" width="36.28515625" bestFit="1" customWidth="1"/>
    <col min="2" max="2" width="11" bestFit="1" customWidth="1"/>
    <col min="3" max="3" width="11.7109375" bestFit="1" customWidth="1"/>
    <col min="4" max="4" width="10.7109375" bestFit="1" customWidth="1"/>
  </cols>
  <sheetData>
    <row r="1" spans="1:19" x14ac:dyDescent="0.25">
      <c r="A1" t="s">
        <v>326</v>
      </c>
      <c r="E1" t="s">
        <v>327</v>
      </c>
      <c r="G1" t="s">
        <v>328</v>
      </c>
      <c r="H1" t="s">
        <v>329</v>
      </c>
      <c r="I1" t="s">
        <v>330</v>
      </c>
      <c r="J1" s="37">
        <v>0.45</v>
      </c>
      <c r="N1" t="s">
        <v>331</v>
      </c>
      <c r="O1" t="s">
        <v>332</v>
      </c>
      <c r="P1" t="s">
        <v>333</v>
      </c>
      <c r="Q1" t="s">
        <v>334</v>
      </c>
    </row>
    <row r="2" spans="1:19" x14ac:dyDescent="0.25">
      <c r="A2" t="s">
        <v>275</v>
      </c>
      <c r="B2" t="s">
        <v>885</v>
      </c>
      <c r="C2" t="s">
        <v>857</v>
      </c>
      <c r="D2" t="s">
        <v>858</v>
      </c>
      <c r="E2" t="s">
        <v>104</v>
      </c>
      <c r="F2" t="s">
        <v>226</v>
      </c>
      <c r="G2" t="s">
        <v>276</v>
      </c>
      <c r="H2" t="s">
        <v>277</v>
      </c>
      <c r="I2" t="s">
        <v>278</v>
      </c>
      <c r="J2" t="s">
        <v>215</v>
      </c>
      <c r="K2" t="s">
        <v>279</v>
      </c>
      <c r="L2" t="s">
        <v>280</v>
      </c>
      <c r="M2" t="s">
        <v>281</v>
      </c>
      <c r="N2" t="s">
        <v>282</v>
      </c>
      <c r="O2" t="s">
        <v>283</v>
      </c>
      <c r="P2" t="s">
        <v>284</v>
      </c>
      <c r="Q2" t="s">
        <v>285</v>
      </c>
      <c r="R2" t="s">
        <v>286</v>
      </c>
      <c r="S2" t="s">
        <v>287</v>
      </c>
    </row>
    <row r="3" spans="1:19" x14ac:dyDescent="0.25">
      <c r="A3" t="s">
        <v>288</v>
      </c>
      <c r="E3">
        <v>185</v>
      </c>
      <c r="G3" t="s">
        <v>77</v>
      </c>
      <c r="H3">
        <v>1</v>
      </c>
      <c r="I3">
        <v>0</v>
      </c>
      <c r="J3">
        <f t="shared" ref="J3" si="0">I3*(1-$J$1)</f>
        <v>0</v>
      </c>
      <c r="K3">
        <v>2.4</v>
      </c>
    </row>
    <row r="4" spans="1:19" hidden="1" x14ac:dyDescent="0.25">
      <c r="A4" s="2" t="s">
        <v>77</v>
      </c>
      <c r="B4" s="2"/>
      <c r="C4" s="2"/>
      <c r="D4" s="2"/>
      <c r="E4" t="s">
        <v>77</v>
      </c>
      <c r="G4" t="s">
        <v>77</v>
      </c>
      <c r="H4" t="s">
        <v>77</v>
      </c>
      <c r="I4" s="148">
        <v>0</v>
      </c>
      <c r="J4">
        <f>I4*(1-$J$1)</f>
        <v>0</v>
      </c>
      <c r="K4">
        <v>0</v>
      </c>
    </row>
    <row r="5" spans="1:19" hidden="1" x14ac:dyDescent="0.25">
      <c r="A5" t="s">
        <v>289</v>
      </c>
      <c r="E5">
        <v>250</v>
      </c>
      <c r="G5">
        <v>3</v>
      </c>
      <c r="H5">
        <v>1</v>
      </c>
      <c r="I5" s="148">
        <v>4049</v>
      </c>
      <c r="J5">
        <f t="shared" ref="J5:J11" si="1">I5*(1-$J$1)*1.1</f>
        <v>2449.6450000000004</v>
      </c>
      <c r="K5">
        <v>2.5</v>
      </c>
    </row>
    <row r="6" spans="1:19" hidden="1" x14ac:dyDescent="0.25">
      <c r="A6" t="s">
        <v>290</v>
      </c>
      <c r="E6">
        <v>300</v>
      </c>
      <c r="G6">
        <v>3.8</v>
      </c>
      <c r="H6">
        <v>1</v>
      </c>
      <c r="I6" s="148">
        <v>4199</v>
      </c>
      <c r="J6">
        <f t="shared" si="1"/>
        <v>2540.3950000000004</v>
      </c>
      <c r="K6">
        <v>2.4</v>
      </c>
    </row>
    <row r="7" spans="1:19" hidden="1" x14ac:dyDescent="0.25">
      <c r="A7" t="s">
        <v>291</v>
      </c>
      <c r="E7">
        <v>400</v>
      </c>
      <c r="G7">
        <v>5</v>
      </c>
      <c r="H7">
        <v>1</v>
      </c>
      <c r="I7" s="148">
        <v>4779</v>
      </c>
      <c r="J7">
        <f t="shared" si="1"/>
        <v>2891.2950000000005</v>
      </c>
      <c r="K7">
        <v>2.2999999999999998</v>
      </c>
    </row>
    <row r="8" spans="1:19" hidden="1" x14ac:dyDescent="0.25">
      <c r="A8" t="s">
        <v>292</v>
      </c>
      <c r="E8">
        <v>500</v>
      </c>
      <c r="G8">
        <v>6</v>
      </c>
      <c r="H8">
        <v>1</v>
      </c>
      <c r="I8" s="148">
        <v>5849</v>
      </c>
      <c r="J8">
        <f t="shared" si="1"/>
        <v>3538.6450000000004</v>
      </c>
      <c r="K8">
        <v>2.15</v>
      </c>
    </row>
    <row r="9" spans="1:19" hidden="1" x14ac:dyDescent="0.25">
      <c r="A9" t="s">
        <v>293</v>
      </c>
      <c r="E9">
        <v>300</v>
      </c>
      <c r="G9" s="149" t="s">
        <v>294</v>
      </c>
      <c r="H9">
        <v>2</v>
      </c>
      <c r="I9" s="148">
        <v>4985</v>
      </c>
      <c r="J9">
        <f t="shared" si="1"/>
        <v>3015.9250000000002</v>
      </c>
      <c r="K9">
        <v>2.4</v>
      </c>
    </row>
    <row r="10" spans="1:19" hidden="1" x14ac:dyDescent="0.25">
      <c r="A10" t="s">
        <v>295</v>
      </c>
      <c r="E10">
        <v>400</v>
      </c>
      <c r="G10" s="149" t="s">
        <v>296</v>
      </c>
      <c r="H10">
        <v>2</v>
      </c>
      <c r="I10" s="148">
        <v>5579</v>
      </c>
      <c r="J10">
        <f t="shared" si="1"/>
        <v>3375.2950000000005</v>
      </c>
      <c r="K10">
        <v>2.2999999999999998</v>
      </c>
    </row>
    <row r="11" spans="1:19" hidden="1" x14ac:dyDescent="0.25">
      <c r="A11" t="s">
        <v>297</v>
      </c>
      <c r="E11">
        <v>500</v>
      </c>
      <c r="G11" s="149" t="s">
        <v>298</v>
      </c>
      <c r="H11">
        <v>2</v>
      </c>
      <c r="I11" s="148">
        <v>6759</v>
      </c>
      <c r="J11">
        <f t="shared" si="1"/>
        <v>4089.1950000000006</v>
      </c>
      <c r="K11">
        <v>2.15</v>
      </c>
    </row>
    <row r="12" spans="1:19" hidden="1" x14ac:dyDescent="0.25">
      <c r="A12" t="s">
        <v>496</v>
      </c>
      <c r="E12">
        <v>200</v>
      </c>
      <c r="G12" s="149">
        <v>1.9</v>
      </c>
      <c r="H12">
        <v>1</v>
      </c>
      <c r="I12" s="148"/>
      <c r="J12" s="150">
        <v>2473.5500000000002</v>
      </c>
      <c r="K12">
        <v>2.5</v>
      </c>
    </row>
    <row r="13" spans="1:19" hidden="1" x14ac:dyDescent="0.25">
      <c r="A13" t="s">
        <v>299</v>
      </c>
      <c r="E13">
        <v>300</v>
      </c>
      <c r="G13" s="149">
        <v>3.4</v>
      </c>
      <c r="H13">
        <v>1</v>
      </c>
      <c r="I13" s="148"/>
      <c r="J13" s="150">
        <v>2543.75</v>
      </c>
      <c r="K13">
        <v>2.4</v>
      </c>
    </row>
    <row r="14" spans="1:19" hidden="1" x14ac:dyDescent="0.25">
      <c r="A14" t="s">
        <v>300</v>
      </c>
      <c r="E14">
        <v>400</v>
      </c>
      <c r="G14" s="149">
        <v>4</v>
      </c>
      <c r="H14">
        <v>1</v>
      </c>
      <c r="I14" s="148"/>
      <c r="J14" s="150">
        <v>3271.8</v>
      </c>
      <c r="K14">
        <v>2.2999999999999998</v>
      </c>
    </row>
    <row r="15" spans="1:19" hidden="1" x14ac:dyDescent="0.25">
      <c r="A15" t="s">
        <v>301</v>
      </c>
      <c r="E15" t="s">
        <v>535</v>
      </c>
      <c r="G15" s="149" t="s">
        <v>497</v>
      </c>
      <c r="H15">
        <v>2</v>
      </c>
      <c r="I15" s="148"/>
      <c r="J15" s="150">
        <v>3980.9</v>
      </c>
      <c r="K15">
        <v>2.4</v>
      </c>
    </row>
    <row r="16" spans="1:19" hidden="1" x14ac:dyDescent="0.25">
      <c r="A16" t="s">
        <v>302</v>
      </c>
      <c r="E16" t="s">
        <v>536</v>
      </c>
      <c r="G16" s="149" t="s">
        <v>303</v>
      </c>
      <c r="H16">
        <v>2</v>
      </c>
      <c r="I16" s="148"/>
      <c r="J16" s="150">
        <v>4748.8</v>
      </c>
      <c r="K16">
        <v>2.2999999999999998</v>
      </c>
    </row>
    <row r="17" spans="1:19" hidden="1" x14ac:dyDescent="0.25">
      <c r="A17" t="s">
        <v>304</v>
      </c>
      <c r="E17">
        <v>600</v>
      </c>
      <c r="G17" s="149" t="s">
        <v>305</v>
      </c>
      <c r="H17">
        <v>2</v>
      </c>
      <c r="I17" s="148"/>
      <c r="J17" s="150">
        <f>J13*2*1.1</f>
        <v>5596.25</v>
      </c>
      <c r="K17">
        <v>1.5</v>
      </c>
    </row>
    <row r="18" spans="1:19" hidden="1" x14ac:dyDescent="0.25">
      <c r="A18" t="s">
        <v>306</v>
      </c>
      <c r="E18">
        <v>900</v>
      </c>
      <c r="G18" s="149" t="s">
        <v>307</v>
      </c>
      <c r="H18">
        <v>3</v>
      </c>
      <c r="I18" s="148"/>
      <c r="J18" s="150">
        <f>3*J13*1.1</f>
        <v>8394.375</v>
      </c>
      <c r="K18">
        <v>1</v>
      </c>
    </row>
    <row r="19" spans="1:19" hidden="1" x14ac:dyDescent="0.25">
      <c r="A19" s="151" t="s">
        <v>308</v>
      </c>
      <c r="B19" s="151"/>
      <c r="C19" s="151"/>
      <c r="D19" s="151"/>
      <c r="E19" s="151">
        <v>200</v>
      </c>
      <c r="F19" s="151">
        <v>5</v>
      </c>
      <c r="G19" s="152">
        <v>2</v>
      </c>
      <c r="H19" s="151">
        <v>1</v>
      </c>
      <c r="I19" s="153"/>
      <c r="J19" s="154">
        <v>2401.75</v>
      </c>
      <c r="K19" s="151">
        <v>2.4</v>
      </c>
      <c r="L19" s="155">
        <v>1.25</v>
      </c>
      <c r="M19" s="155">
        <v>1.25</v>
      </c>
      <c r="N19" s="155">
        <v>1.25</v>
      </c>
      <c r="O19" s="155">
        <v>0.75</v>
      </c>
      <c r="P19" s="155">
        <v>0.75</v>
      </c>
      <c r="Q19" s="155">
        <v>0.5</v>
      </c>
      <c r="R19" s="155">
        <v>1.5</v>
      </c>
      <c r="S19" s="155">
        <v>0.5</v>
      </c>
    </row>
    <row r="20" spans="1:19" hidden="1" x14ac:dyDescent="0.25">
      <c r="A20" s="151" t="s">
        <v>108</v>
      </c>
      <c r="B20" s="151"/>
      <c r="C20" s="151"/>
      <c r="D20" s="151"/>
      <c r="E20" s="151">
        <v>300</v>
      </c>
      <c r="F20" s="151">
        <v>5</v>
      </c>
      <c r="G20" s="152">
        <v>2</v>
      </c>
      <c r="H20" s="151">
        <v>1</v>
      </c>
      <c r="I20" s="153"/>
      <c r="J20" s="154">
        <v>3160.2</v>
      </c>
      <c r="K20" s="151">
        <v>2.2999999999999998</v>
      </c>
      <c r="L20" s="155">
        <v>1.25</v>
      </c>
      <c r="M20" s="155">
        <v>1.25</v>
      </c>
      <c r="N20" s="155">
        <v>1.25</v>
      </c>
      <c r="O20" s="155">
        <v>1</v>
      </c>
      <c r="P20" s="155">
        <v>1</v>
      </c>
      <c r="Q20" s="155">
        <v>0.5</v>
      </c>
      <c r="R20" s="155">
        <v>1.5</v>
      </c>
      <c r="S20" s="155">
        <v>0.5</v>
      </c>
    </row>
    <row r="21" spans="1:19" hidden="1" x14ac:dyDescent="0.25">
      <c r="A21" s="156" t="s">
        <v>501</v>
      </c>
      <c r="B21" s="156"/>
      <c r="C21" s="156"/>
      <c r="D21" s="156"/>
      <c r="E21" s="151">
        <v>300</v>
      </c>
      <c r="F21" s="151">
        <v>5</v>
      </c>
      <c r="G21" s="152">
        <v>3.4</v>
      </c>
      <c r="H21" s="151">
        <v>1</v>
      </c>
      <c r="I21" s="153"/>
      <c r="J21" s="154">
        <f>2717.8*1.1+500</f>
        <v>3489.5800000000004</v>
      </c>
      <c r="K21" s="151"/>
      <c r="L21" s="155"/>
      <c r="M21" s="155"/>
      <c r="N21" s="155"/>
      <c r="O21" s="155"/>
      <c r="P21" s="155"/>
      <c r="Q21" s="155"/>
      <c r="R21" s="155"/>
      <c r="S21" s="155"/>
    </row>
    <row r="22" spans="1:19" hidden="1" x14ac:dyDescent="0.25">
      <c r="A22" t="s">
        <v>309</v>
      </c>
      <c r="E22">
        <v>400</v>
      </c>
      <c r="G22" s="149">
        <v>1.8</v>
      </c>
      <c r="H22">
        <v>1</v>
      </c>
      <c r="I22" s="148">
        <v>1887</v>
      </c>
      <c r="J22">
        <f t="shared" ref="J22:J34" si="2">I22*(1-$J$1)*1.1</f>
        <v>1141.6350000000002</v>
      </c>
      <c r="K22">
        <v>2.2999999999999998</v>
      </c>
    </row>
    <row r="23" spans="1:19" hidden="1" x14ac:dyDescent="0.25">
      <c r="A23" t="s">
        <v>310</v>
      </c>
      <c r="E23">
        <v>200</v>
      </c>
      <c r="G23" s="149">
        <v>1.4</v>
      </c>
      <c r="H23">
        <v>1</v>
      </c>
      <c r="I23" s="157">
        <v>1759</v>
      </c>
      <c r="J23">
        <f t="shared" si="2"/>
        <v>1064.1950000000002</v>
      </c>
      <c r="K23">
        <v>2.6</v>
      </c>
    </row>
    <row r="24" spans="1:19" hidden="1" x14ac:dyDescent="0.25">
      <c r="A24" t="s">
        <v>311</v>
      </c>
      <c r="E24">
        <v>250</v>
      </c>
      <c r="G24" s="149">
        <v>1.4</v>
      </c>
      <c r="H24">
        <v>1</v>
      </c>
      <c r="I24" s="157">
        <v>1915</v>
      </c>
      <c r="J24">
        <f t="shared" si="2"/>
        <v>1158.575</v>
      </c>
      <c r="K24">
        <v>2.5</v>
      </c>
    </row>
    <row r="25" spans="1:19" hidden="1" x14ac:dyDescent="0.25">
      <c r="A25" t="s">
        <v>312</v>
      </c>
      <c r="E25">
        <v>300</v>
      </c>
      <c r="G25" s="149">
        <v>1.4</v>
      </c>
      <c r="H25">
        <v>1</v>
      </c>
      <c r="I25" s="157">
        <v>2149</v>
      </c>
      <c r="J25">
        <f t="shared" si="2"/>
        <v>1300.1450000000002</v>
      </c>
      <c r="K25">
        <v>2.4</v>
      </c>
    </row>
    <row r="26" spans="1:19" hidden="1" x14ac:dyDescent="0.25">
      <c r="A26" t="s">
        <v>313</v>
      </c>
      <c r="E26">
        <v>400</v>
      </c>
      <c r="G26" s="149">
        <v>1.8</v>
      </c>
      <c r="H26">
        <v>1</v>
      </c>
      <c r="I26" s="157">
        <v>2909</v>
      </c>
      <c r="J26">
        <f t="shared" si="2"/>
        <v>1759.9450000000002</v>
      </c>
      <c r="K26">
        <v>2.2999999999999998</v>
      </c>
    </row>
    <row r="27" spans="1:19" hidden="1" x14ac:dyDescent="0.25">
      <c r="A27" t="s">
        <v>314</v>
      </c>
      <c r="E27">
        <v>500</v>
      </c>
      <c r="G27" s="149">
        <v>2</v>
      </c>
      <c r="H27">
        <v>1</v>
      </c>
      <c r="I27" s="157">
        <v>3569</v>
      </c>
      <c r="J27">
        <f t="shared" si="2"/>
        <v>2159.2450000000003</v>
      </c>
      <c r="K27">
        <v>2.15</v>
      </c>
    </row>
    <row r="28" spans="1:19" hidden="1" x14ac:dyDescent="0.25">
      <c r="A28" t="s">
        <v>315</v>
      </c>
      <c r="E28">
        <v>100</v>
      </c>
      <c r="G28" s="149">
        <v>0.6</v>
      </c>
      <c r="H28">
        <v>1</v>
      </c>
      <c r="I28" s="157">
        <v>1145</v>
      </c>
      <c r="J28">
        <f t="shared" si="2"/>
        <v>692.72500000000002</v>
      </c>
      <c r="K28">
        <v>2.4</v>
      </c>
    </row>
    <row r="29" spans="1:19" hidden="1" x14ac:dyDescent="0.25">
      <c r="A29" t="s">
        <v>316</v>
      </c>
      <c r="E29">
        <v>120</v>
      </c>
      <c r="G29" s="149">
        <v>0.95</v>
      </c>
      <c r="H29">
        <v>1</v>
      </c>
      <c r="I29" s="157">
        <v>1219</v>
      </c>
      <c r="J29">
        <f t="shared" si="2"/>
        <v>737.49500000000012</v>
      </c>
      <c r="K29">
        <v>2.4</v>
      </c>
    </row>
    <row r="30" spans="1:19" hidden="1" x14ac:dyDescent="0.25">
      <c r="A30" t="s">
        <v>317</v>
      </c>
      <c r="E30">
        <v>140</v>
      </c>
      <c r="G30" s="149">
        <v>0.95</v>
      </c>
      <c r="H30">
        <v>1</v>
      </c>
      <c r="I30" s="157">
        <v>1315</v>
      </c>
      <c r="J30">
        <f t="shared" si="2"/>
        <v>795.57500000000016</v>
      </c>
      <c r="K30">
        <v>2.4</v>
      </c>
    </row>
    <row r="31" spans="1:19" hidden="1" x14ac:dyDescent="0.25">
      <c r="A31" t="s">
        <v>318</v>
      </c>
      <c r="E31">
        <v>200</v>
      </c>
      <c r="G31" s="149" t="s">
        <v>319</v>
      </c>
      <c r="H31">
        <v>2</v>
      </c>
      <c r="I31" s="157">
        <v>2719</v>
      </c>
      <c r="J31">
        <f t="shared" si="2"/>
        <v>1644.9950000000001</v>
      </c>
      <c r="K31">
        <v>2.6</v>
      </c>
    </row>
    <row r="32" spans="1:19" hidden="1" x14ac:dyDescent="0.25">
      <c r="A32" t="s">
        <v>320</v>
      </c>
      <c r="E32">
        <v>250</v>
      </c>
      <c r="G32" s="149" t="s">
        <v>321</v>
      </c>
      <c r="H32">
        <v>2</v>
      </c>
      <c r="I32" s="157">
        <v>2845</v>
      </c>
      <c r="J32">
        <f t="shared" si="2"/>
        <v>1721.2250000000004</v>
      </c>
      <c r="K32">
        <v>2.5</v>
      </c>
    </row>
    <row r="33" spans="1:11" hidden="1" x14ac:dyDescent="0.25">
      <c r="A33" t="s">
        <v>322</v>
      </c>
      <c r="E33">
        <v>300</v>
      </c>
      <c r="G33" s="158" t="s">
        <v>323</v>
      </c>
      <c r="H33">
        <v>2</v>
      </c>
      <c r="I33" s="157">
        <v>2999</v>
      </c>
      <c r="J33">
        <f t="shared" si="2"/>
        <v>1814.3950000000002</v>
      </c>
      <c r="K33">
        <v>2.4</v>
      </c>
    </row>
    <row r="34" spans="1:11" hidden="1" x14ac:dyDescent="0.25">
      <c r="A34" t="s">
        <v>324</v>
      </c>
      <c r="E34">
        <v>400</v>
      </c>
      <c r="G34" s="158" t="s">
        <v>325</v>
      </c>
      <c r="H34">
        <v>2</v>
      </c>
      <c r="I34" s="157">
        <v>3749</v>
      </c>
      <c r="J34">
        <f t="shared" si="2"/>
        <v>2268.1450000000004</v>
      </c>
      <c r="K34">
        <v>2.2999999999999998</v>
      </c>
    </row>
    <row r="35" spans="1:11" hidden="1" x14ac:dyDescent="0.25">
      <c r="A35" t="s">
        <v>488</v>
      </c>
      <c r="E35">
        <v>200</v>
      </c>
      <c r="G35" s="158" t="s">
        <v>487</v>
      </c>
      <c r="H35">
        <v>2</v>
      </c>
      <c r="I35" s="157"/>
      <c r="J35">
        <f>4062*1.1</f>
        <v>4468.2000000000007</v>
      </c>
    </row>
    <row r="36" spans="1:11" hidden="1" x14ac:dyDescent="0.25">
      <c r="A36" t="s">
        <v>489</v>
      </c>
      <c r="E36">
        <v>250</v>
      </c>
      <c r="G36" s="158" t="s">
        <v>490</v>
      </c>
      <c r="H36">
        <v>2</v>
      </c>
      <c r="I36" s="157"/>
      <c r="J36">
        <f>4288*1.1</f>
        <v>4716.8</v>
      </c>
    </row>
    <row r="37" spans="1:11" hidden="1" x14ac:dyDescent="0.25">
      <c r="A37" t="s">
        <v>491</v>
      </c>
      <c r="E37">
        <v>300</v>
      </c>
      <c r="G37" s="158" t="s">
        <v>495</v>
      </c>
      <c r="H37">
        <v>2</v>
      </c>
      <c r="I37" s="157"/>
      <c r="J37">
        <f>4373*1.1</f>
        <v>4810.3</v>
      </c>
    </row>
    <row r="38" spans="1:11" hidden="1" x14ac:dyDescent="0.25">
      <c r="A38" t="s">
        <v>492</v>
      </c>
      <c r="E38">
        <v>200</v>
      </c>
      <c r="G38" s="158">
        <v>2.5</v>
      </c>
      <c r="H38">
        <v>1</v>
      </c>
      <c r="I38" s="157"/>
      <c r="J38">
        <v>4070.92</v>
      </c>
    </row>
    <row r="39" spans="1:11" hidden="1" x14ac:dyDescent="0.25">
      <c r="A39" t="s">
        <v>493</v>
      </c>
      <c r="E39">
        <v>250</v>
      </c>
      <c r="G39" s="158">
        <v>2.8</v>
      </c>
      <c r="H39">
        <v>1</v>
      </c>
      <c r="I39" s="157"/>
      <c r="J39">
        <f>4121*1.1</f>
        <v>4533.1000000000004</v>
      </c>
    </row>
    <row r="40" spans="1:11" hidden="1" x14ac:dyDescent="0.25">
      <c r="A40" t="s">
        <v>494</v>
      </c>
      <c r="E40">
        <v>300</v>
      </c>
      <c r="G40" s="158">
        <v>3.2</v>
      </c>
      <c r="H40">
        <v>1</v>
      </c>
      <c r="I40" s="157"/>
      <c r="J40">
        <f>4202*1.1</f>
        <v>4622.2000000000007</v>
      </c>
    </row>
    <row r="41" spans="1:11" hidden="1" x14ac:dyDescent="0.25">
      <c r="A41" t="s">
        <v>525</v>
      </c>
      <c r="E41">
        <v>300</v>
      </c>
      <c r="G41" s="158">
        <v>3.2</v>
      </c>
      <c r="H41">
        <v>1</v>
      </c>
      <c r="I41" s="159"/>
      <c r="J41">
        <f>4585.18*1.1</f>
        <v>5043.6980000000003</v>
      </c>
    </row>
    <row r="42" spans="1:11" hidden="1" x14ac:dyDescent="0.25">
      <c r="A42" t="s">
        <v>508</v>
      </c>
      <c r="E42">
        <v>270</v>
      </c>
      <c r="G42" s="158">
        <v>1.2</v>
      </c>
      <c r="H42">
        <v>1</v>
      </c>
      <c r="I42" s="159"/>
      <c r="J42">
        <f>5611.8*1.1</f>
        <v>6172.9800000000005</v>
      </c>
    </row>
    <row r="43" spans="1:11" hidden="1" x14ac:dyDescent="0.25">
      <c r="A43" t="s">
        <v>502</v>
      </c>
      <c r="E43">
        <v>300</v>
      </c>
      <c r="G43" s="158">
        <v>4.7</v>
      </c>
      <c r="H43">
        <v>1</v>
      </c>
      <c r="I43" s="159"/>
      <c r="J43">
        <f>2866.84*1.1</f>
        <v>3153.5240000000003</v>
      </c>
    </row>
    <row r="44" spans="1:11" hidden="1" x14ac:dyDescent="0.25">
      <c r="A44" t="s">
        <v>517</v>
      </c>
      <c r="E44">
        <v>190</v>
      </c>
      <c r="G44" s="158">
        <v>2.1</v>
      </c>
      <c r="H44">
        <v>1</v>
      </c>
      <c r="I44" s="159"/>
      <c r="J44">
        <f>1890*1.1</f>
        <v>2079</v>
      </c>
    </row>
    <row r="45" spans="1:11" hidden="1" x14ac:dyDescent="0.25">
      <c r="A45" t="s">
        <v>518</v>
      </c>
      <c r="E45">
        <v>277</v>
      </c>
      <c r="G45">
        <v>3</v>
      </c>
      <c r="H45">
        <v>1</v>
      </c>
      <c r="J45">
        <f>2453*1.1</f>
        <v>2698.3</v>
      </c>
    </row>
    <row r="46" spans="1:11" hidden="1" x14ac:dyDescent="0.25">
      <c r="A46" t="s">
        <v>519</v>
      </c>
      <c r="E46">
        <v>460</v>
      </c>
      <c r="G46">
        <v>6</v>
      </c>
      <c r="H46">
        <v>1</v>
      </c>
      <c r="J46">
        <f>3437*1.1</f>
        <v>3780.7000000000003</v>
      </c>
    </row>
    <row r="47" spans="1:11" x14ac:dyDescent="0.25">
      <c r="A47" t="s">
        <v>588</v>
      </c>
      <c r="E47">
        <v>200</v>
      </c>
      <c r="F47">
        <v>5</v>
      </c>
      <c r="G47" s="7">
        <v>1.8</v>
      </c>
      <c r="H47">
        <v>1</v>
      </c>
      <c r="J47">
        <v>3700</v>
      </c>
    </row>
    <row r="48" spans="1:11" x14ac:dyDescent="0.25">
      <c r="A48" t="s">
        <v>589</v>
      </c>
      <c r="E48">
        <v>290</v>
      </c>
      <c r="F48">
        <v>5</v>
      </c>
      <c r="G48" s="7">
        <v>2.6</v>
      </c>
      <c r="H48">
        <v>1</v>
      </c>
      <c r="J48">
        <v>4500</v>
      </c>
    </row>
    <row r="49" spans="1:10" x14ac:dyDescent="0.25">
      <c r="A49" t="s">
        <v>590</v>
      </c>
      <c r="E49">
        <v>192</v>
      </c>
      <c r="F49">
        <v>5</v>
      </c>
      <c r="G49" s="7">
        <v>1.8</v>
      </c>
      <c r="H49">
        <v>1</v>
      </c>
      <c r="J49">
        <v>3850</v>
      </c>
    </row>
    <row r="50" spans="1:10" x14ac:dyDescent="0.25">
      <c r="A50" t="s">
        <v>591</v>
      </c>
      <c r="E50">
        <v>280</v>
      </c>
      <c r="F50">
        <v>5</v>
      </c>
      <c r="G50" s="7">
        <v>2.35</v>
      </c>
      <c r="H50">
        <v>1</v>
      </c>
      <c r="J50">
        <v>5050</v>
      </c>
    </row>
    <row r="51" spans="1:10" x14ac:dyDescent="0.25">
      <c r="A51" t="s">
        <v>900</v>
      </c>
      <c r="B51" t="s">
        <v>886</v>
      </c>
      <c r="E51">
        <v>230</v>
      </c>
      <c r="F51">
        <v>5</v>
      </c>
      <c r="G51" s="7"/>
      <c r="H51">
        <v>1</v>
      </c>
      <c r="J51">
        <v>11864.35</v>
      </c>
    </row>
    <row r="52" spans="1:10" x14ac:dyDescent="0.25">
      <c r="A52" t="s">
        <v>849</v>
      </c>
      <c r="B52" t="s">
        <v>888</v>
      </c>
      <c r="C52">
        <v>1140</v>
      </c>
      <c r="D52">
        <v>670</v>
      </c>
      <c r="E52">
        <v>193</v>
      </c>
      <c r="F52">
        <v>5</v>
      </c>
      <c r="G52" s="7">
        <v>2</v>
      </c>
      <c r="H52">
        <v>1</v>
      </c>
      <c r="J52">
        <v>3830</v>
      </c>
    </row>
    <row r="53" spans="1:10" x14ac:dyDescent="0.25">
      <c r="A53" t="s">
        <v>850</v>
      </c>
      <c r="B53" t="s">
        <v>888</v>
      </c>
      <c r="C53">
        <v>1300</v>
      </c>
      <c r="D53">
        <v>670</v>
      </c>
      <c r="E53">
        <v>241</v>
      </c>
      <c r="F53">
        <v>5</v>
      </c>
      <c r="G53" s="7">
        <v>2.4</v>
      </c>
      <c r="H53">
        <v>1</v>
      </c>
      <c r="J53">
        <v>4310</v>
      </c>
    </row>
    <row r="54" spans="1:10" x14ac:dyDescent="0.25">
      <c r="A54" t="s">
        <v>851</v>
      </c>
      <c r="B54" t="s">
        <v>888</v>
      </c>
      <c r="C54">
        <v>1615</v>
      </c>
      <c r="D54">
        <v>670</v>
      </c>
      <c r="E54">
        <v>297</v>
      </c>
      <c r="F54">
        <v>5</v>
      </c>
      <c r="G54" s="7">
        <v>2.7</v>
      </c>
      <c r="H54">
        <v>1</v>
      </c>
      <c r="J54">
        <v>4950</v>
      </c>
    </row>
    <row r="55" spans="1:10" x14ac:dyDescent="0.25">
      <c r="A55" t="s">
        <v>852</v>
      </c>
      <c r="B55" t="s">
        <v>888</v>
      </c>
      <c r="C55">
        <v>1380</v>
      </c>
      <c r="D55">
        <v>670</v>
      </c>
      <c r="E55">
        <v>236</v>
      </c>
      <c r="F55">
        <v>5</v>
      </c>
      <c r="G55" s="7">
        <v>3</v>
      </c>
      <c r="H55">
        <v>1</v>
      </c>
      <c r="I55" s="148"/>
      <c r="J55">
        <v>5820</v>
      </c>
    </row>
    <row r="56" spans="1:10" x14ac:dyDescent="0.25">
      <c r="A56" t="s">
        <v>853</v>
      </c>
      <c r="B56" t="s">
        <v>888</v>
      </c>
      <c r="C56">
        <v>1615</v>
      </c>
      <c r="D56">
        <v>670</v>
      </c>
      <c r="E56">
        <v>284</v>
      </c>
      <c r="F56">
        <v>5</v>
      </c>
      <c r="G56" s="7">
        <v>3.8</v>
      </c>
      <c r="H56">
        <v>1</v>
      </c>
      <c r="I56" s="148"/>
      <c r="J56">
        <v>6050</v>
      </c>
    </row>
    <row r="57" spans="1:10" x14ac:dyDescent="0.25">
      <c r="A57" t="s">
        <v>854</v>
      </c>
      <c r="B57" t="s">
        <v>361</v>
      </c>
      <c r="C57">
        <v>1750</v>
      </c>
      <c r="D57">
        <v>700</v>
      </c>
      <c r="E57">
        <v>376</v>
      </c>
      <c r="F57">
        <v>5</v>
      </c>
      <c r="G57" s="7">
        <v>5</v>
      </c>
      <c r="H57">
        <v>1</v>
      </c>
      <c r="I57" s="148"/>
      <c r="J57">
        <v>7050</v>
      </c>
    </row>
    <row r="58" spans="1:10" x14ac:dyDescent="0.25">
      <c r="A58" t="s">
        <v>855</v>
      </c>
      <c r="B58" t="s">
        <v>888</v>
      </c>
      <c r="C58">
        <v>1615</v>
      </c>
      <c r="D58">
        <v>670</v>
      </c>
      <c r="E58">
        <v>293</v>
      </c>
      <c r="F58">
        <v>5</v>
      </c>
      <c r="G58" s="7">
        <v>2.2000000000000002</v>
      </c>
      <c r="H58">
        <v>2</v>
      </c>
      <c r="I58" s="148"/>
      <c r="J58">
        <v>7260</v>
      </c>
    </row>
    <row r="59" spans="1:10" x14ac:dyDescent="0.25">
      <c r="A59" t="s">
        <v>856</v>
      </c>
      <c r="B59" t="s">
        <v>361</v>
      </c>
      <c r="C59">
        <v>1750</v>
      </c>
      <c r="D59">
        <v>700</v>
      </c>
      <c r="E59">
        <v>373</v>
      </c>
      <c r="F59">
        <v>5</v>
      </c>
      <c r="G59" s="7">
        <v>3.8</v>
      </c>
      <c r="H59">
        <v>2</v>
      </c>
      <c r="I59" s="148"/>
      <c r="J59">
        <v>8120</v>
      </c>
    </row>
    <row r="60" spans="1:10" x14ac:dyDescent="0.25">
      <c r="A60" t="s">
        <v>859</v>
      </c>
      <c r="B60" t="s">
        <v>888</v>
      </c>
      <c r="C60">
        <v>1990</v>
      </c>
      <c r="D60">
        <v>700</v>
      </c>
      <c r="E60">
        <v>213</v>
      </c>
      <c r="F60">
        <v>5</v>
      </c>
      <c r="G60" s="7">
        <v>3</v>
      </c>
      <c r="H60">
        <v>1</v>
      </c>
      <c r="I60" s="148"/>
      <c r="J60">
        <v>6660</v>
      </c>
    </row>
    <row r="61" spans="1:10" x14ac:dyDescent="0.25">
      <c r="A61" t="s">
        <v>865</v>
      </c>
      <c r="B61" t="s">
        <v>361</v>
      </c>
      <c r="C61">
        <v>1650</v>
      </c>
      <c r="D61">
        <v>660</v>
      </c>
      <c r="E61">
        <v>206</v>
      </c>
      <c r="F61">
        <v>5</v>
      </c>
      <c r="G61" s="7">
        <v>2.0499999999999998</v>
      </c>
      <c r="H61">
        <v>1</v>
      </c>
      <c r="I61" s="148"/>
      <c r="J61">
        <v>4110</v>
      </c>
    </row>
    <row r="62" spans="1:10" x14ac:dyDescent="0.25">
      <c r="A62" t="s">
        <v>866</v>
      </c>
      <c r="B62" t="s">
        <v>361</v>
      </c>
      <c r="C62">
        <v>1650</v>
      </c>
      <c r="D62">
        <v>735</v>
      </c>
      <c r="E62">
        <v>271</v>
      </c>
      <c r="F62">
        <v>5</v>
      </c>
      <c r="G62" s="7">
        <v>2.25</v>
      </c>
      <c r="H62">
        <v>1</v>
      </c>
      <c r="I62" s="148"/>
      <c r="J62">
        <v>4800</v>
      </c>
    </row>
    <row r="63" spans="1:10" x14ac:dyDescent="0.25">
      <c r="A63" t="s">
        <v>892</v>
      </c>
      <c r="B63" t="s">
        <v>888</v>
      </c>
      <c r="C63">
        <v>1306</v>
      </c>
      <c r="D63">
        <v>607</v>
      </c>
      <c r="E63">
        <v>200</v>
      </c>
      <c r="F63">
        <v>4</v>
      </c>
      <c r="G63" s="7">
        <v>1.9</v>
      </c>
      <c r="H63">
        <v>1</v>
      </c>
      <c r="I63" s="148"/>
      <c r="J63">
        <v>2750</v>
      </c>
    </row>
    <row r="64" spans="1:10" x14ac:dyDescent="0.25">
      <c r="A64" t="s">
        <v>893</v>
      </c>
      <c r="B64" t="s">
        <v>888</v>
      </c>
      <c r="C64">
        <v>1462</v>
      </c>
      <c r="D64">
        <v>657</v>
      </c>
      <c r="E64">
        <v>300</v>
      </c>
      <c r="F64">
        <v>4</v>
      </c>
      <c r="G64" s="7">
        <v>3.2</v>
      </c>
      <c r="H64">
        <v>1</v>
      </c>
      <c r="I64" s="148"/>
      <c r="J64">
        <v>3450</v>
      </c>
    </row>
    <row r="65" spans="1:10" x14ac:dyDescent="0.25">
      <c r="A65" t="s">
        <v>894</v>
      </c>
      <c r="B65" t="s">
        <v>361</v>
      </c>
      <c r="C65">
        <v>1669</v>
      </c>
      <c r="D65">
        <v>710</v>
      </c>
      <c r="E65">
        <v>400</v>
      </c>
      <c r="F65">
        <v>4</v>
      </c>
      <c r="G65" s="7">
        <v>4</v>
      </c>
      <c r="H65">
        <v>1</v>
      </c>
      <c r="I65" s="148"/>
      <c r="J65">
        <v>4520</v>
      </c>
    </row>
    <row r="66" spans="1:10" x14ac:dyDescent="0.25">
      <c r="A66" t="s">
        <v>912</v>
      </c>
      <c r="G66" s="7"/>
      <c r="I66" s="148"/>
      <c r="J66">
        <v>4300</v>
      </c>
    </row>
    <row r="67" spans="1:10" x14ac:dyDescent="0.25">
      <c r="A67" t="s">
        <v>949</v>
      </c>
      <c r="G67" s="7"/>
      <c r="H67">
        <v>2</v>
      </c>
      <c r="I67" s="148"/>
      <c r="J67">
        <v>4300</v>
      </c>
    </row>
    <row r="68" spans="1:10" x14ac:dyDescent="0.25">
      <c r="A68" t="s">
        <v>913</v>
      </c>
      <c r="G68" s="7"/>
      <c r="H68">
        <v>2</v>
      </c>
      <c r="I68" s="148"/>
      <c r="J68">
        <v>5850</v>
      </c>
    </row>
    <row r="69" spans="1:10" x14ac:dyDescent="0.25">
      <c r="A69" t="s">
        <v>867</v>
      </c>
      <c r="B69" t="s">
        <v>888</v>
      </c>
      <c r="C69">
        <v>1610</v>
      </c>
      <c r="D69">
        <v>595</v>
      </c>
      <c r="E69">
        <v>199</v>
      </c>
      <c r="F69">
        <v>6</v>
      </c>
      <c r="G69" s="7">
        <v>2.1</v>
      </c>
      <c r="H69">
        <v>1</v>
      </c>
      <c r="I69" s="148"/>
      <c r="J69">
        <v>3000</v>
      </c>
    </row>
    <row r="70" spans="1:10" x14ac:dyDescent="0.25">
      <c r="A70" t="s">
        <v>868</v>
      </c>
      <c r="B70" t="s">
        <v>888</v>
      </c>
      <c r="C70">
        <v>1615</v>
      </c>
      <c r="D70">
        <v>695</v>
      </c>
      <c r="E70">
        <v>310</v>
      </c>
      <c r="F70">
        <v>6</v>
      </c>
      <c r="G70" s="7">
        <v>2.6</v>
      </c>
      <c r="H70">
        <v>1</v>
      </c>
      <c r="I70" s="148"/>
      <c r="J70">
        <v>3950</v>
      </c>
    </row>
    <row r="71" spans="1:10" x14ac:dyDescent="0.25">
      <c r="A71" t="s">
        <v>869</v>
      </c>
      <c r="B71" t="s">
        <v>888</v>
      </c>
      <c r="C71">
        <v>1615</v>
      </c>
      <c r="D71">
        <v>695</v>
      </c>
      <c r="E71">
        <v>305</v>
      </c>
      <c r="F71">
        <v>6</v>
      </c>
      <c r="G71" s="7">
        <v>4.22</v>
      </c>
      <c r="H71">
        <v>1</v>
      </c>
      <c r="I71" s="148"/>
      <c r="J71">
        <v>6000</v>
      </c>
    </row>
    <row r="72" spans="1:10" x14ac:dyDescent="0.25">
      <c r="A72" t="s">
        <v>870</v>
      </c>
      <c r="B72" t="s">
        <v>888</v>
      </c>
      <c r="C72">
        <v>1610</v>
      </c>
      <c r="D72">
        <v>695</v>
      </c>
      <c r="E72">
        <v>235</v>
      </c>
      <c r="F72">
        <v>5</v>
      </c>
      <c r="G72" s="7">
        <v>2.7</v>
      </c>
      <c r="H72">
        <v>1</v>
      </c>
      <c r="I72" s="148"/>
      <c r="J72">
        <f t="shared" ref="J72:J78" si="3">I72*(1-$J$1)</f>
        <v>0</v>
      </c>
    </row>
    <row r="73" spans="1:10" x14ac:dyDescent="0.25">
      <c r="A73" t="s">
        <v>871</v>
      </c>
      <c r="B73" t="s">
        <v>888</v>
      </c>
      <c r="C73">
        <v>1440</v>
      </c>
      <c r="D73">
        <v>550</v>
      </c>
      <c r="E73">
        <v>189</v>
      </c>
      <c r="F73">
        <v>5</v>
      </c>
      <c r="G73" s="7">
        <v>2</v>
      </c>
      <c r="H73">
        <v>1</v>
      </c>
      <c r="I73" s="148"/>
      <c r="J73">
        <f t="shared" si="3"/>
        <v>0</v>
      </c>
    </row>
    <row r="74" spans="1:10" x14ac:dyDescent="0.25">
      <c r="A74" t="s">
        <v>872</v>
      </c>
      <c r="B74" t="s">
        <v>888</v>
      </c>
      <c r="C74">
        <v>1500</v>
      </c>
      <c r="D74">
        <v>650</v>
      </c>
      <c r="E74">
        <v>290</v>
      </c>
      <c r="F74">
        <v>5</v>
      </c>
      <c r="G74" s="7">
        <v>3.4</v>
      </c>
      <c r="H74">
        <v>1</v>
      </c>
      <c r="I74" s="148"/>
      <c r="J74">
        <f t="shared" si="3"/>
        <v>0</v>
      </c>
    </row>
    <row r="75" spans="1:10" x14ac:dyDescent="0.25">
      <c r="A75" t="s">
        <v>873</v>
      </c>
      <c r="C75">
        <v>1340</v>
      </c>
      <c r="D75">
        <v>560</v>
      </c>
      <c r="E75">
        <v>200</v>
      </c>
      <c r="F75">
        <v>5</v>
      </c>
      <c r="G75">
        <v>2</v>
      </c>
      <c r="H75">
        <v>1</v>
      </c>
      <c r="I75" s="148"/>
      <c r="J75">
        <f t="shared" si="3"/>
        <v>0</v>
      </c>
    </row>
    <row r="76" spans="1:10" x14ac:dyDescent="0.25">
      <c r="A76" t="s">
        <v>874</v>
      </c>
      <c r="C76">
        <v>1420</v>
      </c>
      <c r="D76">
        <v>660</v>
      </c>
      <c r="E76">
        <v>300</v>
      </c>
      <c r="F76">
        <v>5</v>
      </c>
      <c r="G76">
        <v>3.4</v>
      </c>
      <c r="H76">
        <v>1</v>
      </c>
      <c r="I76" s="148"/>
      <c r="J76">
        <f t="shared" si="3"/>
        <v>0</v>
      </c>
    </row>
    <row r="77" spans="1:10" x14ac:dyDescent="0.25">
      <c r="A77" t="s">
        <v>875</v>
      </c>
      <c r="C77">
        <v>1420</v>
      </c>
      <c r="D77">
        <v>660</v>
      </c>
      <c r="E77">
        <v>300</v>
      </c>
      <c r="F77">
        <v>5</v>
      </c>
      <c r="G77">
        <v>2.7</v>
      </c>
      <c r="H77">
        <v>2</v>
      </c>
      <c r="I77" s="148"/>
      <c r="J77">
        <f t="shared" si="3"/>
        <v>0</v>
      </c>
    </row>
    <row r="78" spans="1:10" x14ac:dyDescent="0.25">
      <c r="A78" t="s">
        <v>876</v>
      </c>
      <c r="C78">
        <v>1470</v>
      </c>
      <c r="D78">
        <v>750</v>
      </c>
      <c r="E78">
        <v>400</v>
      </c>
      <c r="F78">
        <v>5</v>
      </c>
      <c r="G78">
        <v>3.2</v>
      </c>
      <c r="H78">
        <v>2</v>
      </c>
      <c r="I78" s="148"/>
      <c r="J78">
        <f t="shared" si="3"/>
        <v>0</v>
      </c>
    </row>
    <row r="79" spans="1:10" x14ac:dyDescent="0.25">
      <c r="A79" t="s">
        <v>891</v>
      </c>
      <c r="B79" t="s">
        <v>361</v>
      </c>
      <c r="C79">
        <v>1311</v>
      </c>
      <c r="D79">
        <v>625</v>
      </c>
      <c r="E79">
        <v>200</v>
      </c>
      <c r="F79">
        <v>8</v>
      </c>
      <c r="G79">
        <v>2</v>
      </c>
      <c r="H79">
        <v>1</v>
      </c>
      <c r="I79" s="148"/>
      <c r="J79">
        <f>5452/1.23+300</f>
        <v>4732.5203252032525</v>
      </c>
    </row>
    <row r="80" spans="1:10" x14ac:dyDescent="0.25">
      <c r="A80" t="s">
        <v>889</v>
      </c>
      <c r="B80" t="s">
        <v>361</v>
      </c>
      <c r="C80">
        <v>1588</v>
      </c>
      <c r="D80">
        <v>625</v>
      </c>
      <c r="E80">
        <v>253</v>
      </c>
      <c r="F80">
        <v>8</v>
      </c>
      <c r="G80">
        <v>2.6</v>
      </c>
      <c r="H80">
        <v>1</v>
      </c>
      <c r="I80" s="148"/>
      <c r="J80">
        <f>6220/1.23+300</f>
        <v>5356.9105691056911</v>
      </c>
    </row>
    <row r="81" spans="1:10" x14ac:dyDescent="0.25">
      <c r="A81" t="s">
        <v>890</v>
      </c>
      <c r="B81" t="s">
        <v>361</v>
      </c>
      <c r="C81">
        <v>1813</v>
      </c>
      <c r="D81">
        <v>625</v>
      </c>
      <c r="E81">
        <v>296</v>
      </c>
      <c r="F81">
        <v>8</v>
      </c>
      <c r="G81">
        <v>3.2</v>
      </c>
      <c r="H81">
        <v>1</v>
      </c>
      <c r="I81" s="148"/>
      <c r="J81">
        <f>6956/1.23+300</f>
        <v>5955.2845528455282</v>
      </c>
    </row>
    <row r="82" spans="1:10" x14ac:dyDescent="0.25">
      <c r="A82" t="s">
        <v>970</v>
      </c>
      <c r="B82" t="s">
        <v>888</v>
      </c>
      <c r="I82" s="148"/>
      <c r="J82">
        <v>5100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8"/>
  <dimension ref="A1:N53"/>
  <sheetViews>
    <sheetView workbookViewId="0">
      <selection activeCell="Q3" sqref="Q3"/>
    </sheetView>
  </sheetViews>
  <sheetFormatPr defaultRowHeight="15" x14ac:dyDescent="0.25"/>
  <cols>
    <col min="1" max="1" width="26.85546875" bestFit="1" customWidth="1"/>
    <col min="2" max="2" width="11.7109375" bestFit="1" customWidth="1"/>
    <col min="3" max="3" width="10.7109375" bestFit="1" customWidth="1"/>
  </cols>
  <sheetData>
    <row r="1" spans="1:14" x14ac:dyDescent="0.25">
      <c r="A1" t="s">
        <v>211</v>
      </c>
      <c r="B1" t="s">
        <v>857</v>
      </c>
      <c r="C1" t="s">
        <v>858</v>
      </c>
      <c r="D1" t="s">
        <v>107</v>
      </c>
      <c r="E1" t="s">
        <v>215</v>
      </c>
      <c r="F1" t="s">
        <v>885</v>
      </c>
      <c r="G1" t="s">
        <v>226</v>
      </c>
      <c r="H1" t="s">
        <v>342</v>
      </c>
      <c r="I1" t="s">
        <v>343</v>
      </c>
      <c r="J1" t="s">
        <v>344</v>
      </c>
      <c r="K1" t="s">
        <v>345</v>
      </c>
      <c r="L1" t="s">
        <v>346</v>
      </c>
      <c r="M1" t="s">
        <v>347</v>
      </c>
      <c r="N1" t="s">
        <v>348</v>
      </c>
    </row>
    <row r="2" spans="1:14" x14ac:dyDescent="0.25">
      <c r="A2" t="s">
        <v>77</v>
      </c>
      <c r="B2" t="s">
        <v>77</v>
      </c>
      <c r="C2" t="s">
        <v>77</v>
      </c>
      <c r="D2">
        <v>0</v>
      </c>
      <c r="E2">
        <v>0</v>
      </c>
      <c r="F2" t="s">
        <v>77</v>
      </c>
      <c r="G2" t="s">
        <v>77</v>
      </c>
      <c r="H2" t="s">
        <v>77</v>
      </c>
      <c r="I2" t="s">
        <v>77</v>
      </c>
      <c r="J2" t="s">
        <v>77</v>
      </c>
      <c r="K2" t="s">
        <v>77</v>
      </c>
      <c r="L2" t="s">
        <v>77</v>
      </c>
      <c r="M2" t="s">
        <v>77</v>
      </c>
      <c r="N2" t="s">
        <v>77</v>
      </c>
    </row>
    <row r="3" spans="1:14" x14ac:dyDescent="0.25">
      <c r="A3" t="s">
        <v>901</v>
      </c>
      <c r="D3">
        <v>40</v>
      </c>
      <c r="E3">
        <v>1030</v>
      </c>
    </row>
    <row r="4" spans="1:14" x14ac:dyDescent="0.25">
      <c r="A4" t="s">
        <v>349</v>
      </c>
      <c r="D4">
        <v>100</v>
      </c>
      <c r="E4">
        <f>703*1.1</f>
        <v>773.30000000000007</v>
      </c>
      <c r="H4" s="17"/>
      <c r="I4" s="17"/>
      <c r="J4" s="17"/>
      <c r="K4" s="17"/>
      <c r="L4" s="17"/>
      <c r="M4" s="17"/>
      <c r="N4" s="17"/>
    </row>
    <row r="5" spans="1:14" x14ac:dyDescent="0.25">
      <c r="A5" t="s">
        <v>500</v>
      </c>
      <c r="D5">
        <v>220</v>
      </c>
      <c r="E5">
        <f>966*1.1*1.25</f>
        <v>1328.2500000000002</v>
      </c>
      <c r="H5" s="17"/>
      <c r="I5" s="17"/>
      <c r="J5" s="17"/>
      <c r="K5" s="17"/>
      <c r="L5" s="17"/>
      <c r="M5" s="17"/>
      <c r="N5" s="17"/>
    </row>
    <row r="6" spans="1:14" x14ac:dyDescent="0.25">
      <c r="A6" t="s">
        <v>350</v>
      </c>
      <c r="D6">
        <v>300</v>
      </c>
      <c r="E6">
        <f>1242*1.1*1.25</f>
        <v>1707.75</v>
      </c>
      <c r="H6" s="17"/>
      <c r="I6" s="17"/>
      <c r="J6" s="17"/>
      <c r="K6" s="17"/>
      <c r="L6" s="17"/>
      <c r="M6" s="17"/>
      <c r="N6" s="17"/>
    </row>
    <row r="7" spans="1:14" x14ac:dyDescent="0.25">
      <c r="A7" t="s">
        <v>351</v>
      </c>
      <c r="D7">
        <v>300</v>
      </c>
      <c r="E7">
        <f>1552.5*1.1*1.25</f>
        <v>2134.6875000000005</v>
      </c>
      <c r="H7" s="17"/>
      <c r="I7" s="17"/>
      <c r="J7" s="17"/>
      <c r="K7" s="17"/>
      <c r="L7" s="17"/>
      <c r="M7" s="17"/>
      <c r="N7" s="17"/>
    </row>
    <row r="8" spans="1:14" x14ac:dyDescent="0.25">
      <c r="A8" t="s">
        <v>352</v>
      </c>
      <c r="D8">
        <v>500</v>
      </c>
      <c r="E8">
        <f>2173.5*1.1*1.25</f>
        <v>2988.5625000000005</v>
      </c>
      <c r="H8" s="17"/>
      <c r="I8" s="17"/>
      <c r="J8" s="17"/>
      <c r="K8" s="17"/>
      <c r="L8" s="17"/>
      <c r="M8" s="17"/>
      <c r="N8" s="17"/>
    </row>
    <row r="9" spans="1:14" x14ac:dyDescent="0.25">
      <c r="A9" t="s">
        <v>353</v>
      </c>
      <c r="D9">
        <v>200</v>
      </c>
      <c r="E9" s="40">
        <f>1162.14*1.1</f>
        <v>1278.3540000000003</v>
      </c>
      <c r="F9" s="157"/>
      <c r="G9">
        <v>5</v>
      </c>
      <c r="H9" s="17">
        <v>1.5</v>
      </c>
      <c r="I9" s="17">
        <v>5</v>
      </c>
      <c r="J9" s="17">
        <v>1.5</v>
      </c>
      <c r="K9" s="17">
        <v>4</v>
      </c>
      <c r="L9" s="17">
        <v>0.5</v>
      </c>
      <c r="M9" s="17">
        <v>4</v>
      </c>
      <c r="N9" s="41" t="s">
        <v>74</v>
      </c>
    </row>
    <row r="10" spans="1:14" x14ac:dyDescent="0.25">
      <c r="A10" t="s">
        <v>106</v>
      </c>
      <c r="D10">
        <v>300</v>
      </c>
      <c r="E10" s="40">
        <f>1250*1.1</f>
        <v>1375</v>
      </c>
      <c r="F10" s="157"/>
      <c r="G10">
        <v>5</v>
      </c>
      <c r="H10" s="17">
        <v>1.5</v>
      </c>
      <c r="I10" s="17">
        <v>5</v>
      </c>
      <c r="J10" s="17">
        <v>1.5</v>
      </c>
      <c r="K10" s="17">
        <v>4</v>
      </c>
      <c r="L10" s="17">
        <v>0.5</v>
      </c>
      <c r="M10" s="17">
        <v>4</v>
      </c>
      <c r="N10" s="41" t="s">
        <v>74</v>
      </c>
    </row>
    <row r="11" spans="1:14" x14ac:dyDescent="0.25">
      <c r="A11" t="s">
        <v>354</v>
      </c>
      <c r="D11">
        <v>500</v>
      </c>
      <c r="E11" s="40">
        <f>1512.39*1.1</f>
        <v>1663.6290000000001</v>
      </c>
      <c r="F11" s="157"/>
      <c r="G11">
        <v>5</v>
      </c>
      <c r="H11" s="17">
        <v>1.5</v>
      </c>
      <c r="I11" s="17">
        <v>5</v>
      </c>
      <c r="J11" s="17">
        <v>1.5</v>
      </c>
      <c r="K11" s="17">
        <v>4</v>
      </c>
      <c r="L11" s="17">
        <v>0.5</v>
      </c>
      <c r="M11" s="17">
        <v>4</v>
      </c>
      <c r="N11" s="41" t="s">
        <v>74</v>
      </c>
    </row>
    <row r="12" spans="1:14" x14ac:dyDescent="0.25">
      <c r="A12" t="s">
        <v>534</v>
      </c>
      <c r="D12">
        <v>300</v>
      </c>
      <c r="E12" s="40">
        <v>1651.3</v>
      </c>
      <c r="F12" s="157"/>
      <c r="H12" s="17"/>
      <c r="I12" s="17"/>
      <c r="J12" s="17"/>
      <c r="K12" s="17"/>
      <c r="L12" s="17"/>
      <c r="M12" s="17"/>
      <c r="N12" s="17"/>
    </row>
    <row r="13" spans="1:14" x14ac:dyDescent="0.25">
      <c r="A13" t="s">
        <v>503</v>
      </c>
      <c r="D13">
        <v>200</v>
      </c>
      <c r="E13" s="36">
        <v>1492.4</v>
      </c>
      <c r="F13" s="157"/>
      <c r="H13" s="17"/>
      <c r="I13" s="17"/>
      <c r="J13" s="17"/>
      <c r="K13" s="17"/>
      <c r="L13" s="17"/>
      <c r="M13" s="17"/>
      <c r="N13" s="17"/>
    </row>
    <row r="14" spans="1:14" x14ac:dyDescent="0.25">
      <c r="A14" t="s">
        <v>504</v>
      </c>
      <c r="D14">
        <v>500</v>
      </c>
      <c r="E14" s="36">
        <v>2492</v>
      </c>
      <c r="F14" s="157"/>
      <c r="H14" s="17"/>
      <c r="I14" s="17"/>
      <c r="J14" s="17"/>
      <c r="K14" s="17"/>
      <c r="L14" s="17"/>
      <c r="M14" s="17"/>
      <c r="N14" s="17"/>
    </row>
    <row r="15" spans="1:14" x14ac:dyDescent="0.25">
      <c r="A15" t="s">
        <v>355</v>
      </c>
      <c r="D15">
        <v>300</v>
      </c>
      <c r="E15" s="40">
        <f>2225*1.1*1.35</f>
        <v>3304.125</v>
      </c>
      <c r="F15" s="157"/>
      <c r="H15" s="17"/>
      <c r="I15" s="17"/>
      <c r="J15" s="17"/>
      <c r="K15" s="17"/>
      <c r="L15" s="17"/>
      <c r="M15" s="17"/>
      <c r="N15" s="17"/>
    </row>
    <row r="16" spans="1:14" x14ac:dyDescent="0.25">
      <c r="A16" t="s">
        <v>540</v>
      </c>
      <c r="D16">
        <v>100</v>
      </c>
      <c r="E16" s="36">
        <v>1120.1400000000001</v>
      </c>
      <c r="F16" s="157"/>
      <c r="H16" s="17"/>
      <c r="I16" s="17"/>
      <c r="J16" s="17"/>
      <c r="K16" s="17"/>
      <c r="L16" s="17"/>
      <c r="M16" s="17"/>
      <c r="N16" s="17"/>
    </row>
    <row r="17" spans="1:14" x14ac:dyDescent="0.25">
      <c r="A17" t="s">
        <v>520</v>
      </c>
      <c r="D17">
        <v>200</v>
      </c>
      <c r="E17" s="36">
        <v>1408.68</v>
      </c>
      <c r="F17" s="157"/>
      <c r="H17" s="17"/>
      <c r="I17" s="17"/>
      <c r="J17" s="17"/>
      <c r="K17" s="17"/>
      <c r="L17" s="17"/>
      <c r="M17" s="17"/>
      <c r="N17" s="17"/>
    </row>
    <row r="18" spans="1:14" x14ac:dyDescent="0.25">
      <c r="A18" s="56" t="s">
        <v>505</v>
      </c>
      <c r="D18">
        <v>200</v>
      </c>
      <c r="E18" s="36">
        <f>3370*1.1</f>
        <v>3707.0000000000005</v>
      </c>
      <c r="F18" s="157"/>
      <c r="G18">
        <v>5</v>
      </c>
      <c r="H18" s="17"/>
      <c r="I18" s="17"/>
      <c r="J18" s="17"/>
      <c r="K18" s="17"/>
      <c r="L18" s="17"/>
      <c r="M18" s="17"/>
      <c r="N18" s="17"/>
    </row>
    <row r="19" spans="1:14" x14ac:dyDescent="0.25">
      <c r="A19" s="55" t="s">
        <v>506</v>
      </c>
      <c r="B19" s="57"/>
      <c r="C19" s="57"/>
      <c r="D19">
        <v>285</v>
      </c>
      <c r="E19" s="36">
        <f>6050*(1-0.33)*1.1</f>
        <v>4458.8499999999995</v>
      </c>
      <c r="F19" s="157"/>
      <c r="G19">
        <v>2</v>
      </c>
      <c r="H19" s="17"/>
      <c r="I19" s="17"/>
      <c r="J19" s="17"/>
      <c r="K19" s="17"/>
      <c r="L19" s="17"/>
      <c r="M19" s="17"/>
      <c r="N19" s="17"/>
    </row>
    <row r="20" spans="1:14" x14ac:dyDescent="0.25">
      <c r="A20" s="57" t="s">
        <v>533</v>
      </c>
      <c r="B20" s="57"/>
      <c r="C20" s="57"/>
      <c r="D20">
        <v>200</v>
      </c>
      <c r="E20" s="36">
        <f>475*4.6</f>
        <v>2185</v>
      </c>
      <c r="F20" s="157"/>
      <c r="H20" s="17"/>
      <c r="I20" s="17"/>
      <c r="J20" s="17"/>
      <c r="K20" s="17"/>
      <c r="L20" s="17"/>
      <c r="M20" s="17"/>
      <c r="N20" s="17"/>
    </row>
    <row r="21" spans="1:14" x14ac:dyDescent="0.25">
      <c r="A21" s="57" t="s">
        <v>514</v>
      </c>
      <c r="B21" s="57"/>
      <c r="C21" s="57"/>
      <c r="D21">
        <v>100</v>
      </c>
      <c r="E21" s="36">
        <v>910</v>
      </c>
      <c r="F21" s="157"/>
      <c r="H21" s="17"/>
      <c r="I21" s="17"/>
      <c r="J21" s="17"/>
      <c r="K21" s="17"/>
      <c r="L21" s="17"/>
      <c r="M21" s="17"/>
      <c r="N21" s="17"/>
    </row>
    <row r="22" spans="1:14" x14ac:dyDescent="0.25">
      <c r="A22" s="57" t="s">
        <v>510</v>
      </c>
      <c r="B22" s="57"/>
      <c r="C22" s="57"/>
      <c r="D22">
        <v>200</v>
      </c>
      <c r="E22" s="36">
        <v>1199.9000000000001</v>
      </c>
      <c r="F22" s="157"/>
      <c r="H22" s="17"/>
      <c r="I22" s="17"/>
      <c r="J22" s="17"/>
      <c r="K22" s="17"/>
      <c r="L22" s="17"/>
      <c r="M22" s="17"/>
      <c r="N22" s="17"/>
    </row>
    <row r="23" spans="1:14" x14ac:dyDescent="0.25">
      <c r="A23" s="57" t="s">
        <v>515</v>
      </c>
      <c r="B23" s="57"/>
      <c r="C23" s="57"/>
      <c r="D23">
        <v>300</v>
      </c>
      <c r="E23" s="36">
        <v>1548.3</v>
      </c>
      <c r="F23" s="157"/>
      <c r="H23" s="17"/>
      <c r="I23" s="17"/>
      <c r="J23" s="17"/>
      <c r="K23" s="17"/>
      <c r="L23" s="17"/>
      <c r="M23" s="17"/>
      <c r="N23" s="17"/>
    </row>
    <row r="24" spans="1:14" x14ac:dyDescent="0.25">
      <c r="A24" s="57" t="s">
        <v>516</v>
      </c>
      <c r="B24" s="57"/>
      <c r="C24" s="57"/>
      <c r="D24">
        <v>300</v>
      </c>
      <c r="E24" s="36">
        <v>1993.55</v>
      </c>
      <c r="F24" s="157"/>
      <c r="H24" s="17"/>
      <c r="I24" s="17"/>
      <c r="J24" s="17"/>
      <c r="K24" s="17"/>
      <c r="L24" s="17"/>
      <c r="M24" s="17"/>
      <c r="N24" s="17"/>
    </row>
    <row r="25" spans="1:14" x14ac:dyDescent="0.25">
      <c r="A25" s="57" t="s">
        <v>512</v>
      </c>
      <c r="B25" s="57"/>
      <c r="C25" s="57"/>
      <c r="D25">
        <v>300</v>
      </c>
      <c r="E25" s="36">
        <f>1327*1.1</f>
        <v>1459.7</v>
      </c>
      <c r="F25" s="157"/>
      <c r="H25" s="17"/>
      <c r="I25" s="17"/>
      <c r="J25" s="17"/>
      <c r="K25" s="17"/>
      <c r="L25" s="17"/>
      <c r="M25" s="17"/>
      <c r="N25" s="17"/>
    </row>
    <row r="26" spans="1:14" x14ac:dyDescent="0.25">
      <c r="A26" s="57" t="s">
        <v>513</v>
      </c>
      <c r="B26" s="57"/>
      <c r="C26" s="57"/>
      <c r="D26">
        <v>200</v>
      </c>
      <c r="E26" s="36">
        <f>1164*1.1</f>
        <v>1280.4000000000001</v>
      </c>
      <c r="F26" s="157"/>
      <c r="H26" s="17"/>
      <c r="I26" s="17"/>
      <c r="J26" s="17"/>
      <c r="K26" s="17"/>
      <c r="L26" s="17"/>
      <c r="M26" s="17"/>
      <c r="N26" s="17"/>
    </row>
    <row r="27" spans="1:14" x14ac:dyDescent="0.25">
      <c r="A27" t="s">
        <v>522</v>
      </c>
      <c r="D27">
        <v>200</v>
      </c>
      <c r="E27" s="40">
        <f>1247*1.1</f>
        <v>1371.7</v>
      </c>
      <c r="F27" s="157"/>
      <c r="G27" t="s">
        <v>77</v>
      </c>
      <c r="H27" s="17"/>
      <c r="I27" s="17"/>
      <c r="J27" s="17"/>
      <c r="K27" s="17"/>
      <c r="L27" s="17"/>
      <c r="M27" s="17"/>
      <c r="N27" s="17"/>
    </row>
    <row r="28" spans="1:14" x14ac:dyDescent="0.25">
      <c r="A28" t="s">
        <v>521</v>
      </c>
      <c r="D28">
        <v>300</v>
      </c>
      <c r="E28" s="40">
        <f>1490*1.1</f>
        <v>1639.0000000000002</v>
      </c>
      <c r="F28" s="157"/>
      <c r="H28" s="17"/>
      <c r="I28" s="17"/>
      <c r="J28" s="17"/>
      <c r="K28" s="17"/>
      <c r="L28" s="17"/>
      <c r="M28" s="17"/>
      <c r="N28" s="17"/>
    </row>
    <row r="29" spans="1:14" x14ac:dyDescent="0.25">
      <c r="A29" t="s">
        <v>524</v>
      </c>
      <c r="D29">
        <v>400</v>
      </c>
      <c r="E29" s="40">
        <f>1955*1.1</f>
        <v>2150.5</v>
      </c>
      <c r="F29" s="157"/>
      <c r="H29" s="17"/>
      <c r="I29" s="17"/>
      <c r="J29" s="17"/>
      <c r="K29" s="17"/>
      <c r="L29" s="17"/>
      <c r="M29" s="17"/>
      <c r="N29" s="17"/>
    </row>
    <row r="30" spans="1:14" x14ac:dyDescent="0.25">
      <c r="A30" t="s">
        <v>523</v>
      </c>
      <c r="D30">
        <v>500</v>
      </c>
      <c r="E30" s="40">
        <f>2198*1.1</f>
        <v>2417.8000000000002</v>
      </c>
      <c r="F30" s="157"/>
      <c r="H30" s="17"/>
      <c r="I30" s="17"/>
      <c r="J30" s="17"/>
      <c r="K30" s="17"/>
      <c r="L30" s="17"/>
      <c r="M30" s="17"/>
      <c r="N30" s="17"/>
    </row>
    <row r="31" spans="1:14" x14ac:dyDescent="0.25">
      <c r="A31" t="s">
        <v>592</v>
      </c>
      <c r="D31">
        <v>50</v>
      </c>
      <c r="E31" s="40">
        <v>1000</v>
      </c>
      <c r="F31" s="157" t="s">
        <v>361</v>
      </c>
      <c r="G31">
        <v>5</v>
      </c>
      <c r="H31" s="17"/>
      <c r="I31" s="17"/>
      <c r="J31" s="17"/>
      <c r="K31" s="17"/>
      <c r="L31" s="17"/>
      <c r="M31" s="17"/>
      <c r="N31" s="17"/>
    </row>
    <row r="32" spans="1:14" x14ac:dyDescent="0.25">
      <c r="A32" t="s">
        <v>593</v>
      </c>
      <c r="D32">
        <v>100</v>
      </c>
      <c r="E32" s="40">
        <v>1700</v>
      </c>
      <c r="F32" s="157" t="s">
        <v>361</v>
      </c>
      <c r="G32">
        <v>5</v>
      </c>
      <c r="H32" s="17"/>
      <c r="I32" s="17"/>
      <c r="J32" s="17"/>
      <c r="K32" s="17"/>
      <c r="L32" s="17"/>
      <c r="M32" s="17"/>
      <c r="N32" s="17"/>
    </row>
    <row r="33" spans="1:14" x14ac:dyDescent="0.25">
      <c r="A33" t="s">
        <v>594</v>
      </c>
      <c r="D33">
        <v>200</v>
      </c>
      <c r="E33" s="40">
        <v>2200</v>
      </c>
      <c r="F33" s="157" t="s">
        <v>361</v>
      </c>
      <c r="G33">
        <v>5</v>
      </c>
      <c r="H33" s="17"/>
      <c r="I33" s="17"/>
      <c r="J33" s="17"/>
      <c r="K33" s="17"/>
      <c r="L33" s="17"/>
      <c r="M33" s="17"/>
      <c r="N33" s="17"/>
    </row>
    <row r="34" spans="1:14" x14ac:dyDescent="0.25">
      <c r="A34" t="s">
        <v>595</v>
      </c>
      <c r="D34">
        <v>300</v>
      </c>
      <c r="E34" s="40">
        <v>2600</v>
      </c>
      <c r="F34" s="157" t="s">
        <v>361</v>
      </c>
      <c r="G34">
        <v>5</v>
      </c>
      <c r="H34" s="17"/>
      <c r="I34" s="17"/>
      <c r="J34" s="17"/>
      <c r="K34" s="17"/>
      <c r="L34" s="17"/>
      <c r="M34" s="17"/>
      <c r="N34" s="17"/>
    </row>
    <row r="35" spans="1:14" x14ac:dyDescent="0.25">
      <c r="A35" t="s">
        <v>860</v>
      </c>
      <c r="B35">
        <v>460</v>
      </c>
      <c r="C35">
        <v>680</v>
      </c>
      <c r="D35">
        <v>60</v>
      </c>
      <c r="E35" s="40">
        <v>720</v>
      </c>
      <c r="F35" s="157" t="s">
        <v>361</v>
      </c>
      <c r="G35">
        <v>5</v>
      </c>
      <c r="H35" s="17"/>
      <c r="I35" s="17"/>
      <c r="J35" s="17"/>
      <c r="K35" s="17"/>
      <c r="L35" s="17"/>
      <c r="M35" s="17"/>
      <c r="N35" s="17"/>
    </row>
    <row r="36" spans="1:14" x14ac:dyDescent="0.25">
      <c r="A36" t="s">
        <v>861</v>
      </c>
      <c r="B36">
        <v>460</v>
      </c>
      <c r="C36">
        <v>1015</v>
      </c>
      <c r="D36">
        <v>100</v>
      </c>
      <c r="E36" s="40">
        <v>910</v>
      </c>
      <c r="F36" s="157" t="s">
        <v>361</v>
      </c>
      <c r="G36">
        <v>5</v>
      </c>
      <c r="H36" s="17"/>
      <c r="I36" s="17"/>
      <c r="J36" s="17"/>
      <c r="K36" s="17"/>
      <c r="L36" s="17"/>
      <c r="M36" s="17"/>
      <c r="N36" s="17"/>
    </row>
    <row r="37" spans="1:14" x14ac:dyDescent="0.25">
      <c r="A37" t="s">
        <v>513</v>
      </c>
      <c r="B37">
        <v>670</v>
      </c>
      <c r="C37">
        <v>1140</v>
      </c>
      <c r="D37">
        <v>200</v>
      </c>
      <c r="E37" s="36">
        <v>1630</v>
      </c>
      <c r="F37" s="157" t="s">
        <v>888</v>
      </c>
      <c r="G37">
        <v>5</v>
      </c>
      <c r="H37" s="17"/>
      <c r="I37" s="17"/>
      <c r="J37" s="17"/>
      <c r="K37" s="17"/>
      <c r="L37" s="17"/>
      <c r="M37" s="17"/>
      <c r="N37" s="17"/>
    </row>
    <row r="38" spans="1:14" x14ac:dyDescent="0.25">
      <c r="A38" t="s">
        <v>862</v>
      </c>
      <c r="B38">
        <v>670</v>
      </c>
      <c r="C38">
        <v>1615</v>
      </c>
      <c r="D38">
        <v>300</v>
      </c>
      <c r="E38" s="40">
        <v>1860</v>
      </c>
      <c r="F38" s="157" t="s">
        <v>888</v>
      </c>
      <c r="G38">
        <v>5</v>
      </c>
      <c r="H38" s="17"/>
      <c r="I38" s="17"/>
      <c r="J38" s="17"/>
      <c r="K38" s="17"/>
      <c r="L38" s="17"/>
      <c r="M38" s="17"/>
      <c r="N38" s="17"/>
    </row>
    <row r="39" spans="1:14" x14ac:dyDescent="0.25">
      <c r="A39" t="s">
        <v>863</v>
      </c>
      <c r="B39">
        <v>700</v>
      </c>
      <c r="C39">
        <v>1685</v>
      </c>
      <c r="D39">
        <v>400</v>
      </c>
      <c r="E39" s="40">
        <v>2320</v>
      </c>
      <c r="F39" s="157" t="s">
        <v>361</v>
      </c>
      <c r="G39">
        <v>5</v>
      </c>
      <c r="H39" s="17"/>
      <c r="I39" s="17"/>
      <c r="J39" s="17"/>
      <c r="K39" s="17"/>
      <c r="L39" s="17"/>
      <c r="M39" s="17"/>
      <c r="N39" s="17"/>
    </row>
    <row r="40" spans="1:14" x14ac:dyDescent="0.25">
      <c r="A40" t="s">
        <v>864</v>
      </c>
      <c r="B40">
        <v>700</v>
      </c>
      <c r="C40">
        <v>1925</v>
      </c>
      <c r="D40">
        <v>500</v>
      </c>
      <c r="E40" s="40">
        <v>2500</v>
      </c>
      <c r="F40" s="157" t="s">
        <v>361</v>
      </c>
      <c r="G40">
        <v>5</v>
      </c>
      <c r="H40" s="17"/>
      <c r="I40" s="17"/>
      <c r="J40" s="17"/>
      <c r="K40" s="17"/>
      <c r="L40" s="17"/>
      <c r="M40" s="17"/>
      <c r="N40" s="17"/>
    </row>
    <row r="41" spans="1:14" x14ac:dyDescent="0.25">
      <c r="A41" t="s">
        <v>884</v>
      </c>
      <c r="B41">
        <v>906</v>
      </c>
      <c r="C41">
        <v>595</v>
      </c>
      <c r="D41">
        <v>100</v>
      </c>
      <c r="E41" s="40">
        <v>1350</v>
      </c>
      <c r="F41" s="157" t="s">
        <v>886</v>
      </c>
      <c r="G41">
        <v>5</v>
      </c>
      <c r="H41" s="17"/>
      <c r="I41" s="17"/>
      <c r="J41" s="17"/>
      <c r="K41" s="17"/>
      <c r="L41" s="17"/>
      <c r="M41" s="17"/>
      <c r="N41" s="17"/>
    </row>
    <row r="42" spans="1:14" x14ac:dyDescent="0.25">
      <c r="A42" t="s">
        <v>520</v>
      </c>
      <c r="B42">
        <v>1616</v>
      </c>
      <c r="C42">
        <v>595</v>
      </c>
      <c r="D42">
        <v>200</v>
      </c>
      <c r="E42" s="40">
        <v>1750</v>
      </c>
      <c r="F42" s="157" t="s">
        <v>888</v>
      </c>
      <c r="G42">
        <v>5</v>
      </c>
      <c r="H42" s="17"/>
      <c r="I42" s="17"/>
      <c r="J42" s="17"/>
      <c r="K42" s="17"/>
      <c r="L42" s="17"/>
      <c r="M42" s="17"/>
      <c r="N42" s="17"/>
    </row>
    <row r="43" spans="1:14" x14ac:dyDescent="0.25">
      <c r="A43" t="s">
        <v>887</v>
      </c>
      <c r="B43">
        <v>1596</v>
      </c>
      <c r="C43">
        <v>692</v>
      </c>
      <c r="D43">
        <v>300</v>
      </c>
      <c r="E43" s="40">
        <v>2000</v>
      </c>
      <c r="F43" s="157" t="s">
        <v>361</v>
      </c>
      <c r="G43">
        <v>5</v>
      </c>
      <c r="H43" s="17"/>
      <c r="I43" s="17"/>
      <c r="J43" s="17"/>
      <c r="K43" s="17"/>
      <c r="L43" s="17"/>
      <c r="M43" s="17"/>
      <c r="N43" s="17"/>
    </row>
    <row r="44" spans="1:14" x14ac:dyDescent="0.25">
      <c r="A44" t="s">
        <v>877</v>
      </c>
      <c r="B44">
        <v>1460</v>
      </c>
      <c r="C44">
        <v>750</v>
      </c>
      <c r="D44">
        <v>300</v>
      </c>
      <c r="E44" s="40">
        <v>1950</v>
      </c>
      <c r="F44" s="157" t="s">
        <v>361</v>
      </c>
      <c r="G44">
        <v>5</v>
      </c>
      <c r="H44" s="17"/>
      <c r="I44" s="17"/>
      <c r="J44" s="17"/>
      <c r="K44" s="17"/>
      <c r="L44" s="17"/>
      <c r="M44" s="17"/>
      <c r="N44" s="17"/>
    </row>
    <row r="45" spans="1:14" x14ac:dyDescent="0.25">
      <c r="A45" t="s">
        <v>878</v>
      </c>
      <c r="B45">
        <v>1299</v>
      </c>
      <c r="C45">
        <v>550</v>
      </c>
      <c r="D45">
        <v>200</v>
      </c>
      <c r="E45" s="40"/>
      <c r="F45" s="157" t="s">
        <v>361</v>
      </c>
      <c r="G45">
        <v>5</v>
      </c>
      <c r="H45" s="17"/>
      <c r="I45" s="17"/>
      <c r="J45" s="17"/>
      <c r="K45" s="17"/>
      <c r="L45" s="17"/>
      <c r="M45" s="17"/>
      <c r="N45" s="17"/>
    </row>
    <row r="46" spans="1:14" x14ac:dyDescent="0.25">
      <c r="A46" t="s">
        <v>879</v>
      </c>
      <c r="B46">
        <v>1340</v>
      </c>
      <c r="C46">
        <v>650</v>
      </c>
      <c r="D46">
        <v>300</v>
      </c>
      <c r="E46" s="40"/>
      <c r="F46" s="157" t="s">
        <v>361</v>
      </c>
      <c r="G46">
        <v>5</v>
      </c>
      <c r="H46" s="17"/>
      <c r="I46" s="17"/>
      <c r="J46" s="17"/>
      <c r="K46" s="17"/>
      <c r="L46" s="17"/>
      <c r="M46" s="17"/>
      <c r="N46" s="17"/>
    </row>
    <row r="47" spans="1:14" x14ac:dyDescent="0.25">
      <c r="A47" t="s">
        <v>880</v>
      </c>
      <c r="B47">
        <v>870</v>
      </c>
      <c r="C47">
        <v>450</v>
      </c>
      <c r="D47">
        <v>100</v>
      </c>
      <c r="E47" s="40"/>
      <c r="F47" s="157" t="s">
        <v>361</v>
      </c>
      <c r="G47">
        <v>5</v>
      </c>
      <c r="H47" s="17"/>
      <c r="I47" s="17"/>
      <c r="J47" s="17"/>
      <c r="K47" s="17"/>
      <c r="L47" s="17"/>
      <c r="M47" s="17"/>
      <c r="N47" s="17"/>
    </row>
    <row r="48" spans="1:14" x14ac:dyDescent="0.25">
      <c r="A48" t="s">
        <v>881</v>
      </c>
      <c r="B48">
        <v>990</v>
      </c>
      <c r="C48">
        <v>461</v>
      </c>
      <c r="D48">
        <v>100</v>
      </c>
      <c r="E48" s="40"/>
      <c r="F48" s="157" t="s">
        <v>361</v>
      </c>
      <c r="G48">
        <v>5</v>
      </c>
      <c r="H48" s="17"/>
      <c r="I48" s="17"/>
      <c r="J48" s="17"/>
      <c r="K48" s="17"/>
      <c r="L48" s="17"/>
      <c r="M48" s="17"/>
      <c r="N48" s="17"/>
    </row>
    <row r="49" spans="1:14" x14ac:dyDescent="0.25">
      <c r="A49" t="s">
        <v>882</v>
      </c>
      <c r="B49">
        <v>1290</v>
      </c>
      <c r="C49">
        <v>517</v>
      </c>
      <c r="D49">
        <v>200</v>
      </c>
      <c r="E49" s="36"/>
      <c r="F49" s="157" t="s">
        <v>361</v>
      </c>
      <c r="G49">
        <v>5</v>
      </c>
      <c r="H49" s="17"/>
      <c r="I49" s="17"/>
      <c r="J49" s="17"/>
      <c r="K49" s="17"/>
      <c r="L49" s="17"/>
      <c r="M49" s="17"/>
      <c r="N49" s="17"/>
    </row>
    <row r="50" spans="1:14" x14ac:dyDescent="0.25">
      <c r="A50" t="s">
        <v>883</v>
      </c>
      <c r="B50">
        <v>1350</v>
      </c>
      <c r="C50">
        <v>625</v>
      </c>
      <c r="D50">
        <v>300</v>
      </c>
      <c r="E50" s="36"/>
      <c r="F50" s="157" t="s">
        <v>361</v>
      </c>
      <c r="G50">
        <v>5</v>
      </c>
      <c r="H50" s="17"/>
      <c r="I50" s="17"/>
      <c r="J50" s="17"/>
      <c r="K50" s="17"/>
      <c r="L50" s="17"/>
      <c r="M50" s="17"/>
      <c r="N50" s="17"/>
    </row>
    <row r="51" spans="1:14" x14ac:dyDescent="0.25">
      <c r="A51" t="s">
        <v>897</v>
      </c>
      <c r="B51">
        <v>906</v>
      </c>
      <c r="C51">
        <v>471</v>
      </c>
      <c r="D51">
        <v>100</v>
      </c>
      <c r="E51" s="157">
        <v>1170</v>
      </c>
      <c r="F51" s="157" t="s">
        <v>361</v>
      </c>
      <c r="G51">
        <v>2</v>
      </c>
      <c r="H51" s="17"/>
      <c r="I51" s="17"/>
      <c r="J51" s="17"/>
      <c r="K51" s="17"/>
      <c r="L51" s="17"/>
      <c r="M51" s="17"/>
      <c r="N51" s="17"/>
    </row>
    <row r="52" spans="1:14" x14ac:dyDescent="0.25">
      <c r="A52" t="s">
        <v>895</v>
      </c>
      <c r="B52">
        <v>1306</v>
      </c>
      <c r="C52">
        <v>607</v>
      </c>
      <c r="D52">
        <v>200</v>
      </c>
      <c r="E52" s="40">
        <v>1710</v>
      </c>
      <c r="F52" s="157" t="s">
        <v>361</v>
      </c>
      <c r="G52">
        <v>2</v>
      </c>
      <c r="H52" s="17"/>
      <c r="I52" s="17"/>
      <c r="J52" s="17"/>
      <c r="K52" s="17"/>
      <c r="L52" s="17"/>
      <c r="M52" s="17"/>
      <c r="N52" s="17"/>
    </row>
    <row r="53" spans="1:14" x14ac:dyDescent="0.25">
      <c r="A53" t="s">
        <v>896</v>
      </c>
      <c r="B53">
        <v>1462</v>
      </c>
      <c r="C53">
        <v>657</v>
      </c>
      <c r="D53">
        <v>300</v>
      </c>
      <c r="E53" s="40">
        <v>2150</v>
      </c>
      <c r="F53" s="157" t="s">
        <v>361</v>
      </c>
      <c r="G53">
        <v>2</v>
      </c>
      <c r="H53" s="17"/>
      <c r="I53" s="17"/>
      <c r="J53" s="17"/>
      <c r="K53" s="17"/>
      <c r="L53" s="17"/>
      <c r="M53" s="17"/>
      <c r="N53" s="1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14</vt:i4>
      </vt:variant>
      <vt:variant>
        <vt:lpstr>Nazwane zakresy</vt:lpstr>
      </vt:variant>
      <vt:variant>
        <vt:i4>2</vt:i4>
      </vt:variant>
    </vt:vector>
  </HeadingPairs>
  <TitlesOfParts>
    <vt:vector size="16" baseType="lpstr">
      <vt:lpstr>Budynek</vt:lpstr>
      <vt:lpstr>Arkusz1</vt:lpstr>
      <vt:lpstr>Schemat</vt:lpstr>
      <vt:lpstr>Wycena</vt:lpstr>
      <vt:lpstr>PDF</vt:lpstr>
      <vt:lpstr>WZ</vt:lpstr>
      <vt:lpstr>zestawienie</vt:lpstr>
      <vt:lpstr>PC</vt:lpstr>
      <vt:lpstr>wykres</vt:lpstr>
      <vt:lpstr>Baza danych</vt:lpstr>
      <vt:lpstr>Materiały przyłączeniowe</vt:lpstr>
      <vt:lpstr>SchematyPC</vt:lpstr>
      <vt:lpstr>ZbiornikCWU</vt:lpstr>
      <vt:lpstr>ZbiornikCO</vt:lpstr>
      <vt:lpstr>marża</vt:lpstr>
      <vt:lpstr>PDF!Obszar_wydruku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1438</cp:lastModifiedBy>
  <cp:lastPrinted>2023-11-14T06:16:37Z</cp:lastPrinted>
  <dcterms:created xsi:type="dcterms:W3CDTF">2020-06-23T13:24:48Z</dcterms:created>
  <dcterms:modified xsi:type="dcterms:W3CDTF">2024-01-17T14:59:56Z</dcterms:modified>
</cp:coreProperties>
</file>